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3\"/>
    </mc:Choice>
  </mc:AlternateContent>
  <bookViews>
    <workbookView xWindow="0" yWindow="0" windowWidth="20400" windowHeight="8340" activeTab="1"/>
  </bookViews>
  <sheets>
    <sheet name="Heat Map" sheetId="5" r:id="rId1"/>
    <sheet name="ACCIDENT-2010-2013 (1)" sheetId="1" r:id="rId2"/>
    <sheet name="Season Lookup" sheetId="3" r:id="rId3"/>
  </sheets>
  <definedNames>
    <definedName name="_xlnm._FilterDatabase" localSheetId="1" hidden="1">'ACCIDENT-2010-2013 (1)'!$A$1:$AC$6087</definedName>
  </definedNames>
  <calcPr calcId="152511"/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sharedStrings.xml><?xml version="1.0" encoding="utf-8"?>
<sst xmlns="http://schemas.openxmlformats.org/spreadsheetml/2006/main" count="39586" uniqueCount="6318">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</sst>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4"/>
  <sheetViews>
    <sheetView showGridLines="0" workbookViewId="0">
      <selection activeCell="M2" sqref="M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15" t="s">
        <v>13</v>
      </c>
      <c r="G2" s="15"/>
      <c r="I2" s="8" t="s">
        <v>6312</v>
      </c>
      <c r="J2" s="15" t="s">
        <v>6313</v>
      </c>
      <c r="K2" s="15"/>
      <c r="M2" s="9">
        <f ca="1">HOUR(NOW())</f>
        <v>10</v>
      </c>
      <c r="N2" s="9">
        <f ca="1">WEEKDAY(TODAY())</f>
        <v>4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tabSelected="1" topLeftCell="R1" workbookViewId="0">
      <selection activeCell="Z4" sqref="Z4"/>
    </sheetView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0">EOMONTH(B3,MONTH(B3)*-1)+1</f>
        <v>40179</v>
      </c>
      <c r="D3" s="4">
        <f t="shared" ref="D3:D57" si="1">YEARFRAC(C3,B3,1)</f>
        <v>0</v>
      </c>
      <c r="E3" s="3">
        <f t="shared" ref="E3:E57" si="2">YEAR(B3)</f>
        <v>2010</v>
      </c>
      <c r="F3" s="3">
        <f t="shared" ref="F3:F57" si="3">MONTH(B3)</f>
        <v>1</v>
      </c>
      <c r="G3" s="3">
        <f t="shared" ref="G3:G57" si="4">DAY(B3)</f>
        <v>1</v>
      </c>
      <c r="H3" s="3">
        <f t="shared" ref="H3:H57" si="5">HOUR(B3)</f>
        <v>2</v>
      </c>
      <c r="I3" s="3">
        <f t="shared" ref="I3:I57" si="6">MINUTE(B3)</f>
        <v>4</v>
      </c>
      <c r="J3" s="3">
        <f t="shared" ref="J3:J57" si="7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8">IF(OR(N3="Auto",O3="Auto"),"YES",IF(OR(N3="Taxi",O3="Taxi"),"YES",IF(OR(N3="Van",O3="Van"),"YES",IF(OR(N3="Truck",O3="Truck"),"YES","NO"))))</f>
        <v>YES</v>
      </c>
      <c r="Q3" t="str">
        <f t="shared" ref="Q3:Q57" si="9">IF(OR(N3="Bicycle",O3="Bicycle"),"YES","NO")</f>
        <v>NO</v>
      </c>
      <c r="R3" t="str">
        <f t="shared" ref="R3:R57" si="10">IF(OR(N3="Pedestrian",O3="Pedestrian"),"YES","NO")</f>
        <v>NO</v>
      </c>
      <c r="T3" t="s">
        <v>19</v>
      </c>
      <c r="U3" t="str">
        <f t="shared" ref="U3:U66" si="11">TRIM(PROPER(T3))</f>
        <v>Cambridge St</v>
      </c>
      <c r="V3" t="s">
        <v>20</v>
      </c>
      <c r="W3" t="str">
        <f t="shared" ref="W3:W66" si="12">TRIM(PROPER(V3))</f>
        <v>Sciarappa St</v>
      </c>
      <c r="X3" t="str">
        <f>IF(ISBLANK(S3),"Intersection","Non-Intersection")</f>
        <v>Intersection</v>
      </c>
      <c r="Y3" t="s">
        <v>21</v>
      </c>
      <c r="Z3" t="str">
        <f t="shared" ref="Z3:Z66" si="13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0"/>
        <v>40179</v>
      </c>
      <c r="D4" s="4">
        <f t="shared" si="1"/>
        <v>0</v>
      </c>
      <c r="E4" s="3">
        <f t="shared" si="2"/>
        <v>2010</v>
      </c>
      <c r="F4" s="3">
        <f t="shared" si="3"/>
        <v>1</v>
      </c>
      <c r="G4" s="3">
        <f t="shared" si="4"/>
        <v>1</v>
      </c>
      <c r="H4" s="3">
        <f t="shared" si="5"/>
        <v>3</v>
      </c>
      <c r="I4" s="3">
        <f t="shared" si="6"/>
        <v>59</v>
      </c>
      <c r="J4" s="3">
        <f t="shared" si="7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8"/>
        <v>YES</v>
      </c>
      <c r="Q4" t="str">
        <f t="shared" si="9"/>
        <v>NO</v>
      </c>
      <c r="R4" t="str">
        <f t="shared" si="10"/>
        <v>NO</v>
      </c>
      <c r="S4">
        <v>105</v>
      </c>
      <c r="T4" t="s">
        <v>24</v>
      </c>
      <c r="U4" t="str">
        <f t="shared" si="11"/>
        <v>Coolidge Ave</v>
      </c>
      <c r="W4" t="str">
        <f t="shared" si="12"/>
        <v/>
      </c>
      <c r="X4" t="str">
        <f>IF(ISBLANK(S4),"Intersection","Non-Intersection")</f>
        <v>Non-Intersection</v>
      </c>
      <c r="Y4" t="s">
        <v>25</v>
      </c>
      <c r="Z4" t="str">
        <f t="shared" si="13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0"/>
        <v>40179</v>
      </c>
      <c r="D5" s="4">
        <f t="shared" si="1"/>
        <v>0</v>
      </c>
      <c r="E5" s="3">
        <f t="shared" si="2"/>
        <v>2010</v>
      </c>
      <c r="F5" s="3">
        <f t="shared" si="3"/>
        <v>1</v>
      </c>
      <c r="G5" s="3">
        <f t="shared" si="4"/>
        <v>1</v>
      </c>
      <c r="H5" s="3">
        <f t="shared" si="5"/>
        <v>8</v>
      </c>
      <c r="I5" s="3">
        <f t="shared" si="6"/>
        <v>49</v>
      </c>
      <c r="J5" s="3">
        <f t="shared" si="7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8"/>
        <v>YES</v>
      </c>
      <c r="Q5" t="str">
        <f t="shared" si="9"/>
        <v>NO</v>
      </c>
      <c r="R5" t="str">
        <f t="shared" si="10"/>
        <v>NO</v>
      </c>
      <c r="T5" t="s">
        <v>27</v>
      </c>
      <c r="U5" t="str">
        <f t="shared" si="11"/>
        <v>Western Ave</v>
      </c>
      <c r="V5" t="s">
        <v>28</v>
      </c>
      <c r="W5" t="str">
        <f t="shared" si="12"/>
        <v>Howard St</v>
      </c>
      <c r="X5" t="str">
        <f>IF(ISBLANK(S5),"Intersection","Non-Intersection")</f>
        <v>Intersection</v>
      </c>
      <c r="Y5" t="s">
        <v>29</v>
      </c>
      <c r="Z5" t="str">
        <f t="shared" si="13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0"/>
        <v>40179</v>
      </c>
      <c r="D6" s="4">
        <f t="shared" si="1"/>
        <v>0</v>
      </c>
      <c r="E6" s="3">
        <f t="shared" si="2"/>
        <v>2010</v>
      </c>
      <c r="F6" s="3">
        <f t="shared" si="3"/>
        <v>1</v>
      </c>
      <c r="G6" s="3">
        <f t="shared" si="4"/>
        <v>1</v>
      </c>
      <c r="H6" s="3">
        <f t="shared" si="5"/>
        <v>11</v>
      </c>
      <c r="I6" s="3">
        <f t="shared" si="6"/>
        <v>0</v>
      </c>
      <c r="J6" s="3">
        <f t="shared" si="7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8"/>
        <v>YES</v>
      </c>
      <c r="Q6" t="str">
        <f t="shared" si="9"/>
        <v>NO</v>
      </c>
      <c r="R6" t="str">
        <f t="shared" si="10"/>
        <v>NO</v>
      </c>
      <c r="S6">
        <v>350</v>
      </c>
      <c r="T6" t="s">
        <v>32</v>
      </c>
      <c r="U6" t="str">
        <f t="shared" si="11"/>
        <v>Main St</v>
      </c>
      <c r="W6" t="str">
        <f t="shared" si="12"/>
        <v/>
      </c>
      <c r="X6" t="str">
        <f>IF(ISBLANK(S6),"Intersection","Non-Intersection")</f>
        <v>Non-Intersection</v>
      </c>
      <c r="Y6" t="s">
        <v>33</v>
      </c>
      <c r="Z6" t="str">
        <f t="shared" si="13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0"/>
        <v>40179</v>
      </c>
      <c r="D7" s="4">
        <f t="shared" si="1"/>
        <v>2.7397260273972603E-3</v>
      </c>
      <c r="E7" s="3">
        <f t="shared" si="2"/>
        <v>2010</v>
      </c>
      <c r="F7" s="3">
        <f t="shared" si="3"/>
        <v>1</v>
      </c>
      <c r="G7" s="3">
        <f t="shared" si="4"/>
        <v>2</v>
      </c>
      <c r="H7" s="3">
        <f t="shared" si="5"/>
        <v>7</v>
      </c>
      <c r="I7" s="3">
        <f t="shared" si="6"/>
        <v>31</v>
      </c>
      <c r="J7" s="3">
        <f t="shared" si="7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8"/>
        <v>YES</v>
      </c>
      <c r="Q7" t="str">
        <f t="shared" si="9"/>
        <v>NO</v>
      </c>
      <c r="R7" t="str">
        <f t="shared" si="10"/>
        <v>NO</v>
      </c>
      <c r="T7" t="s">
        <v>37</v>
      </c>
      <c r="U7" t="str">
        <f t="shared" si="11"/>
        <v>Magazine St</v>
      </c>
      <c r="V7" t="s">
        <v>38</v>
      </c>
      <c r="W7" t="str">
        <f t="shared" si="12"/>
        <v>Prince St</v>
      </c>
      <c r="X7" t="str">
        <f>IF(ISBLANK(S7),"Intersection","Non-Intersection")</f>
        <v>Intersection</v>
      </c>
      <c r="Y7" t="s">
        <v>39</v>
      </c>
      <c r="Z7" t="str">
        <f t="shared" si="13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0"/>
        <v>40179</v>
      </c>
      <c r="D8" s="4">
        <f t="shared" si="1"/>
        <v>2.7397260273972603E-3</v>
      </c>
      <c r="E8" s="3">
        <f t="shared" si="2"/>
        <v>2010</v>
      </c>
      <c r="F8" s="3">
        <f t="shared" si="3"/>
        <v>1</v>
      </c>
      <c r="G8" s="3">
        <f t="shared" si="4"/>
        <v>2</v>
      </c>
      <c r="H8" s="3">
        <f t="shared" si="5"/>
        <v>8</v>
      </c>
      <c r="I8" s="3">
        <f t="shared" si="6"/>
        <v>0</v>
      </c>
      <c r="J8" s="3">
        <f t="shared" si="7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8"/>
        <v>YES</v>
      </c>
      <c r="Q8" t="str">
        <f t="shared" si="9"/>
        <v>NO</v>
      </c>
      <c r="R8" t="str">
        <f t="shared" si="10"/>
        <v>NO</v>
      </c>
      <c r="T8" t="s">
        <v>41</v>
      </c>
      <c r="U8" t="str">
        <f t="shared" si="11"/>
        <v>River St</v>
      </c>
      <c r="V8" t="s">
        <v>42</v>
      </c>
      <c r="W8" t="str">
        <f t="shared" si="12"/>
        <v>Putnam Ave</v>
      </c>
      <c r="X8" t="str">
        <f>IF(ISBLANK(S8),"Intersection","Non-Intersection")</f>
        <v>Intersection</v>
      </c>
      <c r="Y8" t="s">
        <v>43</v>
      </c>
      <c r="Z8" t="str">
        <f t="shared" si="13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0"/>
        <v>40179</v>
      </c>
      <c r="D9" s="4">
        <f t="shared" si="1"/>
        <v>5.4794520547945206E-3</v>
      </c>
      <c r="E9" s="3">
        <f t="shared" si="2"/>
        <v>2010</v>
      </c>
      <c r="F9" s="3">
        <f t="shared" si="3"/>
        <v>1</v>
      </c>
      <c r="G9" s="3">
        <f t="shared" si="4"/>
        <v>3</v>
      </c>
      <c r="H9" s="3">
        <f t="shared" si="5"/>
        <v>11</v>
      </c>
      <c r="I9" s="3">
        <f t="shared" si="6"/>
        <v>6</v>
      </c>
      <c r="J9" s="3">
        <f t="shared" si="7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8"/>
        <v>YES</v>
      </c>
      <c r="Q9" t="str">
        <f t="shared" si="9"/>
        <v>NO</v>
      </c>
      <c r="R9" t="str">
        <f t="shared" si="10"/>
        <v>NO</v>
      </c>
      <c r="S9">
        <v>18</v>
      </c>
      <c r="T9" t="s">
        <v>50</v>
      </c>
      <c r="U9" t="str">
        <f t="shared" si="11"/>
        <v>Belmont St</v>
      </c>
      <c r="W9" t="str">
        <f t="shared" si="12"/>
        <v/>
      </c>
      <c r="X9" t="str">
        <f>IF(ISBLANK(S9),"Intersection","Non-Intersection")</f>
        <v>Non-Intersection</v>
      </c>
      <c r="Y9" t="s">
        <v>51</v>
      </c>
      <c r="Z9" t="str">
        <f t="shared" si="13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0"/>
        <v>40179</v>
      </c>
      <c r="D10" s="4">
        <f t="shared" si="1"/>
        <v>5.4794520547945206E-3</v>
      </c>
      <c r="E10" s="3">
        <f t="shared" si="2"/>
        <v>2010</v>
      </c>
      <c r="F10" s="3">
        <f t="shared" si="3"/>
        <v>1</v>
      </c>
      <c r="G10" s="3">
        <f t="shared" si="4"/>
        <v>3</v>
      </c>
      <c r="H10" s="3">
        <f t="shared" si="5"/>
        <v>18</v>
      </c>
      <c r="I10" s="3">
        <f t="shared" si="6"/>
        <v>0</v>
      </c>
      <c r="J10" s="3">
        <f t="shared" si="7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8"/>
        <v>YES</v>
      </c>
      <c r="Q10" t="str">
        <f t="shared" si="9"/>
        <v>NO</v>
      </c>
      <c r="R10" t="str">
        <f t="shared" si="10"/>
        <v>NO</v>
      </c>
      <c r="S10">
        <v>169</v>
      </c>
      <c r="T10" t="s">
        <v>53</v>
      </c>
      <c r="U10" t="str">
        <f t="shared" si="11"/>
        <v>Monsignor Obrien Hwy</v>
      </c>
      <c r="W10" t="str">
        <f t="shared" si="12"/>
        <v/>
      </c>
      <c r="X10" t="str">
        <f>IF(ISBLANK(S10),"Intersection","Non-Intersection")</f>
        <v>Non-Intersection</v>
      </c>
      <c r="Y10" t="s">
        <v>54</v>
      </c>
      <c r="Z10" t="str">
        <f t="shared" si="13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0"/>
        <v>40179</v>
      </c>
      <c r="D11" s="4">
        <f t="shared" si="1"/>
        <v>8.21917808219178E-3</v>
      </c>
      <c r="E11" s="3">
        <f t="shared" si="2"/>
        <v>2010</v>
      </c>
      <c r="F11" s="3">
        <f t="shared" si="3"/>
        <v>1</v>
      </c>
      <c r="G11" s="3">
        <f t="shared" si="4"/>
        <v>4</v>
      </c>
      <c r="H11" s="3">
        <f t="shared" si="5"/>
        <v>8</v>
      </c>
      <c r="I11" s="3">
        <f t="shared" si="6"/>
        <v>0</v>
      </c>
      <c r="J11" s="3">
        <f t="shared" si="7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8"/>
        <v>YES</v>
      </c>
      <c r="Q11" t="str">
        <f t="shared" si="9"/>
        <v>NO</v>
      </c>
      <c r="R11" t="str">
        <f t="shared" si="10"/>
        <v>NO</v>
      </c>
      <c r="T11" t="s">
        <v>14</v>
      </c>
      <c r="U11" t="str">
        <f t="shared" si="11"/>
        <v>Massachusetts Ave</v>
      </c>
      <c r="V11" t="s">
        <v>57</v>
      </c>
      <c r="W11" t="str">
        <f t="shared" si="12"/>
        <v>Everett St</v>
      </c>
      <c r="X11" t="str">
        <f>IF(ISBLANK(S11),"Intersection","Non-Intersection")</f>
        <v>Intersection</v>
      </c>
      <c r="Y11" t="s">
        <v>58</v>
      </c>
      <c r="Z11" t="str">
        <f t="shared" si="13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0"/>
        <v>40179</v>
      </c>
      <c r="D12" s="4">
        <f t="shared" si="1"/>
        <v>8.21917808219178E-3</v>
      </c>
      <c r="E12" s="3">
        <f t="shared" si="2"/>
        <v>2010</v>
      </c>
      <c r="F12" s="3">
        <f t="shared" si="3"/>
        <v>1</v>
      </c>
      <c r="G12" s="3">
        <f t="shared" si="4"/>
        <v>4</v>
      </c>
      <c r="H12" s="3">
        <f t="shared" si="5"/>
        <v>10</v>
      </c>
      <c r="I12" s="3">
        <f t="shared" si="6"/>
        <v>15</v>
      </c>
      <c r="J12" s="3">
        <f t="shared" si="7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8"/>
        <v>YES</v>
      </c>
      <c r="Q12" t="str">
        <f t="shared" si="9"/>
        <v>NO</v>
      </c>
      <c r="R12" t="str">
        <f t="shared" si="10"/>
        <v>NO</v>
      </c>
      <c r="T12" t="s">
        <v>60</v>
      </c>
      <c r="U12" t="str">
        <f t="shared" si="11"/>
        <v>Rogers St</v>
      </c>
      <c r="V12" t="s">
        <v>61</v>
      </c>
      <c r="W12" t="str">
        <f t="shared" si="12"/>
        <v>First St</v>
      </c>
      <c r="X12" t="str">
        <f>IF(ISBLANK(S12),"Intersection","Non-Intersection")</f>
        <v>Intersection</v>
      </c>
      <c r="Y12" t="s">
        <v>62</v>
      </c>
      <c r="Z12" t="str">
        <f t="shared" si="13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0"/>
        <v>40179</v>
      </c>
      <c r="D13" s="4">
        <f t="shared" si="1"/>
        <v>8.21917808219178E-3</v>
      </c>
      <c r="E13" s="3">
        <f t="shared" si="2"/>
        <v>2010</v>
      </c>
      <c r="F13" s="3">
        <f t="shared" si="3"/>
        <v>1</v>
      </c>
      <c r="G13" s="3">
        <f t="shared" si="4"/>
        <v>4</v>
      </c>
      <c r="H13" s="3">
        <f t="shared" si="5"/>
        <v>12</v>
      </c>
      <c r="I13" s="3">
        <f t="shared" si="6"/>
        <v>0</v>
      </c>
      <c r="J13" s="3">
        <f t="shared" si="7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8"/>
        <v>YES</v>
      </c>
      <c r="Q13" t="str">
        <f t="shared" si="9"/>
        <v>NO</v>
      </c>
      <c r="R13" t="str">
        <f t="shared" si="10"/>
        <v>NO</v>
      </c>
      <c r="S13">
        <v>1575</v>
      </c>
      <c r="T13" t="s">
        <v>19</v>
      </c>
      <c r="U13" t="str">
        <f t="shared" si="11"/>
        <v>Cambridge St</v>
      </c>
      <c r="W13" t="str">
        <f t="shared" si="12"/>
        <v/>
      </c>
      <c r="X13" t="str">
        <f>IF(ISBLANK(S13),"Intersection","Non-Intersection")</f>
        <v>Non-Intersection</v>
      </c>
      <c r="Y13" t="s">
        <v>64</v>
      </c>
      <c r="Z13" t="str">
        <f t="shared" si="13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0"/>
        <v>40179</v>
      </c>
      <c r="D14" s="4">
        <f t="shared" si="1"/>
        <v>8.21917808219178E-3</v>
      </c>
      <c r="E14" s="3">
        <f t="shared" si="2"/>
        <v>2010</v>
      </c>
      <c r="F14" s="3">
        <f t="shared" si="3"/>
        <v>1</v>
      </c>
      <c r="G14" s="3">
        <f t="shared" si="4"/>
        <v>4</v>
      </c>
      <c r="H14" s="3">
        <f t="shared" si="5"/>
        <v>22</v>
      </c>
      <c r="I14" s="3">
        <f t="shared" si="6"/>
        <v>12</v>
      </c>
      <c r="J14" s="3">
        <f t="shared" si="7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8"/>
        <v>YES</v>
      </c>
      <c r="Q14" t="str">
        <f t="shared" si="9"/>
        <v>NO</v>
      </c>
      <c r="R14" t="str">
        <f t="shared" si="10"/>
        <v>NO</v>
      </c>
      <c r="S14">
        <v>2360</v>
      </c>
      <c r="T14" t="s">
        <v>14</v>
      </c>
      <c r="U14" t="str">
        <f t="shared" si="11"/>
        <v>Massachusetts Ave</v>
      </c>
      <c r="V14" t="s">
        <v>66</v>
      </c>
      <c r="W14" t="str">
        <f t="shared" si="12"/>
        <v>Dudley St</v>
      </c>
      <c r="X14" t="str">
        <f>IF(ISBLANK(S14),"Intersection","Non-Intersection")</f>
        <v>Non-Intersection</v>
      </c>
      <c r="Y14" t="s">
        <v>67</v>
      </c>
      <c r="Z14" t="str">
        <f t="shared" si="13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0"/>
        <v>40179</v>
      </c>
      <c r="D15" s="4">
        <f t="shared" si="1"/>
        <v>8.21917808219178E-3</v>
      </c>
      <c r="E15" s="3">
        <f t="shared" si="2"/>
        <v>2010</v>
      </c>
      <c r="F15" s="3">
        <f t="shared" si="3"/>
        <v>1</v>
      </c>
      <c r="G15" s="3">
        <f t="shared" si="4"/>
        <v>4</v>
      </c>
      <c r="H15" s="3">
        <f t="shared" si="5"/>
        <v>17</v>
      </c>
      <c r="I15" s="3">
        <f t="shared" si="6"/>
        <v>29</v>
      </c>
      <c r="J15" s="3">
        <f t="shared" si="7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8"/>
        <v>YES</v>
      </c>
      <c r="Q15" t="str">
        <f t="shared" si="9"/>
        <v>NO</v>
      </c>
      <c r="R15" t="str">
        <f t="shared" si="10"/>
        <v>NO</v>
      </c>
      <c r="T15" t="s">
        <v>69</v>
      </c>
      <c r="U15" t="str">
        <f t="shared" si="11"/>
        <v>Henry St</v>
      </c>
      <c r="V15" t="s">
        <v>70</v>
      </c>
      <c r="W15" t="str">
        <f t="shared" si="12"/>
        <v>Pearl St</v>
      </c>
      <c r="X15" t="str">
        <f>IF(ISBLANK(S15),"Intersection","Non-Intersection")</f>
        <v>Intersection</v>
      </c>
      <c r="Y15" t="s">
        <v>71</v>
      </c>
      <c r="Z15" t="str">
        <f t="shared" si="13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0"/>
        <v>40179</v>
      </c>
      <c r="D16" s="4">
        <f t="shared" si="1"/>
        <v>1.0958904109589041E-2</v>
      </c>
      <c r="E16" s="3">
        <f t="shared" si="2"/>
        <v>2010</v>
      </c>
      <c r="F16" s="3">
        <f t="shared" si="3"/>
        <v>1</v>
      </c>
      <c r="G16" s="3">
        <f t="shared" si="4"/>
        <v>5</v>
      </c>
      <c r="H16" s="3">
        <f t="shared" si="5"/>
        <v>18</v>
      </c>
      <c r="I16" s="3">
        <f t="shared" si="6"/>
        <v>30</v>
      </c>
      <c r="J16" s="3">
        <f t="shared" si="7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8"/>
        <v>YES</v>
      </c>
      <c r="Q16" t="str">
        <f t="shared" si="9"/>
        <v>NO</v>
      </c>
      <c r="R16" t="str">
        <f t="shared" si="10"/>
        <v>NO</v>
      </c>
      <c r="T16" t="s">
        <v>74</v>
      </c>
      <c r="U16" t="str">
        <f t="shared" si="11"/>
        <v>Hampshire St</v>
      </c>
      <c r="V16" t="s">
        <v>75</v>
      </c>
      <c r="W16" t="str">
        <f t="shared" si="12"/>
        <v>Elm St</v>
      </c>
      <c r="X16" t="str">
        <f>IF(ISBLANK(S16),"Intersection","Non-Intersection")</f>
        <v>Intersection</v>
      </c>
      <c r="Y16" t="s">
        <v>76</v>
      </c>
      <c r="Z16" t="str">
        <f t="shared" si="13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0"/>
        <v>40179</v>
      </c>
      <c r="D17" s="4">
        <f t="shared" si="1"/>
        <v>1.3698630136986301E-2</v>
      </c>
      <c r="E17" s="3">
        <f t="shared" si="2"/>
        <v>2010</v>
      </c>
      <c r="F17" s="3">
        <f t="shared" si="3"/>
        <v>1</v>
      </c>
      <c r="G17" s="3">
        <f t="shared" si="4"/>
        <v>6</v>
      </c>
      <c r="H17" s="3">
        <f t="shared" si="5"/>
        <v>6</v>
      </c>
      <c r="I17" s="3">
        <f t="shared" si="6"/>
        <v>59</v>
      </c>
      <c r="J17" s="3">
        <f t="shared" si="7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8"/>
        <v>YES</v>
      </c>
      <c r="Q17" t="str">
        <f t="shared" si="9"/>
        <v>NO</v>
      </c>
      <c r="R17" t="str">
        <f t="shared" si="10"/>
        <v>NO</v>
      </c>
      <c r="T17" t="s">
        <v>79</v>
      </c>
      <c r="U17" t="str">
        <f t="shared" si="11"/>
        <v>Ames St</v>
      </c>
      <c r="W17" t="str">
        <f t="shared" si="12"/>
        <v/>
      </c>
      <c r="X17" t="str">
        <f>IF(ISBLANK(S17),"Intersection","Non-Intersection")</f>
        <v>Intersection</v>
      </c>
      <c r="Y17" t="s">
        <v>80</v>
      </c>
      <c r="Z17" t="str">
        <f t="shared" si="13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0"/>
        <v>40179</v>
      </c>
      <c r="D18" s="4">
        <f t="shared" si="1"/>
        <v>1.3698630136986301E-2</v>
      </c>
      <c r="E18" s="3">
        <f t="shared" si="2"/>
        <v>2010</v>
      </c>
      <c r="F18" s="3">
        <f t="shared" si="3"/>
        <v>1</v>
      </c>
      <c r="G18" s="3">
        <f t="shared" si="4"/>
        <v>6</v>
      </c>
      <c r="H18" s="3">
        <f t="shared" si="5"/>
        <v>7</v>
      </c>
      <c r="I18" s="3">
        <f t="shared" si="6"/>
        <v>56</v>
      </c>
      <c r="J18" s="3">
        <f t="shared" si="7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8"/>
        <v>YES</v>
      </c>
      <c r="Q18" t="str">
        <f t="shared" si="9"/>
        <v>NO</v>
      </c>
      <c r="R18" t="str">
        <f t="shared" si="10"/>
        <v>NO</v>
      </c>
      <c r="S18">
        <v>16</v>
      </c>
      <c r="T18" t="s">
        <v>83</v>
      </c>
      <c r="U18" t="str">
        <f t="shared" si="11"/>
        <v>Mead St</v>
      </c>
      <c r="W18" t="str">
        <f t="shared" si="12"/>
        <v/>
      </c>
      <c r="X18" t="str">
        <f>IF(ISBLANK(S18),"Intersection","Non-Intersection")</f>
        <v>Non-Intersection</v>
      </c>
      <c r="Y18" t="s">
        <v>84</v>
      </c>
      <c r="Z18" t="str">
        <f t="shared" si="13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0"/>
        <v>40179</v>
      </c>
      <c r="D19" s="4">
        <f t="shared" si="1"/>
        <v>1.643835616438356E-2</v>
      </c>
      <c r="E19" s="3">
        <f t="shared" si="2"/>
        <v>2010</v>
      </c>
      <c r="F19" s="3">
        <f t="shared" si="3"/>
        <v>1</v>
      </c>
      <c r="G19" s="3">
        <f t="shared" si="4"/>
        <v>7</v>
      </c>
      <c r="H19" s="3">
        <f t="shared" si="5"/>
        <v>8</v>
      </c>
      <c r="I19" s="3">
        <f t="shared" si="6"/>
        <v>29</v>
      </c>
      <c r="J19" s="3">
        <f t="shared" si="7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8"/>
        <v>YES</v>
      </c>
      <c r="Q19" t="str">
        <f t="shared" si="9"/>
        <v>NO</v>
      </c>
      <c r="R19" t="str">
        <f t="shared" si="10"/>
        <v>NO</v>
      </c>
      <c r="S19">
        <v>16</v>
      </c>
      <c r="T19" t="s">
        <v>89</v>
      </c>
      <c r="U19" t="str">
        <f t="shared" si="11"/>
        <v>Magnolia Ave</v>
      </c>
      <c r="W19" t="str">
        <f t="shared" si="12"/>
        <v/>
      </c>
      <c r="X19" t="str">
        <f>IF(ISBLANK(S19),"Intersection","Non-Intersection")</f>
        <v>Non-Intersection</v>
      </c>
      <c r="Y19" t="s">
        <v>90</v>
      </c>
      <c r="Z19" t="str">
        <f t="shared" si="13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0"/>
        <v>40179</v>
      </c>
      <c r="D20" s="4">
        <f t="shared" si="1"/>
        <v>1.643835616438356E-2</v>
      </c>
      <c r="E20" s="3">
        <f t="shared" si="2"/>
        <v>2010</v>
      </c>
      <c r="F20" s="3">
        <f t="shared" si="3"/>
        <v>1</v>
      </c>
      <c r="G20" s="3">
        <f t="shared" si="4"/>
        <v>7</v>
      </c>
      <c r="H20" s="3">
        <f t="shared" si="5"/>
        <v>8</v>
      </c>
      <c r="I20" s="3">
        <f t="shared" si="6"/>
        <v>10</v>
      </c>
      <c r="J20" s="3">
        <f t="shared" si="7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8"/>
        <v>YES</v>
      </c>
      <c r="Q20" t="str">
        <f t="shared" si="9"/>
        <v>NO</v>
      </c>
      <c r="R20" t="str">
        <f t="shared" si="10"/>
        <v>NO</v>
      </c>
      <c r="T20" t="s">
        <v>92</v>
      </c>
      <c r="U20" t="str">
        <f t="shared" si="11"/>
        <v>Wheeler St</v>
      </c>
      <c r="W20" t="str">
        <f t="shared" si="12"/>
        <v/>
      </c>
      <c r="X20" t="str">
        <f>IF(ISBLANK(S20),"Intersection","Non-Intersection")</f>
        <v>Intersection</v>
      </c>
      <c r="Y20" t="s">
        <v>93</v>
      </c>
      <c r="Z20" t="str">
        <f t="shared" si="13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0"/>
        <v>40179</v>
      </c>
      <c r="D21" s="4">
        <f t="shared" si="1"/>
        <v>1.643835616438356E-2</v>
      </c>
      <c r="E21" s="3">
        <f t="shared" si="2"/>
        <v>2010</v>
      </c>
      <c r="F21" s="3">
        <f t="shared" si="3"/>
        <v>1</v>
      </c>
      <c r="G21" s="3">
        <f t="shared" si="4"/>
        <v>7</v>
      </c>
      <c r="H21" s="3">
        <f t="shared" si="5"/>
        <v>8</v>
      </c>
      <c r="I21" s="3">
        <f t="shared" si="6"/>
        <v>29</v>
      </c>
      <c r="J21" s="3">
        <f t="shared" si="7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8"/>
        <v>YES</v>
      </c>
      <c r="Q21" t="str">
        <f t="shared" si="9"/>
        <v>NO</v>
      </c>
      <c r="R21" t="str">
        <f t="shared" si="10"/>
        <v>NO</v>
      </c>
      <c r="T21" t="s">
        <v>14</v>
      </c>
      <c r="U21" t="str">
        <f t="shared" si="11"/>
        <v>Massachusetts Ave</v>
      </c>
      <c r="V21" t="s">
        <v>94</v>
      </c>
      <c r="W21" t="str">
        <f t="shared" si="12"/>
        <v>Shepard St</v>
      </c>
      <c r="X21" t="str">
        <f>IF(ISBLANK(S21),"Intersection","Non-Intersection")</f>
        <v>Intersection</v>
      </c>
      <c r="Y21" t="s">
        <v>95</v>
      </c>
      <c r="Z21" t="str">
        <f t="shared" si="13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0"/>
        <v>40179</v>
      </c>
      <c r="D22" s="4">
        <f t="shared" si="1"/>
        <v>1.643835616438356E-2</v>
      </c>
      <c r="E22" s="3">
        <f t="shared" si="2"/>
        <v>2010</v>
      </c>
      <c r="F22" s="3">
        <f t="shared" si="3"/>
        <v>1</v>
      </c>
      <c r="G22" s="3">
        <f t="shared" si="4"/>
        <v>7</v>
      </c>
      <c r="H22" s="3">
        <f t="shared" si="5"/>
        <v>10</v>
      </c>
      <c r="I22" s="3">
        <f t="shared" si="6"/>
        <v>38</v>
      </c>
      <c r="J22" s="3">
        <f t="shared" si="7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8"/>
        <v>YES</v>
      </c>
      <c r="Q22" t="str">
        <f t="shared" si="9"/>
        <v>NO</v>
      </c>
      <c r="R22" t="str">
        <f t="shared" si="10"/>
        <v>NO</v>
      </c>
      <c r="T22" t="s">
        <v>97</v>
      </c>
      <c r="U22" t="str">
        <f t="shared" si="11"/>
        <v>Peabody St</v>
      </c>
      <c r="V22" t="s">
        <v>14</v>
      </c>
      <c r="W22" t="str">
        <f t="shared" si="12"/>
        <v>Massachusetts Ave</v>
      </c>
      <c r="X22" t="str">
        <f>IF(ISBLANK(S22),"Intersection","Non-Intersection")</f>
        <v>Intersection</v>
      </c>
      <c r="Y22" t="s">
        <v>98</v>
      </c>
      <c r="Z22" t="str">
        <f t="shared" si="13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0"/>
        <v>40179</v>
      </c>
      <c r="D23" s="4">
        <f t="shared" si="1"/>
        <v>1.643835616438356E-2</v>
      </c>
      <c r="E23" s="3">
        <f t="shared" si="2"/>
        <v>2010</v>
      </c>
      <c r="F23" s="3">
        <f t="shared" si="3"/>
        <v>1</v>
      </c>
      <c r="G23" s="3">
        <f t="shared" si="4"/>
        <v>7</v>
      </c>
      <c r="H23" s="3">
        <f t="shared" si="5"/>
        <v>15</v>
      </c>
      <c r="I23" s="3">
        <f t="shared" si="6"/>
        <v>30</v>
      </c>
      <c r="J23" s="3">
        <f t="shared" si="7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8"/>
        <v>YES</v>
      </c>
      <c r="Q23" t="str">
        <f t="shared" si="9"/>
        <v>NO</v>
      </c>
      <c r="R23" t="str">
        <f t="shared" si="10"/>
        <v>NO</v>
      </c>
      <c r="S23">
        <v>3</v>
      </c>
      <c r="T23" t="s">
        <v>100</v>
      </c>
      <c r="U23" t="str">
        <f t="shared" si="11"/>
        <v>Suffolk St</v>
      </c>
      <c r="V23" t="s">
        <v>101</v>
      </c>
      <c r="W23" t="str">
        <f t="shared" si="12"/>
        <v>Columbia St</v>
      </c>
      <c r="X23" t="str">
        <f>IF(ISBLANK(S23),"Intersection","Non-Intersection")</f>
        <v>Non-Intersection</v>
      </c>
      <c r="Y23" t="s">
        <v>102</v>
      </c>
      <c r="Z23" t="str">
        <f t="shared" si="13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0"/>
        <v>40179</v>
      </c>
      <c r="D24" s="4">
        <f t="shared" si="1"/>
        <v>1.9178082191780823E-2</v>
      </c>
      <c r="E24" s="3">
        <f t="shared" si="2"/>
        <v>2010</v>
      </c>
      <c r="F24" s="3">
        <f t="shared" si="3"/>
        <v>1</v>
      </c>
      <c r="G24" s="3">
        <f t="shared" si="4"/>
        <v>8</v>
      </c>
      <c r="H24" s="3">
        <f t="shared" si="5"/>
        <v>10</v>
      </c>
      <c r="I24" s="3">
        <f t="shared" si="6"/>
        <v>30</v>
      </c>
      <c r="J24" s="3">
        <f t="shared" si="7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8"/>
        <v>YES</v>
      </c>
      <c r="Q24" t="str">
        <f t="shared" si="9"/>
        <v>NO</v>
      </c>
      <c r="R24" t="str">
        <f t="shared" si="10"/>
        <v>NO</v>
      </c>
      <c r="S24">
        <v>57</v>
      </c>
      <c r="T24" t="s">
        <v>104</v>
      </c>
      <c r="U24" t="str">
        <f t="shared" si="11"/>
        <v>Inman St</v>
      </c>
      <c r="V24" t="s">
        <v>105</v>
      </c>
      <c r="W24" t="str">
        <f t="shared" si="12"/>
        <v>Broadway</v>
      </c>
      <c r="X24" t="str">
        <f>IF(ISBLANK(S24),"Intersection","Non-Intersection")</f>
        <v>Non-Intersection</v>
      </c>
      <c r="Y24" t="s">
        <v>106</v>
      </c>
      <c r="Z24" t="str">
        <f t="shared" si="13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0"/>
        <v>40179</v>
      </c>
      <c r="D25" s="4">
        <f t="shared" si="1"/>
        <v>1.9178082191780823E-2</v>
      </c>
      <c r="E25" s="3">
        <f t="shared" si="2"/>
        <v>2010</v>
      </c>
      <c r="F25" s="3">
        <f t="shared" si="3"/>
        <v>1</v>
      </c>
      <c r="G25" s="3">
        <f t="shared" si="4"/>
        <v>8</v>
      </c>
      <c r="H25" s="3">
        <f t="shared" si="5"/>
        <v>12</v>
      </c>
      <c r="I25" s="3">
        <f t="shared" si="6"/>
        <v>14</v>
      </c>
      <c r="J25" s="3">
        <f t="shared" si="7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8"/>
        <v>YES</v>
      </c>
      <c r="Q25" t="str">
        <f t="shared" si="9"/>
        <v>NO</v>
      </c>
      <c r="R25" t="str">
        <f t="shared" si="10"/>
        <v>NO</v>
      </c>
      <c r="T25" t="s">
        <v>27</v>
      </c>
      <c r="U25" t="str">
        <f t="shared" si="11"/>
        <v>Western Ave</v>
      </c>
      <c r="V25" t="s">
        <v>108</v>
      </c>
      <c r="W25" t="str">
        <f t="shared" si="12"/>
        <v>Franklin St</v>
      </c>
      <c r="X25" t="str">
        <f>IF(ISBLANK(S25),"Intersection","Non-Intersection")</f>
        <v>Intersection</v>
      </c>
      <c r="Y25" t="s">
        <v>109</v>
      </c>
      <c r="Z25" t="str">
        <f t="shared" si="13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0"/>
        <v>40179</v>
      </c>
      <c r="D26" s="4">
        <f t="shared" si="1"/>
        <v>1.9178082191780823E-2</v>
      </c>
      <c r="E26" s="3">
        <f t="shared" si="2"/>
        <v>2010</v>
      </c>
      <c r="F26" s="3">
        <f t="shared" si="3"/>
        <v>1</v>
      </c>
      <c r="G26" s="3">
        <f t="shared" si="4"/>
        <v>8</v>
      </c>
      <c r="H26" s="3">
        <f t="shared" si="5"/>
        <v>13</v>
      </c>
      <c r="I26" s="3">
        <f t="shared" si="6"/>
        <v>28</v>
      </c>
      <c r="J26" s="3">
        <f t="shared" si="7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8"/>
        <v>YES</v>
      </c>
      <c r="Q26" t="str">
        <f t="shared" si="9"/>
        <v>NO</v>
      </c>
      <c r="R26" t="str">
        <f t="shared" si="10"/>
        <v>NO</v>
      </c>
      <c r="T26" t="s">
        <v>19</v>
      </c>
      <c r="U26" t="str">
        <f t="shared" si="11"/>
        <v>Cambridge St</v>
      </c>
      <c r="V26" t="s">
        <v>74</v>
      </c>
      <c r="W26" t="str">
        <f t="shared" si="12"/>
        <v>Hampshire St</v>
      </c>
      <c r="X26" t="str">
        <f>IF(ISBLANK(S26),"Intersection","Non-Intersection")</f>
        <v>Intersection</v>
      </c>
      <c r="Y26" t="s">
        <v>111</v>
      </c>
      <c r="Z26" t="str">
        <f t="shared" si="13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0"/>
        <v>40179</v>
      </c>
      <c r="D27" s="4">
        <f t="shared" si="1"/>
        <v>1.9178082191780823E-2</v>
      </c>
      <c r="E27" s="3">
        <f t="shared" si="2"/>
        <v>2010</v>
      </c>
      <c r="F27" s="3">
        <f t="shared" si="3"/>
        <v>1</v>
      </c>
      <c r="G27" s="3">
        <f t="shared" si="4"/>
        <v>8</v>
      </c>
      <c r="H27" s="3">
        <f t="shared" si="5"/>
        <v>17</v>
      </c>
      <c r="I27" s="3">
        <f t="shared" si="6"/>
        <v>51</v>
      </c>
      <c r="J27" s="3">
        <f t="shared" si="7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8"/>
        <v>YES</v>
      </c>
      <c r="Q27" t="str">
        <f t="shared" si="9"/>
        <v>NO</v>
      </c>
      <c r="R27" t="str">
        <f t="shared" si="10"/>
        <v>NO</v>
      </c>
      <c r="S27">
        <v>220</v>
      </c>
      <c r="T27" t="s">
        <v>14</v>
      </c>
      <c r="U27" t="str">
        <f t="shared" si="11"/>
        <v>Massachusetts Ave</v>
      </c>
      <c r="W27" t="str">
        <f t="shared" si="12"/>
        <v/>
      </c>
      <c r="X27" t="str">
        <f>IF(ISBLANK(S27),"Intersection","Non-Intersection")</f>
        <v>Non-Intersection</v>
      </c>
      <c r="Y27" t="s">
        <v>113</v>
      </c>
      <c r="Z27" t="str">
        <f t="shared" si="13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0"/>
        <v>40179</v>
      </c>
      <c r="D28" s="4">
        <f t="shared" si="1"/>
        <v>1.9178082191780823E-2</v>
      </c>
      <c r="E28" s="3">
        <f t="shared" si="2"/>
        <v>2010</v>
      </c>
      <c r="F28" s="3">
        <f t="shared" si="3"/>
        <v>1</v>
      </c>
      <c r="G28" s="3">
        <f t="shared" si="4"/>
        <v>8</v>
      </c>
      <c r="H28" s="3">
        <f t="shared" si="5"/>
        <v>19</v>
      </c>
      <c r="I28" s="3">
        <f t="shared" si="6"/>
        <v>30</v>
      </c>
      <c r="J28" s="3">
        <f t="shared" si="7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8"/>
        <v>YES</v>
      </c>
      <c r="Q28" t="str">
        <f t="shared" si="9"/>
        <v>NO</v>
      </c>
      <c r="R28" t="str">
        <f t="shared" si="10"/>
        <v>NO</v>
      </c>
      <c r="T28" t="s">
        <v>94</v>
      </c>
      <c r="U28" t="str">
        <f t="shared" si="11"/>
        <v>Shepard St</v>
      </c>
      <c r="W28" t="str">
        <f t="shared" si="12"/>
        <v/>
      </c>
      <c r="X28" t="str">
        <f>IF(ISBLANK(S28),"Intersection","Non-Intersection")</f>
        <v>Intersection</v>
      </c>
      <c r="Y28" t="s">
        <v>115</v>
      </c>
      <c r="Z28" t="str">
        <f t="shared" si="13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0"/>
        <v>40179</v>
      </c>
      <c r="D29" s="4">
        <f t="shared" si="1"/>
        <v>1.9178082191780823E-2</v>
      </c>
      <c r="E29" s="3">
        <f t="shared" si="2"/>
        <v>2010</v>
      </c>
      <c r="F29" s="3">
        <f t="shared" si="3"/>
        <v>1</v>
      </c>
      <c r="G29" s="3">
        <f t="shared" si="4"/>
        <v>8</v>
      </c>
      <c r="H29" s="3">
        <f t="shared" si="5"/>
        <v>7</v>
      </c>
      <c r="I29" s="3">
        <f t="shared" si="6"/>
        <v>19</v>
      </c>
      <c r="J29" s="3">
        <f t="shared" si="7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8"/>
        <v>YES</v>
      </c>
      <c r="Q29" t="str">
        <f t="shared" si="9"/>
        <v>NO</v>
      </c>
      <c r="R29" t="str">
        <f t="shared" si="10"/>
        <v>NO</v>
      </c>
      <c r="T29" t="s">
        <v>116</v>
      </c>
      <c r="U29" t="str">
        <f t="shared" si="11"/>
        <v>Chestnut St</v>
      </c>
      <c r="V29" t="s">
        <v>37</v>
      </c>
      <c r="W29" t="str">
        <f t="shared" si="12"/>
        <v>Magazine St</v>
      </c>
      <c r="X29" t="str">
        <f>IF(ISBLANK(S29),"Intersection","Non-Intersection")</f>
        <v>Intersection</v>
      </c>
      <c r="Y29" t="s">
        <v>117</v>
      </c>
      <c r="Z29" t="str">
        <f t="shared" si="13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0"/>
        <v>40179</v>
      </c>
      <c r="D30" s="4">
        <f t="shared" si="1"/>
        <v>1.9178082191780823E-2</v>
      </c>
      <c r="E30" s="3">
        <f t="shared" si="2"/>
        <v>2010</v>
      </c>
      <c r="F30" s="3">
        <f t="shared" si="3"/>
        <v>1</v>
      </c>
      <c r="G30" s="3">
        <f t="shared" si="4"/>
        <v>8</v>
      </c>
      <c r="H30" s="3">
        <f t="shared" si="5"/>
        <v>14</v>
      </c>
      <c r="I30" s="3">
        <f t="shared" si="6"/>
        <v>45</v>
      </c>
      <c r="J30" s="3">
        <f t="shared" si="7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8"/>
        <v>YES</v>
      </c>
      <c r="Q30" t="str">
        <f t="shared" si="9"/>
        <v>NO</v>
      </c>
      <c r="R30" t="str">
        <f t="shared" si="10"/>
        <v>NO</v>
      </c>
      <c r="S30">
        <v>32</v>
      </c>
      <c r="T30" t="s">
        <v>119</v>
      </c>
      <c r="U30" t="str">
        <f t="shared" si="11"/>
        <v>Albany St</v>
      </c>
      <c r="W30" t="str">
        <f t="shared" si="12"/>
        <v/>
      </c>
      <c r="X30" t="str">
        <f>IF(ISBLANK(S30),"Intersection","Non-Intersection")</f>
        <v>Non-Intersection</v>
      </c>
      <c r="Y30" t="s">
        <v>120</v>
      </c>
      <c r="Z30" t="str">
        <f t="shared" si="13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0"/>
        <v>40179</v>
      </c>
      <c r="D31" s="4">
        <f t="shared" si="1"/>
        <v>2.1917808219178082E-2</v>
      </c>
      <c r="E31" s="3">
        <f t="shared" si="2"/>
        <v>2010</v>
      </c>
      <c r="F31" s="3">
        <f t="shared" si="3"/>
        <v>1</v>
      </c>
      <c r="G31" s="3">
        <f t="shared" si="4"/>
        <v>9</v>
      </c>
      <c r="H31" s="3">
        <f t="shared" si="5"/>
        <v>18</v>
      </c>
      <c r="I31" s="3">
        <f t="shared" si="6"/>
        <v>0</v>
      </c>
      <c r="J31" s="3">
        <f t="shared" si="7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8"/>
        <v>YES</v>
      </c>
      <c r="Q31" t="str">
        <f t="shared" si="9"/>
        <v>NO</v>
      </c>
      <c r="R31" t="str">
        <f t="shared" si="10"/>
        <v>NO</v>
      </c>
      <c r="S31">
        <v>281</v>
      </c>
      <c r="T31" t="s">
        <v>105</v>
      </c>
      <c r="U31" t="str">
        <f t="shared" si="11"/>
        <v>Broadway</v>
      </c>
      <c r="W31" t="str">
        <f t="shared" si="12"/>
        <v/>
      </c>
      <c r="X31" t="str">
        <f>IF(ISBLANK(S31),"Intersection","Non-Intersection")</f>
        <v>Non-Intersection</v>
      </c>
      <c r="Y31" t="s">
        <v>122</v>
      </c>
      <c r="Z31" t="str">
        <f t="shared" si="13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0"/>
        <v>40179</v>
      </c>
      <c r="D32" s="4">
        <f t="shared" si="1"/>
        <v>2.1917808219178082E-2</v>
      </c>
      <c r="E32" s="3">
        <f t="shared" si="2"/>
        <v>2010</v>
      </c>
      <c r="F32" s="3">
        <f t="shared" si="3"/>
        <v>1</v>
      </c>
      <c r="G32" s="3">
        <f t="shared" si="4"/>
        <v>9</v>
      </c>
      <c r="H32" s="3">
        <f t="shared" si="5"/>
        <v>11</v>
      </c>
      <c r="I32" s="3">
        <f t="shared" si="6"/>
        <v>0</v>
      </c>
      <c r="J32" s="3">
        <f t="shared" si="7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8"/>
        <v>YES</v>
      </c>
      <c r="Q32" t="str">
        <f t="shared" si="9"/>
        <v>NO</v>
      </c>
      <c r="R32" t="str">
        <f t="shared" si="10"/>
        <v>NO</v>
      </c>
      <c r="T32" t="s">
        <v>124</v>
      </c>
      <c r="U32" t="str">
        <f t="shared" si="11"/>
        <v>York St</v>
      </c>
      <c r="W32" t="str">
        <f t="shared" si="12"/>
        <v/>
      </c>
      <c r="X32" t="str">
        <f>IF(ISBLANK(S32),"Intersection","Non-Intersection")</f>
        <v>Intersection</v>
      </c>
      <c r="Y32" t="s">
        <v>125</v>
      </c>
      <c r="Z32" t="str">
        <f t="shared" si="13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0"/>
        <v>40179</v>
      </c>
      <c r="D33" s="4">
        <f t="shared" si="1"/>
        <v>2.1917808219178082E-2</v>
      </c>
      <c r="E33" s="3">
        <f t="shared" si="2"/>
        <v>2010</v>
      </c>
      <c r="F33" s="3">
        <f t="shared" si="3"/>
        <v>1</v>
      </c>
      <c r="G33" s="3">
        <f t="shared" si="4"/>
        <v>9</v>
      </c>
      <c r="H33" s="3">
        <f t="shared" si="5"/>
        <v>12</v>
      </c>
      <c r="I33" s="3">
        <f t="shared" si="6"/>
        <v>45</v>
      </c>
      <c r="J33" s="3">
        <f t="shared" si="7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8"/>
        <v>YES</v>
      </c>
      <c r="Q33" t="str">
        <f t="shared" si="9"/>
        <v>NO</v>
      </c>
      <c r="R33" t="str">
        <f t="shared" si="10"/>
        <v>NO</v>
      </c>
      <c r="T33" t="s">
        <v>14</v>
      </c>
      <c r="U33" t="str">
        <f t="shared" si="11"/>
        <v>Massachusetts Ave</v>
      </c>
      <c r="V33" t="s">
        <v>126</v>
      </c>
      <c r="W33" t="str">
        <f t="shared" si="12"/>
        <v>Somerville Ave</v>
      </c>
      <c r="X33" t="str">
        <f>IF(ISBLANK(S33),"Intersection","Non-Intersection")</f>
        <v>Intersection</v>
      </c>
      <c r="Y33" t="s">
        <v>127</v>
      </c>
      <c r="Z33" t="str">
        <f t="shared" si="13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0"/>
        <v>40179</v>
      </c>
      <c r="D34" s="4">
        <f t="shared" si="1"/>
        <v>2.4657534246575342E-2</v>
      </c>
      <c r="E34" s="3">
        <f t="shared" si="2"/>
        <v>2010</v>
      </c>
      <c r="F34" s="3">
        <f t="shared" si="3"/>
        <v>1</v>
      </c>
      <c r="G34" s="3">
        <f t="shared" si="4"/>
        <v>10</v>
      </c>
      <c r="H34" s="3">
        <f t="shared" si="5"/>
        <v>9</v>
      </c>
      <c r="I34" s="3">
        <f t="shared" si="6"/>
        <v>0</v>
      </c>
      <c r="J34" s="3">
        <f t="shared" si="7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8"/>
        <v>YES</v>
      </c>
      <c r="Q34" t="str">
        <f t="shared" si="9"/>
        <v>NO</v>
      </c>
      <c r="R34" t="str">
        <f t="shared" si="10"/>
        <v>NO</v>
      </c>
      <c r="T34" t="s">
        <v>19</v>
      </c>
      <c r="U34" t="str">
        <f t="shared" si="11"/>
        <v>Cambridge St</v>
      </c>
      <c r="V34" t="s">
        <v>129</v>
      </c>
      <c r="W34" t="str">
        <f t="shared" si="12"/>
        <v>Cardinal Medeiros Ave</v>
      </c>
      <c r="X34" t="str">
        <f>IF(ISBLANK(S34),"Intersection","Non-Intersection")</f>
        <v>Intersection</v>
      </c>
      <c r="Y34" t="s">
        <v>130</v>
      </c>
      <c r="Z34" t="str">
        <f t="shared" si="13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0"/>
        <v>40179</v>
      </c>
      <c r="D35" s="4">
        <f t="shared" si="1"/>
        <v>2.4657534246575342E-2</v>
      </c>
      <c r="E35" s="3">
        <f t="shared" si="2"/>
        <v>2010</v>
      </c>
      <c r="F35" s="3">
        <f t="shared" si="3"/>
        <v>1</v>
      </c>
      <c r="G35" s="3">
        <f t="shared" si="4"/>
        <v>10</v>
      </c>
      <c r="H35" s="3">
        <f t="shared" si="5"/>
        <v>8</v>
      </c>
      <c r="I35" s="3">
        <f t="shared" si="6"/>
        <v>45</v>
      </c>
      <c r="J35" s="3">
        <f t="shared" si="7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8"/>
        <v>YES</v>
      </c>
      <c r="Q35" t="str">
        <f t="shared" si="9"/>
        <v>YES</v>
      </c>
      <c r="R35" t="str">
        <f t="shared" si="10"/>
        <v>NO</v>
      </c>
      <c r="T35" t="s">
        <v>133</v>
      </c>
      <c r="U35" t="str">
        <f t="shared" si="11"/>
        <v>Harvard St</v>
      </c>
      <c r="V35" t="s">
        <v>134</v>
      </c>
      <c r="W35" t="str">
        <f t="shared" si="12"/>
        <v>Quincy St</v>
      </c>
      <c r="X35" t="str">
        <f>IF(ISBLANK(S35),"Intersection","Non-Intersection")</f>
        <v>Intersection</v>
      </c>
      <c r="Y35" t="s">
        <v>135</v>
      </c>
      <c r="Z35" t="str">
        <f t="shared" si="13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0"/>
        <v>40179</v>
      </c>
      <c r="D36" s="4">
        <f t="shared" si="1"/>
        <v>2.7397260273972601E-2</v>
      </c>
      <c r="E36" s="3">
        <f t="shared" si="2"/>
        <v>2010</v>
      </c>
      <c r="F36" s="3">
        <f t="shared" si="3"/>
        <v>1</v>
      </c>
      <c r="G36" s="3">
        <f t="shared" si="4"/>
        <v>11</v>
      </c>
      <c r="H36" s="3">
        <f t="shared" si="5"/>
        <v>19</v>
      </c>
      <c r="I36" s="3">
        <f t="shared" si="6"/>
        <v>30</v>
      </c>
      <c r="J36" s="3">
        <f t="shared" si="7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8"/>
        <v>YES</v>
      </c>
      <c r="Q36" t="str">
        <f t="shared" si="9"/>
        <v>NO</v>
      </c>
      <c r="R36" t="str">
        <f t="shared" si="10"/>
        <v>NO</v>
      </c>
      <c r="T36" t="s">
        <v>14</v>
      </c>
      <c r="U36" t="str">
        <f t="shared" si="11"/>
        <v>Massachusetts Ave</v>
      </c>
      <c r="W36" t="str">
        <f t="shared" si="12"/>
        <v/>
      </c>
      <c r="X36" t="str">
        <f>IF(ISBLANK(S36),"Intersection","Non-Intersection")</f>
        <v>Intersection</v>
      </c>
      <c r="Y36" t="s">
        <v>137</v>
      </c>
      <c r="Z36" t="str">
        <f t="shared" si="13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0"/>
        <v>40179</v>
      </c>
      <c r="D37" s="4">
        <f t="shared" si="1"/>
        <v>2.7397260273972601E-2</v>
      </c>
      <c r="E37" s="3">
        <f t="shared" si="2"/>
        <v>2010</v>
      </c>
      <c r="F37" s="3">
        <f t="shared" si="3"/>
        <v>1</v>
      </c>
      <c r="G37" s="3">
        <f t="shared" si="4"/>
        <v>11</v>
      </c>
      <c r="H37" s="3">
        <f t="shared" si="5"/>
        <v>9</v>
      </c>
      <c r="I37" s="3">
        <f t="shared" si="6"/>
        <v>14</v>
      </c>
      <c r="J37" s="3">
        <f t="shared" si="7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8"/>
        <v>YES</v>
      </c>
      <c r="Q37" t="str">
        <f t="shared" si="9"/>
        <v>NO</v>
      </c>
      <c r="R37" t="str">
        <f t="shared" si="10"/>
        <v>NO</v>
      </c>
      <c r="T37" t="s">
        <v>105</v>
      </c>
      <c r="U37" t="str">
        <f t="shared" si="11"/>
        <v>Broadway</v>
      </c>
      <c r="V37" t="s">
        <v>138</v>
      </c>
      <c r="W37" t="str">
        <f t="shared" si="12"/>
        <v>Felton St</v>
      </c>
      <c r="X37" t="str">
        <f>IF(ISBLANK(S37),"Intersection","Non-Intersection")</f>
        <v>Intersection</v>
      </c>
      <c r="Y37" t="s">
        <v>139</v>
      </c>
      <c r="Z37" t="str">
        <f t="shared" si="13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0"/>
        <v>40179</v>
      </c>
      <c r="D38" s="4">
        <f t="shared" si="1"/>
        <v>3.0136986301369864E-2</v>
      </c>
      <c r="E38" s="3">
        <f t="shared" si="2"/>
        <v>2010</v>
      </c>
      <c r="F38" s="3">
        <f t="shared" si="3"/>
        <v>1</v>
      </c>
      <c r="G38" s="3">
        <f t="shared" si="4"/>
        <v>12</v>
      </c>
      <c r="H38" s="3">
        <f t="shared" si="5"/>
        <v>8</v>
      </c>
      <c r="I38" s="3">
        <f t="shared" si="6"/>
        <v>15</v>
      </c>
      <c r="J38" s="3">
        <f t="shared" si="7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8"/>
        <v>YES</v>
      </c>
      <c r="Q38" t="str">
        <f t="shared" si="9"/>
        <v>NO</v>
      </c>
      <c r="R38" t="str">
        <f t="shared" si="10"/>
        <v>NO</v>
      </c>
      <c r="T38" t="s">
        <v>141</v>
      </c>
      <c r="U38" t="str">
        <f t="shared" si="11"/>
        <v>Standish St</v>
      </c>
      <c r="V38" t="s">
        <v>142</v>
      </c>
      <c r="W38" t="str">
        <f t="shared" si="12"/>
        <v>Huron Ave</v>
      </c>
      <c r="X38" t="str">
        <f>IF(ISBLANK(S38),"Intersection","Non-Intersection")</f>
        <v>Intersection</v>
      </c>
      <c r="Y38" t="s">
        <v>143</v>
      </c>
      <c r="Z38" t="str">
        <f t="shared" si="13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0"/>
        <v>40179</v>
      </c>
      <c r="D39" s="4">
        <f t="shared" si="1"/>
        <v>3.0136986301369864E-2</v>
      </c>
      <c r="E39" s="3">
        <f t="shared" si="2"/>
        <v>2010</v>
      </c>
      <c r="F39" s="3">
        <f t="shared" si="3"/>
        <v>1</v>
      </c>
      <c r="G39" s="3">
        <f t="shared" si="4"/>
        <v>12</v>
      </c>
      <c r="H39" s="3">
        <f t="shared" si="5"/>
        <v>23</v>
      </c>
      <c r="I39" s="3">
        <f t="shared" si="6"/>
        <v>55</v>
      </c>
      <c r="J39" s="3">
        <f t="shared" si="7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8"/>
        <v>YES</v>
      </c>
      <c r="Q39" t="str">
        <f t="shared" si="9"/>
        <v>NO</v>
      </c>
      <c r="R39" t="str">
        <f t="shared" si="10"/>
        <v>NO</v>
      </c>
      <c r="S39">
        <v>122</v>
      </c>
      <c r="T39" t="s">
        <v>146</v>
      </c>
      <c r="U39" t="str">
        <f t="shared" si="11"/>
        <v>Spring St</v>
      </c>
      <c r="V39" t="s">
        <v>147</v>
      </c>
      <c r="W39" t="str">
        <f t="shared" si="12"/>
        <v>Sixth St</v>
      </c>
      <c r="X39" t="str">
        <f>IF(ISBLANK(S39),"Intersection","Non-Intersection")</f>
        <v>Non-Intersection</v>
      </c>
      <c r="Y39" t="s">
        <v>148</v>
      </c>
      <c r="Z39" t="str">
        <f t="shared" si="13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0"/>
        <v>40179</v>
      </c>
      <c r="D40" s="4">
        <f t="shared" si="1"/>
        <v>3.287671232876712E-2</v>
      </c>
      <c r="E40" s="3">
        <f t="shared" si="2"/>
        <v>2010</v>
      </c>
      <c r="F40" s="3">
        <f t="shared" si="3"/>
        <v>1</v>
      </c>
      <c r="G40" s="3">
        <f t="shared" si="4"/>
        <v>13</v>
      </c>
      <c r="H40" s="3">
        <f t="shared" si="5"/>
        <v>2</v>
      </c>
      <c r="I40" s="3">
        <f t="shared" si="6"/>
        <v>17</v>
      </c>
      <c r="J40" s="3">
        <f t="shared" si="7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8"/>
        <v>YES</v>
      </c>
      <c r="Q40" t="str">
        <f t="shared" si="9"/>
        <v>NO</v>
      </c>
      <c r="R40" t="str">
        <f t="shared" si="10"/>
        <v>NO</v>
      </c>
      <c r="T40" t="s">
        <v>19</v>
      </c>
      <c r="U40" t="str">
        <f t="shared" si="11"/>
        <v>Cambridge St</v>
      </c>
      <c r="V40" t="s">
        <v>134</v>
      </c>
      <c r="W40" t="str">
        <f t="shared" si="12"/>
        <v>Quincy St</v>
      </c>
      <c r="X40" t="str">
        <f>IF(ISBLANK(S40),"Intersection","Non-Intersection")</f>
        <v>Intersection</v>
      </c>
      <c r="Y40" t="s">
        <v>150</v>
      </c>
      <c r="Z40" t="str">
        <f t="shared" si="13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0"/>
        <v>40179</v>
      </c>
      <c r="D41" s="4">
        <f t="shared" si="1"/>
        <v>3.287671232876712E-2</v>
      </c>
      <c r="E41" s="3">
        <f t="shared" si="2"/>
        <v>2010</v>
      </c>
      <c r="F41" s="3">
        <f t="shared" si="3"/>
        <v>1</v>
      </c>
      <c r="G41" s="3">
        <f t="shared" si="4"/>
        <v>13</v>
      </c>
      <c r="H41" s="3">
        <f t="shared" si="5"/>
        <v>8</v>
      </c>
      <c r="I41" s="3">
        <f t="shared" si="6"/>
        <v>29</v>
      </c>
      <c r="J41" s="3">
        <f t="shared" si="7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8"/>
        <v>YES</v>
      </c>
      <c r="Q41" t="str">
        <f t="shared" si="9"/>
        <v>NO</v>
      </c>
      <c r="R41" t="str">
        <f t="shared" si="10"/>
        <v>YES</v>
      </c>
      <c r="T41" t="s">
        <v>70</v>
      </c>
      <c r="U41" t="str">
        <f t="shared" si="11"/>
        <v>Pearl St</v>
      </c>
      <c r="V41" t="s">
        <v>108</v>
      </c>
      <c r="W41" t="str">
        <f t="shared" si="12"/>
        <v>Franklin St</v>
      </c>
      <c r="X41" t="str">
        <f>IF(ISBLANK(S41),"Intersection","Non-Intersection")</f>
        <v>Intersection</v>
      </c>
      <c r="Y41" t="s">
        <v>153</v>
      </c>
      <c r="Z41" t="str">
        <f t="shared" si="13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0"/>
        <v>40179</v>
      </c>
      <c r="D42" s="4">
        <f t="shared" si="1"/>
        <v>3.5616438356164383E-2</v>
      </c>
      <c r="E42" s="3">
        <f t="shared" si="2"/>
        <v>2010</v>
      </c>
      <c r="F42" s="3">
        <f t="shared" si="3"/>
        <v>1</v>
      </c>
      <c r="G42" s="3">
        <f t="shared" si="4"/>
        <v>14</v>
      </c>
      <c r="H42" s="3">
        <f t="shared" si="5"/>
        <v>15</v>
      </c>
      <c r="I42" s="3">
        <f t="shared" si="6"/>
        <v>30</v>
      </c>
      <c r="J42" s="3">
        <f t="shared" si="7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8"/>
        <v>YES</v>
      </c>
      <c r="Q42" t="str">
        <f t="shared" si="9"/>
        <v>NO</v>
      </c>
      <c r="R42" t="str">
        <f t="shared" si="10"/>
        <v>NO</v>
      </c>
      <c r="T42" t="s">
        <v>156</v>
      </c>
      <c r="U42" t="str">
        <f t="shared" si="11"/>
        <v>Magee St</v>
      </c>
      <c r="V42" t="s">
        <v>42</v>
      </c>
      <c r="W42" t="str">
        <f t="shared" si="12"/>
        <v>Putnam Ave</v>
      </c>
      <c r="X42" t="str">
        <f>IF(ISBLANK(S42),"Intersection","Non-Intersection")</f>
        <v>Intersection</v>
      </c>
      <c r="Y42" t="s">
        <v>157</v>
      </c>
      <c r="Z42" t="str">
        <f t="shared" si="13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0"/>
        <v>40179</v>
      </c>
      <c r="D43" s="4">
        <f t="shared" si="1"/>
        <v>3.5616438356164383E-2</v>
      </c>
      <c r="E43" s="3">
        <f t="shared" si="2"/>
        <v>2010</v>
      </c>
      <c r="F43" s="3">
        <f t="shared" si="3"/>
        <v>1</v>
      </c>
      <c r="G43" s="3">
        <f t="shared" si="4"/>
        <v>14</v>
      </c>
      <c r="H43" s="3">
        <f t="shared" si="5"/>
        <v>15</v>
      </c>
      <c r="I43" s="3">
        <f t="shared" si="6"/>
        <v>30</v>
      </c>
      <c r="J43" s="3">
        <f t="shared" si="7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8"/>
        <v>YES</v>
      </c>
      <c r="Q43" t="str">
        <f t="shared" si="9"/>
        <v>NO</v>
      </c>
      <c r="R43" t="str">
        <f t="shared" si="10"/>
        <v>NO</v>
      </c>
      <c r="S43">
        <v>65</v>
      </c>
      <c r="T43" t="s">
        <v>159</v>
      </c>
      <c r="U43" t="str">
        <f t="shared" si="11"/>
        <v>Winter St</v>
      </c>
      <c r="W43" t="str">
        <f t="shared" si="12"/>
        <v/>
      </c>
      <c r="X43" t="str">
        <f>IF(ISBLANK(S43),"Intersection","Non-Intersection")</f>
        <v>Non-Intersection</v>
      </c>
      <c r="Y43" t="s">
        <v>160</v>
      </c>
      <c r="Z43" t="str">
        <f t="shared" si="13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0"/>
        <v>40179</v>
      </c>
      <c r="D44" s="4">
        <f t="shared" si="1"/>
        <v>3.8356164383561646E-2</v>
      </c>
      <c r="E44" s="3">
        <f t="shared" si="2"/>
        <v>2010</v>
      </c>
      <c r="F44" s="3">
        <f t="shared" si="3"/>
        <v>1</v>
      </c>
      <c r="G44" s="3">
        <f t="shared" si="4"/>
        <v>15</v>
      </c>
      <c r="H44" s="3">
        <f t="shared" si="5"/>
        <v>15</v>
      </c>
      <c r="I44" s="3">
        <f t="shared" si="6"/>
        <v>0</v>
      </c>
      <c r="J44" s="3">
        <f t="shared" si="7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8"/>
        <v>YES</v>
      </c>
      <c r="Q44" t="str">
        <f t="shared" si="9"/>
        <v>NO</v>
      </c>
      <c r="R44" t="str">
        <f t="shared" si="10"/>
        <v>NO</v>
      </c>
      <c r="T44" t="s">
        <v>166</v>
      </c>
      <c r="U44" t="str">
        <f t="shared" si="11"/>
        <v>Oxford Ave</v>
      </c>
      <c r="V44" t="s">
        <v>167</v>
      </c>
      <c r="W44" t="str">
        <f t="shared" si="12"/>
        <v>Wendell St</v>
      </c>
      <c r="X44" t="str">
        <f>IF(ISBLANK(S44),"Intersection","Non-Intersection")</f>
        <v>Intersection</v>
      </c>
      <c r="Y44" t="s">
        <v>168</v>
      </c>
      <c r="Z44" t="str">
        <f t="shared" si="13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0"/>
        <v>40179</v>
      </c>
      <c r="D45" s="4">
        <f t="shared" si="1"/>
        <v>3.8356164383561646E-2</v>
      </c>
      <c r="E45" s="3">
        <f t="shared" si="2"/>
        <v>2010</v>
      </c>
      <c r="F45" s="3">
        <f t="shared" si="3"/>
        <v>1</v>
      </c>
      <c r="G45" s="3">
        <f t="shared" si="4"/>
        <v>15</v>
      </c>
      <c r="H45" s="3">
        <f t="shared" si="5"/>
        <v>17</v>
      </c>
      <c r="I45" s="3">
        <f t="shared" si="6"/>
        <v>10</v>
      </c>
      <c r="J45" s="3">
        <f t="shared" si="7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8"/>
        <v>YES</v>
      </c>
      <c r="Q45" t="str">
        <f t="shared" si="9"/>
        <v>NO</v>
      </c>
      <c r="R45" t="str">
        <f t="shared" si="10"/>
        <v>NO</v>
      </c>
      <c r="T45" t="s">
        <v>170</v>
      </c>
      <c r="U45" t="str">
        <f t="shared" si="11"/>
        <v>Alewife Brook Pky</v>
      </c>
      <c r="V45" t="s">
        <v>171</v>
      </c>
      <c r="W45" t="str">
        <f t="shared" si="12"/>
        <v>Whittemore Ave</v>
      </c>
      <c r="X45" t="str">
        <f>IF(ISBLANK(S45),"Intersection","Non-Intersection")</f>
        <v>Intersection</v>
      </c>
      <c r="Y45" t="s">
        <v>172</v>
      </c>
      <c r="Z45" t="str">
        <f t="shared" si="13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0"/>
        <v>40179</v>
      </c>
      <c r="D46" s="4">
        <f t="shared" si="1"/>
        <v>4.1095890410958902E-2</v>
      </c>
      <c r="E46" s="3">
        <f t="shared" si="2"/>
        <v>2010</v>
      </c>
      <c r="F46" s="3">
        <f t="shared" si="3"/>
        <v>1</v>
      </c>
      <c r="G46" s="3">
        <f t="shared" si="4"/>
        <v>16</v>
      </c>
      <c r="H46" s="3">
        <f t="shared" si="5"/>
        <v>15</v>
      </c>
      <c r="I46" s="3">
        <f t="shared" si="6"/>
        <v>0</v>
      </c>
      <c r="J46" s="3">
        <f t="shared" si="7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8"/>
        <v>YES</v>
      </c>
      <c r="Q46" t="str">
        <f t="shared" si="9"/>
        <v>NO</v>
      </c>
      <c r="R46" t="str">
        <f t="shared" si="10"/>
        <v>NO</v>
      </c>
      <c r="S46">
        <v>14</v>
      </c>
      <c r="T46" t="s">
        <v>28</v>
      </c>
      <c r="U46" t="str">
        <f t="shared" si="11"/>
        <v>Howard St</v>
      </c>
      <c r="W46" t="str">
        <f t="shared" si="12"/>
        <v/>
      </c>
      <c r="X46" t="str">
        <f>IF(ISBLANK(S46),"Intersection","Non-Intersection")</f>
        <v>Non-Intersection</v>
      </c>
      <c r="Y46" t="s">
        <v>174</v>
      </c>
      <c r="Z46" t="str">
        <f t="shared" si="13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0"/>
        <v>40179</v>
      </c>
      <c r="D47" s="4">
        <f t="shared" si="1"/>
        <v>4.1095890410958902E-2</v>
      </c>
      <c r="E47" s="3">
        <f t="shared" si="2"/>
        <v>2010</v>
      </c>
      <c r="F47" s="3">
        <f t="shared" si="3"/>
        <v>1</v>
      </c>
      <c r="G47" s="3">
        <f t="shared" si="4"/>
        <v>16</v>
      </c>
      <c r="H47" s="3">
        <f t="shared" si="5"/>
        <v>19</v>
      </c>
      <c r="I47" s="3">
        <f t="shared" si="6"/>
        <v>48</v>
      </c>
      <c r="J47" s="3">
        <f t="shared" si="7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8"/>
        <v>YES</v>
      </c>
      <c r="Q47" t="str">
        <f t="shared" si="9"/>
        <v>YES</v>
      </c>
      <c r="R47" t="str">
        <f t="shared" si="10"/>
        <v>NO</v>
      </c>
      <c r="T47" t="s">
        <v>74</v>
      </c>
      <c r="U47" t="str">
        <f t="shared" si="11"/>
        <v>Hampshire St</v>
      </c>
      <c r="V47" t="s">
        <v>75</v>
      </c>
      <c r="W47" t="str">
        <f t="shared" si="12"/>
        <v>Elm St</v>
      </c>
      <c r="X47" t="str">
        <f>IF(ISBLANK(S47),"Intersection","Non-Intersection")</f>
        <v>Intersection</v>
      </c>
      <c r="Y47" t="s">
        <v>76</v>
      </c>
      <c r="Z47" t="str">
        <f t="shared" si="13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0"/>
        <v>40179</v>
      </c>
      <c r="D48" s="4">
        <f t="shared" si="1"/>
        <v>4.1095890410958902E-2</v>
      </c>
      <c r="E48" s="3">
        <f t="shared" si="2"/>
        <v>2010</v>
      </c>
      <c r="F48" s="3">
        <f t="shared" si="3"/>
        <v>1</v>
      </c>
      <c r="G48" s="3">
        <f t="shared" si="4"/>
        <v>16</v>
      </c>
      <c r="H48" s="3">
        <f t="shared" si="5"/>
        <v>23</v>
      </c>
      <c r="I48" s="3">
        <f t="shared" si="6"/>
        <v>49</v>
      </c>
      <c r="J48" s="3">
        <f t="shared" si="7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8"/>
        <v>YES</v>
      </c>
      <c r="Q48" t="str">
        <f t="shared" si="9"/>
        <v>NO</v>
      </c>
      <c r="R48" t="str">
        <f t="shared" si="10"/>
        <v>NO</v>
      </c>
      <c r="T48" t="s">
        <v>37</v>
      </c>
      <c r="U48" t="str">
        <f t="shared" si="11"/>
        <v>Magazine St</v>
      </c>
      <c r="W48" t="str">
        <f t="shared" si="12"/>
        <v/>
      </c>
      <c r="X48" t="str">
        <f>IF(ISBLANK(S48),"Intersection","Non-Intersection")</f>
        <v>Intersection</v>
      </c>
      <c r="Y48" t="s">
        <v>176</v>
      </c>
      <c r="Z48" t="str">
        <f t="shared" si="13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0"/>
        <v>40179</v>
      </c>
      <c r="D49" s="4">
        <f t="shared" si="1"/>
        <v>4.3835616438356165E-2</v>
      </c>
      <c r="E49" s="3">
        <f t="shared" si="2"/>
        <v>2010</v>
      </c>
      <c r="F49" s="3">
        <f t="shared" si="3"/>
        <v>1</v>
      </c>
      <c r="G49" s="3">
        <f t="shared" si="4"/>
        <v>17</v>
      </c>
      <c r="H49" s="3">
        <f t="shared" si="5"/>
        <v>14</v>
      </c>
      <c r="I49" s="3">
        <f t="shared" si="6"/>
        <v>19</v>
      </c>
      <c r="J49" s="3">
        <f t="shared" si="7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8"/>
        <v>YES</v>
      </c>
      <c r="Q49" t="str">
        <f t="shared" si="9"/>
        <v>NO</v>
      </c>
      <c r="R49" t="str">
        <f t="shared" si="10"/>
        <v>NO</v>
      </c>
      <c r="T49" t="s">
        <v>42</v>
      </c>
      <c r="U49" t="str">
        <f t="shared" si="11"/>
        <v>Putnam Ave</v>
      </c>
      <c r="V49" t="s">
        <v>178</v>
      </c>
      <c r="W49" t="str">
        <f t="shared" si="12"/>
        <v>Pleasant St</v>
      </c>
      <c r="X49" t="str">
        <f>IF(ISBLANK(S49),"Intersection","Non-Intersection")</f>
        <v>Intersection</v>
      </c>
      <c r="Y49" t="s">
        <v>179</v>
      </c>
      <c r="Z49" t="str">
        <f t="shared" si="13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0"/>
        <v>40179</v>
      </c>
      <c r="D50" s="4">
        <f t="shared" si="1"/>
        <v>4.3835616438356165E-2</v>
      </c>
      <c r="E50" s="3">
        <f t="shared" si="2"/>
        <v>2010</v>
      </c>
      <c r="F50" s="3">
        <f t="shared" si="3"/>
        <v>1</v>
      </c>
      <c r="G50" s="3">
        <f t="shared" si="4"/>
        <v>17</v>
      </c>
      <c r="H50" s="3">
        <f t="shared" si="5"/>
        <v>0</v>
      </c>
      <c r="I50" s="3">
        <f t="shared" si="6"/>
        <v>14</v>
      </c>
      <c r="J50" s="3">
        <f t="shared" si="7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8"/>
        <v>YES</v>
      </c>
      <c r="Q50" t="str">
        <f t="shared" si="9"/>
        <v>NO</v>
      </c>
      <c r="R50" t="str">
        <f t="shared" si="10"/>
        <v>NO</v>
      </c>
      <c r="S50">
        <v>153</v>
      </c>
      <c r="T50" t="s">
        <v>181</v>
      </c>
      <c r="U50" t="str">
        <f t="shared" si="11"/>
        <v>Florence St</v>
      </c>
      <c r="V50" t="s">
        <v>37</v>
      </c>
      <c r="W50" t="str">
        <f t="shared" si="12"/>
        <v>Magazine St</v>
      </c>
      <c r="X50" t="str">
        <f>IF(ISBLANK(S50),"Intersection","Non-Intersection")</f>
        <v>Non-Intersection</v>
      </c>
      <c r="Y50" t="s">
        <v>182</v>
      </c>
      <c r="Z50" t="str">
        <f t="shared" si="13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0"/>
        <v>40179</v>
      </c>
      <c r="D51" s="4">
        <f t="shared" si="1"/>
        <v>4.3835616438356165E-2</v>
      </c>
      <c r="E51" s="3">
        <f t="shared" si="2"/>
        <v>2010</v>
      </c>
      <c r="F51" s="3">
        <f t="shared" si="3"/>
        <v>1</v>
      </c>
      <c r="G51" s="3">
        <f t="shared" si="4"/>
        <v>17</v>
      </c>
      <c r="H51" s="3">
        <f t="shared" si="5"/>
        <v>3</v>
      </c>
      <c r="I51" s="3">
        <f t="shared" si="6"/>
        <v>59</v>
      </c>
      <c r="J51" s="3">
        <f t="shared" si="7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8"/>
        <v>YES</v>
      </c>
      <c r="Q51" t="str">
        <f t="shared" si="9"/>
        <v>NO</v>
      </c>
      <c r="R51" t="str">
        <f t="shared" si="10"/>
        <v>NO</v>
      </c>
      <c r="T51" t="s">
        <v>185</v>
      </c>
      <c r="U51" t="str">
        <f t="shared" si="11"/>
        <v>Garden St</v>
      </c>
      <c r="V51" t="s">
        <v>186</v>
      </c>
      <c r="W51" t="str">
        <f t="shared" si="12"/>
        <v>Concord Ave</v>
      </c>
      <c r="X51" t="str">
        <f>IF(ISBLANK(S51),"Intersection","Non-Intersection")</f>
        <v>Intersection</v>
      </c>
      <c r="Y51" t="s">
        <v>187</v>
      </c>
      <c r="Z51" t="str">
        <f t="shared" si="13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0"/>
        <v>40179</v>
      </c>
      <c r="D52" s="4">
        <f t="shared" si="1"/>
        <v>4.3835616438356165E-2</v>
      </c>
      <c r="E52" s="3">
        <f t="shared" si="2"/>
        <v>2010</v>
      </c>
      <c r="F52" s="3">
        <f t="shared" si="3"/>
        <v>1</v>
      </c>
      <c r="G52" s="3">
        <f t="shared" si="4"/>
        <v>17</v>
      </c>
      <c r="H52" s="3">
        <f t="shared" si="5"/>
        <v>14</v>
      </c>
      <c r="I52" s="3">
        <f t="shared" si="6"/>
        <v>0</v>
      </c>
      <c r="J52" s="3">
        <f t="shared" si="7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8"/>
        <v>YES</v>
      </c>
      <c r="Q52" t="str">
        <f t="shared" si="9"/>
        <v>NO</v>
      </c>
      <c r="R52" t="str">
        <f t="shared" si="10"/>
        <v>NO</v>
      </c>
      <c r="S52">
        <v>274</v>
      </c>
      <c r="T52" t="s">
        <v>189</v>
      </c>
      <c r="U52" t="str">
        <f t="shared" si="11"/>
        <v>Windsor St</v>
      </c>
      <c r="W52" t="str">
        <f t="shared" si="12"/>
        <v/>
      </c>
      <c r="X52" t="str">
        <f>IF(ISBLANK(S52),"Intersection","Non-Intersection")</f>
        <v>Non-Intersection</v>
      </c>
      <c r="Y52" t="s">
        <v>190</v>
      </c>
      <c r="Z52" t="str">
        <f t="shared" si="13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0"/>
        <v>40179</v>
      </c>
      <c r="D53" s="4">
        <f t="shared" si="1"/>
        <v>4.6575342465753428E-2</v>
      </c>
      <c r="E53" s="3">
        <f t="shared" si="2"/>
        <v>2010</v>
      </c>
      <c r="F53" s="3">
        <f t="shared" si="3"/>
        <v>1</v>
      </c>
      <c r="G53" s="3">
        <f t="shared" si="4"/>
        <v>18</v>
      </c>
      <c r="H53" s="3">
        <f t="shared" si="5"/>
        <v>2</v>
      </c>
      <c r="I53" s="3">
        <f t="shared" si="6"/>
        <v>23</v>
      </c>
      <c r="J53" s="3">
        <f t="shared" si="7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8"/>
        <v>YES</v>
      </c>
      <c r="Q53" t="str">
        <f t="shared" si="9"/>
        <v>NO</v>
      </c>
      <c r="R53" t="str">
        <f t="shared" si="10"/>
        <v>YES</v>
      </c>
      <c r="T53" t="s">
        <v>14</v>
      </c>
      <c r="U53" t="str">
        <f t="shared" si="11"/>
        <v>Massachusetts Ave</v>
      </c>
      <c r="V53" t="s">
        <v>192</v>
      </c>
      <c r="W53" t="str">
        <f t="shared" si="12"/>
        <v>Hancock St</v>
      </c>
      <c r="X53" t="str">
        <f>IF(ISBLANK(S53),"Intersection","Non-Intersection")</f>
        <v>Intersection</v>
      </c>
      <c r="Y53" t="s">
        <v>193</v>
      </c>
      <c r="Z53" t="str">
        <f t="shared" si="13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0"/>
        <v>40179</v>
      </c>
      <c r="D54" s="4">
        <f t="shared" si="1"/>
        <v>4.6575342465753428E-2</v>
      </c>
      <c r="E54" s="3">
        <f t="shared" si="2"/>
        <v>2010</v>
      </c>
      <c r="F54" s="3">
        <f t="shared" si="3"/>
        <v>1</v>
      </c>
      <c r="G54" s="3">
        <f t="shared" si="4"/>
        <v>18</v>
      </c>
      <c r="H54" s="3">
        <f t="shared" si="5"/>
        <v>10</v>
      </c>
      <c r="I54" s="3">
        <f t="shared" si="6"/>
        <v>21</v>
      </c>
      <c r="J54" s="3">
        <f t="shared" si="7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8"/>
        <v>YES</v>
      </c>
      <c r="Q54" t="str">
        <f t="shared" si="9"/>
        <v>NO</v>
      </c>
      <c r="R54" t="str">
        <f t="shared" si="10"/>
        <v>YES</v>
      </c>
      <c r="T54" t="s">
        <v>14</v>
      </c>
      <c r="U54" t="str">
        <f t="shared" si="11"/>
        <v>Massachusetts Ave</v>
      </c>
      <c r="V54" t="s">
        <v>195</v>
      </c>
      <c r="W54" t="str">
        <f t="shared" si="12"/>
        <v>Sidney St</v>
      </c>
      <c r="X54" t="str">
        <f>IF(ISBLANK(S54),"Intersection","Non-Intersection")</f>
        <v>Intersection</v>
      </c>
      <c r="Y54" t="s">
        <v>196</v>
      </c>
      <c r="Z54" t="str">
        <f t="shared" si="13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0"/>
        <v>40179</v>
      </c>
      <c r="D55" s="4">
        <f t="shared" si="1"/>
        <v>4.6575342465753428E-2</v>
      </c>
      <c r="E55" s="3">
        <f t="shared" si="2"/>
        <v>2010</v>
      </c>
      <c r="F55" s="3">
        <f t="shared" si="3"/>
        <v>1</v>
      </c>
      <c r="G55" s="3">
        <f t="shared" si="4"/>
        <v>18</v>
      </c>
      <c r="H55" s="3">
        <f t="shared" si="5"/>
        <v>9</v>
      </c>
      <c r="I55" s="3">
        <f t="shared" si="6"/>
        <v>45</v>
      </c>
      <c r="J55" s="3">
        <f t="shared" si="7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8"/>
        <v>YES</v>
      </c>
      <c r="Q55" t="str">
        <f t="shared" si="9"/>
        <v>NO</v>
      </c>
      <c r="R55" t="str">
        <f t="shared" si="10"/>
        <v>NO</v>
      </c>
      <c r="S55">
        <v>589</v>
      </c>
      <c r="T55" t="s">
        <v>198</v>
      </c>
      <c r="U55" t="str">
        <f t="shared" si="11"/>
        <v>Mount Auburn St</v>
      </c>
      <c r="V55" t="s">
        <v>199</v>
      </c>
      <c r="W55" t="str">
        <f t="shared" si="12"/>
        <v>Brattle St</v>
      </c>
      <c r="X55" t="str">
        <f>IF(ISBLANK(S55),"Intersection","Non-Intersection")</f>
        <v>Non-Intersection</v>
      </c>
      <c r="Y55" t="s">
        <v>200</v>
      </c>
      <c r="Z55" t="str">
        <f t="shared" si="13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0"/>
        <v>40179</v>
      </c>
      <c r="D56" s="4">
        <f t="shared" si="1"/>
        <v>4.9315068493150684E-2</v>
      </c>
      <c r="E56" s="3">
        <f t="shared" si="2"/>
        <v>2010</v>
      </c>
      <c r="F56" s="3">
        <f t="shared" si="3"/>
        <v>1</v>
      </c>
      <c r="G56" s="3">
        <f t="shared" si="4"/>
        <v>19</v>
      </c>
      <c r="H56" s="3">
        <f t="shared" si="5"/>
        <v>8</v>
      </c>
      <c r="I56" s="3">
        <f t="shared" si="6"/>
        <v>22</v>
      </c>
      <c r="J56" s="3">
        <f t="shared" si="7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8"/>
        <v>YES</v>
      </c>
      <c r="Q56" t="str">
        <f t="shared" si="9"/>
        <v>NO</v>
      </c>
      <c r="R56" t="str">
        <f t="shared" si="10"/>
        <v>NO</v>
      </c>
      <c r="S56">
        <v>620</v>
      </c>
      <c r="T56" t="s">
        <v>202</v>
      </c>
      <c r="U56" t="str">
        <f t="shared" si="11"/>
        <v>Vassar St</v>
      </c>
      <c r="V56" t="s">
        <v>203</v>
      </c>
      <c r="W56" t="str">
        <f t="shared" si="12"/>
        <v>Memorial Dr</v>
      </c>
      <c r="X56" t="str">
        <f>IF(ISBLANK(S56),"Intersection","Non-Intersection")</f>
        <v>Non-Intersection</v>
      </c>
      <c r="Y56" t="s">
        <v>204</v>
      </c>
      <c r="Z56" t="str">
        <f t="shared" si="13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0"/>
        <v>40179</v>
      </c>
      <c r="D57" s="4">
        <f t="shared" si="1"/>
        <v>4.9315068493150684E-2</v>
      </c>
      <c r="E57" s="3">
        <f t="shared" si="2"/>
        <v>2010</v>
      </c>
      <c r="F57" s="3">
        <f t="shared" si="3"/>
        <v>1</v>
      </c>
      <c r="G57" s="3">
        <f t="shared" si="4"/>
        <v>19</v>
      </c>
      <c r="H57" s="3">
        <f t="shared" si="5"/>
        <v>12</v>
      </c>
      <c r="I57" s="3">
        <f t="shared" si="6"/>
        <v>30</v>
      </c>
      <c r="J57" s="3">
        <f t="shared" si="7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8"/>
        <v>YES</v>
      </c>
      <c r="Q57" t="str">
        <f t="shared" si="9"/>
        <v>NO</v>
      </c>
      <c r="R57" t="str">
        <f t="shared" si="10"/>
        <v>NO</v>
      </c>
      <c r="T57" t="s">
        <v>101</v>
      </c>
      <c r="U57" t="str">
        <f t="shared" si="11"/>
        <v>Columbia St</v>
      </c>
      <c r="V57" t="s">
        <v>19</v>
      </c>
      <c r="W57" t="str">
        <f t="shared" si="12"/>
        <v>Cambridge St</v>
      </c>
      <c r="X57" t="str">
        <f>IF(ISBLANK(S57),"Intersection","Non-Intersection")</f>
        <v>Intersection</v>
      </c>
      <c r="Y57" t="s">
        <v>206</v>
      </c>
      <c r="Z57" t="str">
        <f t="shared" si="13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4">EOMONTH(B58,MONTH(B58)*-1)+1</f>
        <v>40179</v>
      </c>
      <c r="D58" s="4">
        <f t="shared" ref="D58:D118" si="15">YEARFRAC(C58,B58,1)</f>
        <v>4.9315068493150684E-2</v>
      </c>
      <c r="E58" s="3">
        <f t="shared" ref="E58:E118" si="16">YEAR(B58)</f>
        <v>2010</v>
      </c>
      <c r="F58" s="3">
        <f t="shared" ref="F58:F118" si="17">MONTH(B58)</f>
        <v>1</v>
      </c>
      <c r="G58" s="3">
        <f t="shared" ref="G58:G118" si="18">DAY(B58)</f>
        <v>19</v>
      </c>
      <c r="H58" s="3">
        <f t="shared" ref="H58:H118" si="19">HOUR(B58)</f>
        <v>21</v>
      </c>
      <c r="I58" s="3">
        <f t="shared" ref="I58:I118" si="20">MINUTE(B58)</f>
        <v>30</v>
      </c>
      <c r="J58" s="3">
        <f t="shared" ref="J58:J118" si="21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2">IF(OR(N58="Auto",O58="Auto"),"YES",IF(OR(N58="Taxi",O58="Taxi"),"YES",IF(OR(N58="Van",O58="Van"),"YES",IF(OR(N58="Truck",O58="Truck"),"YES","NO"))))</f>
        <v>YES</v>
      </c>
      <c r="Q58" t="str">
        <f t="shared" ref="Q58:Q118" si="23">IF(OR(N58="Bicycle",O58="Bicycle"),"YES","NO")</f>
        <v>NO</v>
      </c>
      <c r="R58" t="str">
        <f t="shared" ref="R58:R118" si="24">IF(OR(N58="Pedestrian",O58="Pedestrian"),"YES","NO")</f>
        <v>NO</v>
      </c>
      <c r="T58" t="s">
        <v>209</v>
      </c>
      <c r="U58" t="str">
        <f t="shared" si="11"/>
        <v>Binney St</v>
      </c>
      <c r="W58" t="str">
        <f t="shared" si="12"/>
        <v/>
      </c>
      <c r="X58" t="str">
        <f>IF(ISBLANK(S58),"Intersection","Non-Intersection")</f>
        <v>Intersection</v>
      </c>
      <c r="Y58" t="s">
        <v>210</v>
      </c>
      <c r="Z58" t="str">
        <f t="shared" si="13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4"/>
        <v>40179</v>
      </c>
      <c r="D59" s="4">
        <f t="shared" si="15"/>
        <v>5.2054794520547946E-2</v>
      </c>
      <c r="E59" s="3">
        <f t="shared" si="16"/>
        <v>2010</v>
      </c>
      <c r="F59" s="3">
        <f t="shared" si="17"/>
        <v>1</v>
      </c>
      <c r="G59" s="3">
        <f t="shared" si="18"/>
        <v>20</v>
      </c>
      <c r="H59" s="3">
        <f t="shared" si="19"/>
        <v>17</v>
      </c>
      <c r="I59" s="3">
        <f t="shared" si="20"/>
        <v>48</v>
      </c>
      <c r="J59" s="3">
        <f t="shared" si="21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2"/>
        <v>YES</v>
      </c>
      <c r="Q59" t="str">
        <f t="shared" si="23"/>
        <v>NO</v>
      </c>
      <c r="R59" t="str">
        <f t="shared" si="24"/>
        <v>NO</v>
      </c>
      <c r="S59">
        <v>100</v>
      </c>
      <c r="T59" t="s">
        <v>74</v>
      </c>
      <c r="U59" t="str">
        <f t="shared" si="11"/>
        <v>Hampshire St</v>
      </c>
      <c r="W59" t="str">
        <f t="shared" si="12"/>
        <v/>
      </c>
      <c r="X59" t="str">
        <f>IF(ISBLANK(S59),"Intersection","Non-Intersection")</f>
        <v>Non-Intersection</v>
      </c>
      <c r="Y59" t="s">
        <v>211</v>
      </c>
      <c r="Z59" t="str">
        <f t="shared" si="13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4"/>
        <v>40179</v>
      </c>
      <c r="D60" s="4">
        <f t="shared" si="15"/>
        <v>5.4794520547945202E-2</v>
      </c>
      <c r="E60" s="3">
        <f t="shared" si="16"/>
        <v>2010</v>
      </c>
      <c r="F60" s="3">
        <f t="shared" si="17"/>
        <v>1</v>
      </c>
      <c r="G60" s="3">
        <f t="shared" si="18"/>
        <v>21</v>
      </c>
      <c r="H60" s="3">
        <f t="shared" si="19"/>
        <v>23</v>
      </c>
      <c r="I60" s="3">
        <f t="shared" si="20"/>
        <v>29</v>
      </c>
      <c r="J60" s="3">
        <f t="shared" si="21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2"/>
        <v>YES</v>
      </c>
      <c r="Q60" t="str">
        <f t="shared" si="23"/>
        <v>NO</v>
      </c>
      <c r="R60" t="str">
        <f t="shared" si="24"/>
        <v>NO</v>
      </c>
      <c r="T60" t="s">
        <v>14</v>
      </c>
      <c r="U60" t="str">
        <f t="shared" si="11"/>
        <v>Massachusetts Ave</v>
      </c>
      <c r="V60" t="s">
        <v>213</v>
      </c>
      <c r="W60" t="str">
        <f t="shared" si="12"/>
        <v>Washburn Ave</v>
      </c>
      <c r="X60" t="str">
        <f>IF(ISBLANK(S60),"Intersection","Non-Intersection")</f>
        <v>Intersection</v>
      </c>
      <c r="Y60" t="s">
        <v>214</v>
      </c>
      <c r="Z60" t="str">
        <f t="shared" si="13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4"/>
        <v>40179</v>
      </c>
      <c r="D61" s="4">
        <f t="shared" si="15"/>
        <v>5.4794520547945202E-2</v>
      </c>
      <c r="E61" s="3">
        <f t="shared" si="16"/>
        <v>2010</v>
      </c>
      <c r="F61" s="3">
        <f t="shared" si="17"/>
        <v>1</v>
      </c>
      <c r="G61" s="3">
        <f t="shared" si="18"/>
        <v>21</v>
      </c>
      <c r="H61" s="3">
        <f t="shared" si="19"/>
        <v>21</v>
      </c>
      <c r="I61" s="3">
        <f t="shared" si="20"/>
        <v>59</v>
      </c>
      <c r="J61" s="3">
        <f t="shared" si="21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2"/>
        <v>YES</v>
      </c>
      <c r="Q61" t="str">
        <f t="shared" si="23"/>
        <v>NO</v>
      </c>
      <c r="R61" t="str">
        <f t="shared" si="24"/>
        <v>NO</v>
      </c>
      <c r="S61">
        <v>90</v>
      </c>
      <c r="T61" t="s">
        <v>216</v>
      </c>
      <c r="U61" t="str">
        <f t="shared" si="11"/>
        <v>Washington Ave</v>
      </c>
      <c r="W61" t="str">
        <f t="shared" si="12"/>
        <v/>
      </c>
      <c r="X61" t="str">
        <f>IF(ISBLANK(S61),"Intersection","Non-Intersection")</f>
        <v>Non-Intersection</v>
      </c>
      <c r="Y61" t="s">
        <v>217</v>
      </c>
      <c r="Z61" t="str">
        <f t="shared" si="13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4"/>
        <v>40179</v>
      </c>
      <c r="D62" s="4">
        <f t="shared" si="15"/>
        <v>5.7534246575342465E-2</v>
      </c>
      <c r="E62" s="3">
        <f t="shared" si="16"/>
        <v>2010</v>
      </c>
      <c r="F62" s="3">
        <f t="shared" si="17"/>
        <v>1</v>
      </c>
      <c r="G62" s="3">
        <f t="shared" si="18"/>
        <v>22</v>
      </c>
      <c r="H62" s="3">
        <f t="shared" si="19"/>
        <v>20</v>
      </c>
      <c r="I62" s="3">
        <f t="shared" si="20"/>
        <v>19</v>
      </c>
      <c r="J62" s="3">
        <f t="shared" si="21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2"/>
        <v>YES</v>
      </c>
      <c r="Q62" t="str">
        <f t="shared" si="23"/>
        <v>NO</v>
      </c>
      <c r="R62" t="str">
        <f t="shared" si="24"/>
        <v>NO</v>
      </c>
      <c r="S62">
        <v>20</v>
      </c>
      <c r="T62" t="s">
        <v>219</v>
      </c>
      <c r="U62" t="str">
        <f t="shared" si="11"/>
        <v>Sacramento St</v>
      </c>
      <c r="W62" t="str">
        <f t="shared" si="12"/>
        <v/>
      </c>
      <c r="X62" t="str">
        <f>IF(ISBLANK(S62),"Intersection","Non-Intersection")</f>
        <v>Non-Intersection</v>
      </c>
      <c r="Y62" t="s">
        <v>220</v>
      </c>
      <c r="Z62" t="str">
        <f t="shared" si="13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4"/>
        <v>40179</v>
      </c>
      <c r="D63" s="4">
        <f t="shared" si="15"/>
        <v>5.7534246575342465E-2</v>
      </c>
      <c r="E63" s="3">
        <f t="shared" si="16"/>
        <v>2010</v>
      </c>
      <c r="F63" s="3">
        <f t="shared" si="17"/>
        <v>1</v>
      </c>
      <c r="G63" s="3">
        <f t="shared" si="18"/>
        <v>22</v>
      </c>
      <c r="H63" s="3">
        <f t="shared" si="19"/>
        <v>13</v>
      </c>
      <c r="I63" s="3">
        <f t="shared" si="20"/>
        <v>15</v>
      </c>
      <c r="J63" s="3">
        <f t="shared" si="21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2"/>
        <v>YES</v>
      </c>
      <c r="Q63" t="str">
        <f t="shared" si="23"/>
        <v>YES</v>
      </c>
      <c r="R63" t="str">
        <f t="shared" si="24"/>
        <v>NO</v>
      </c>
      <c r="T63" t="s">
        <v>202</v>
      </c>
      <c r="U63" t="str">
        <f t="shared" si="11"/>
        <v>Vassar St</v>
      </c>
      <c r="V63" t="s">
        <v>14</v>
      </c>
      <c r="W63" t="str">
        <f t="shared" si="12"/>
        <v>Massachusetts Ave</v>
      </c>
      <c r="X63" t="str">
        <f>IF(ISBLANK(S63),"Intersection","Non-Intersection")</f>
        <v>Intersection</v>
      </c>
      <c r="Y63" t="s">
        <v>222</v>
      </c>
      <c r="Z63" t="str">
        <f t="shared" si="13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4"/>
        <v>40179</v>
      </c>
      <c r="D64" s="4">
        <f t="shared" si="15"/>
        <v>5.7534246575342465E-2</v>
      </c>
      <c r="E64" s="3">
        <f t="shared" si="16"/>
        <v>2010</v>
      </c>
      <c r="F64" s="3">
        <f t="shared" si="17"/>
        <v>1</v>
      </c>
      <c r="G64" s="3">
        <f t="shared" si="18"/>
        <v>22</v>
      </c>
      <c r="H64" s="3">
        <f t="shared" si="19"/>
        <v>15</v>
      </c>
      <c r="I64" s="3">
        <f t="shared" si="20"/>
        <v>0</v>
      </c>
      <c r="J64" s="3">
        <f t="shared" si="21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2"/>
        <v>YES</v>
      </c>
      <c r="Q64" t="str">
        <f t="shared" si="23"/>
        <v>NO</v>
      </c>
      <c r="R64" t="str">
        <f t="shared" si="24"/>
        <v>NO</v>
      </c>
      <c r="S64">
        <v>14</v>
      </c>
      <c r="T64" t="s">
        <v>224</v>
      </c>
      <c r="U64" t="str">
        <f t="shared" si="11"/>
        <v>Sumner Rd</v>
      </c>
      <c r="W64" t="str">
        <f t="shared" si="12"/>
        <v/>
      </c>
      <c r="X64" t="str">
        <f>IF(ISBLANK(S64),"Intersection","Non-Intersection")</f>
        <v>Non-Intersection</v>
      </c>
      <c r="Y64" t="s">
        <v>225</v>
      </c>
      <c r="Z64" t="str">
        <f t="shared" si="13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4"/>
        <v>40179</v>
      </c>
      <c r="D65" s="4">
        <f t="shared" si="15"/>
        <v>5.7534246575342465E-2</v>
      </c>
      <c r="E65" s="3">
        <f t="shared" si="16"/>
        <v>2010</v>
      </c>
      <c r="F65" s="3">
        <f t="shared" si="17"/>
        <v>1</v>
      </c>
      <c r="G65" s="3">
        <f t="shared" si="18"/>
        <v>22</v>
      </c>
      <c r="H65" s="3">
        <f t="shared" si="19"/>
        <v>23</v>
      </c>
      <c r="I65" s="3">
        <f t="shared" si="20"/>
        <v>36</v>
      </c>
      <c r="J65" s="3">
        <f t="shared" si="21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2"/>
        <v>YES</v>
      </c>
      <c r="Q65" t="str">
        <f t="shared" si="23"/>
        <v>NO</v>
      </c>
      <c r="R65" t="str">
        <f t="shared" si="24"/>
        <v>NO</v>
      </c>
      <c r="S65">
        <v>55</v>
      </c>
      <c r="T65" t="s">
        <v>101</v>
      </c>
      <c r="U65" t="str">
        <f t="shared" si="11"/>
        <v>Columbia St</v>
      </c>
      <c r="W65" t="str">
        <f t="shared" si="12"/>
        <v/>
      </c>
      <c r="X65" t="str">
        <f>IF(ISBLANK(S65),"Intersection","Non-Intersection")</f>
        <v>Non-Intersection</v>
      </c>
      <c r="Y65" t="s">
        <v>227</v>
      </c>
      <c r="Z65" t="str">
        <f t="shared" si="13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4"/>
        <v>40179</v>
      </c>
      <c r="D66" s="4">
        <f t="shared" si="15"/>
        <v>6.0273972602739728E-2</v>
      </c>
      <c r="E66" s="3">
        <f t="shared" si="16"/>
        <v>2010</v>
      </c>
      <c r="F66" s="3">
        <f t="shared" si="17"/>
        <v>1</v>
      </c>
      <c r="G66" s="3">
        <f t="shared" si="18"/>
        <v>23</v>
      </c>
      <c r="H66" s="3">
        <f t="shared" si="19"/>
        <v>19</v>
      </c>
      <c r="I66" s="3">
        <f t="shared" si="20"/>
        <v>28</v>
      </c>
      <c r="J66" s="3">
        <f t="shared" si="21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2"/>
        <v>YES</v>
      </c>
      <c r="Q66" t="str">
        <f t="shared" si="23"/>
        <v>NO</v>
      </c>
      <c r="R66" t="str">
        <f t="shared" si="24"/>
        <v>NO</v>
      </c>
      <c r="T66" t="s">
        <v>229</v>
      </c>
      <c r="U66" t="str">
        <f t="shared" si="11"/>
        <v>Dewolfe St</v>
      </c>
      <c r="V66" t="s">
        <v>230</v>
      </c>
      <c r="W66" t="str">
        <f t="shared" si="12"/>
        <v>Grant St</v>
      </c>
      <c r="X66" t="str">
        <f>IF(ISBLANK(S66),"Intersection","Non-Intersection")</f>
        <v>Intersection</v>
      </c>
      <c r="Y66" t="s">
        <v>231</v>
      </c>
      <c r="Z66" t="str">
        <f t="shared" si="13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4"/>
        <v>40179</v>
      </c>
      <c r="D67" s="4">
        <f t="shared" si="15"/>
        <v>6.3013698630136991E-2</v>
      </c>
      <c r="E67" s="3">
        <f t="shared" si="16"/>
        <v>2010</v>
      </c>
      <c r="F67" s="3">
        <f t="shared" si="17"/>
        <v>1</v>
      </c>
      <c r="G67" s="3">
        <f t="shared" si="18"/>
        <v>24</v>
      </c>
      <c r="H67" s="3">
        <f t="shared" si="19"/>
        <v>13</v>
      </c>
      <c r="I67" s="3">
        <f t="shared" si="20"/>
        <v>18</v>
      </c>
      <c r="J67" s="3">
        <f t="shared" si="21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2"/>
        <v>YES</v>
      </c>
      <c r="Q67" t="str">
        <f t="shared" si="23"/>
        <v>NO</v>
      </c>
      <c r="R67" t="str">
        <f t="shared" si="24"/>
        <v>NO</v>
      </c>
      <c r="T67" t="s">
        <v>142</v>
      </c>
      <c r="U67" t="str">
        <f t="shared" ref="U67:U130" si="25">TRIM(PROPER(T67))</f>
        <v>Huron Ave</v>
      </c>
      <c r="V67" t="s">
        <v>233</v>
      </c>
      <c r="W67" t="str">
        <f t="shared" ref="W67:W130" si="26">TRIM(PROPER(V67))</f>
        <v>Chilton St</v>
      </c>
      <c r="X67" t="str">
        <f>IF(ISBLANK(S67),"Intersection","Non-Intersection")</f>
        <v>Intersection</v>
      </c>
      <c r="Y67" t="s">
        <v>234</v>
      </c>
      <c r="Z67" t="str">
        <f t="shared" ref="Z67:Z130" si="27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4"/>
        <v>40179</v>
      </c>
      <c r="D68" s="4">
        <f t="shared" si="15"/>
        <v>6.575342465753424E-2</v>
      </c>
      <c r="E68" s="3">
        <f t="shared" si="16"/>
        <v>2010</v>
      </c>
      <c r="F68" s="3">
        <f t="shared" si="17"/>
        <v>1</v>
      </c>
      <c r="G68" s="3">
        <f t="shared" si="18"/>
        <v>25</v>
      </c>
      <c r="H68" s="3">
        <f t="shared" si="19"/>
        <v>10</v>
      </c>
      <c r="I68" s="3">
        <f t="shared" si="20"/>
        <v>44</v>
      </c>
      <c r="J68" s="3">
        <f t="shared" si="21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2"/>
        <v>YES</v>
      </c>
      <c r="Q68" t="str">
        <f t="shared" si="23"/>
        <v>NO</v>
      </c>
      <c r="R68" t="str">
        <f t="shared" si="24"/>
        <v>NO</v>
      </c>
      <c r="S68">
        <v>730</v>
      </c>
      <c r="T68" t="s">
        <v>203</v>
      </c>
      <c r="U68" t="str">
        <f t="shared" si="25"/>
        <v>Memorial Dr</v>
      </c>
      <c r="W68" t="str">
        <f t="shared" si="26"/>
        <v/>
      </c>
      <c r="X68" t="str">
        <f>IF(ISBLANK(S68),"Intersection","Non-Intersection")</f>
        <v>Non-Intersection</v>
      </c>
      <c r="Y68" t="s">
        <v>236</v>
      </c>
      <c r="Z68" t="str">
        <f t="shared" si="27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4"/>
        <v>40179</v>
      </c>
      <c r="D69" s="4">
        <f t="shared" si="15"/>
        <v>6.575342465753424E-2</v>
      </c>
      <c r="E69" s="3">
        <f t="shared" si="16"/>
        <v>2010</v>
      </c>
      <c r="F69" s="3">
        <f t="shared" si="17"/>
        <v>1</v>
      </c>
      <c r="G69" s="3">
        <f t="shared" si="18"/>
        <v>25</v>
      </c>
      <c r="H69" s="3">
        <f t="shared" si="19"/>
        <v>15</v>
      </c>
      <c r="I69" s="3">
        <f t="shared" si="20"/>
        <v>20</v>
      </c>
      <c r="J69" s="3">
        <f t="shared" si="21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2"/>
        <v>YES</v>
      </c>
      <c r="Q69" t="str">
        <f t="shared" si="23"/>
        <v>NO</v>
      </c>
      <c r="R69" t="str">
        <f t="shared" si="24"/>
        <v>YES</v>
      </c>
      <c r="T69" t="s">
        <v>238</v>
      </c>
      <c r="U69" t="str">
        <f t="shared" si="25"/>
        <v>Kirkland St</v>
      </c>
      <c r="W69" t="str">
        <f t="shared" si="26"/>
        <v/>
      </c>
      <c r="X69" t="str">
        <f>IF(ISBLANK(S69),"Intersection","Non-Intersection")</f>
        <v>Intersection</v>
      </c>
      <c r="Y69" t="s">
        <v>239</v>
      </c>
      <c r="Z69" t="str">
        <f t="shared" si="27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4"/>
        <v>40179</v>
      </c>
      <c r="D70" s="4">
        <f t="shared" si="15"/>
        <v>6.575342465753424E-2</v>
      </c>
      <c r="E70" s="3">
        <f t="shared" si="16"/>
        <v>2010</v>
      </c>
      <c r="F70" s="3">
        <f t="shared" si="17"/>
        <v>1</v>
      </c>
      <c r="G70" s="3">
        <f t="shared" si="18"/>
        <v>25</v>
      </c>
      <c r="H70" s="3">
        <f t="shared" si="19"/>
        <v>22</v>
      </c>
      <c r="I70" s="3">
        <f t="shared" si="20"/>
        <v>9</v>
      </c>
      <c r="J70" s="3">
        <f t="shared" si="21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2"/>
        <v>YES</v>
      </c>
      <c r="Q70" t="str">
        <f t="shared" si="23"/>
        <v>NO</v>
      </c>
      <c r="R70" t="str">
        <f t="shared" si="24"/>
        <v>NO</v>
      </c>
      <c r="S70">
        <v>1</v>
      </c>
      <c r="T70" t="s">
        <v>74</v>
      </c>
      <c r="U70" t="str">
        <f t="shared" si="25"/>
        <v>Hampshire St</v>
      </c>
      <c r="W70" t="str">
        <f t="shared" si="26"/>
        <v/>
      </c>
      <c r="X70" t="str">
        <f>IF(ISBLANK(S70),"Intersection","Non-Intersection")</f>
        <v>Non-Intersection</v>
      </c>
      <c r="Y70" t="s">
        <v>240</v>
      </c>
      <c r="Z70" t="str">
        <f t="shared" si="27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4"/>
        <v>40179</v>
      </c>
      <c r="D71" s="4">
        <f t="shared" si="15"/>
        <v>6.575342465753424E-2</v>
      </c>
      <c r="E71" s="3">
        <f t="shared" si="16"/>
        <v>2010</v>
      </c>
      <c r="F71" s="3">
        <f t="shared" si="17"/>
        <v>1</v>
      </c>
      <c r="G71" s="3">
        <f t="shared" si="18"/>
        <v>25</v>
      </c>
      <c r="H71" s="3">
        <f t="shared" si="19"/>
        <v>18</v>
      </c>
      <c r="I71" s="3">
        <f t="shared" si="20"/>
        <v>0</v>
      </c>
      <c r="J71" s="3">
        <f t="shared" si="21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2"/>
        <v>YES</v>
      </c>
      <c r="Q71" t="str">
        <f t="shared" si="23"/>
        <v>NO</v>
      </c>
      <c r="R71" t="str">
        <f t="shared" si="24"/>
        <v>NO</v>
      </c>
      <c r="S71">
        <v>186</v>
      </c>
      <c r="T71" t="s">
        <v>170</v>
      </c>
      <c r="U71" t="str">
        <f t="shared" si="25"/>
        <v>Alewife Brook Pky</v>
      </c>
      <c r="W71" t="str">
        <f t="shared" si="26"/>
        <v/>
      </c>
      <c r="X71" t="str">
        <f>IF(ISBLANK(S71),"Intersection","Non-Intersection")</f>
        <v>Non-Intersection</v>
      </c>
      <c r="Y71" t="s">
        <v>242</v>
      </c>
      <c r="Z71" t="str">
        <f t="shared" si="27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4"/>
        <v>40179</v>
      </c>
      <c r="D72" s="4">
        <f t="shared" si="15"/>
        <v>6.575342465753424E-2</v>
      </c>
      <c r="E72" s="3">
        <f t="shared" si="16"/>
        <v>2010</v>
      </c>
      <c r="F72" s="3">
        <f t="shared" si="17"/>
        <v>1</v>
      </c>
      <c r="G72" s="3">
        <f t="shared" si="18"/>
        <v>25</v>
      </c>
      <c r="H72" s="3">
        <f t="shared" si="19"/>
        <v>16</v>
      </c>
      <c r="I72" s="3">
        <f t="shared" si="20"/>
        <v>57</v>
      </c>
      <c r="J72" s="3">
        <f t="shared" si="21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2"/>
        <v>YES</v>
      </c>
      <c r="Q72" t="str">
        <f t="shared" si="23"/>
        <v>NO</v>
      </c>
      <c r="R72" t="str">
        <f t="shared" si="24"/>
        <v>NO</v>
      </c>
      <c r="T72" t="s">
        <v>19</v>
      </c>
      <c r="U72" t="str">
        <f t="shared" si="25"/>
        <v>Cambridge St</v>
      </c>
      <c r="V72" t="s">
        <v>189</v>
      </c>
      <c r="W72" t="str">
        <f t="shared" si="26"/>
        <v>Windsor St</v>
      </c>
      <c r="X72" t="str">
        <f>IF(ISBLANK(S72),"Intersection","Non-Intersection")</f>
        <v>Intersection</v>
      </c>
      <c r="Y72" t="s">
        <v>244</v>
      </c>
      <c r="Z72" t="str">
        <f t="shared" si="27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4"/>
        <v>40179</v>
      </c>
      <c r="D73" s="4">
        <f t="shared" si="15"/>
        <v>6.8493150684931503E-2</v>
      </c>
      <c r="E73" s="3">
        <f t="shared" si="16"/>
        <v>2010</v>
      </c>
      <c r="F73" s="3">
        <f t="shared" si="17"/>
        <v>1</v>
      </c>
      <c r="G73" s="3">
        <f t="shared" si="18"/>
        <v>26</v>
      </c>
      <c r="H73" s="3">
        <f t="shared" si="19"/>
        <v>7</v>
      </c>
      <c r="I73" s="3">
        <f t="shared" si="20"/>
        <v>11</v>
      </c>
      <c r="J73" s="3">
        <f t="shared" si="21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2"/>
        <v>YES</v>
      </c>
      <c r="Q73" t="str">
        <f t="shared" si="23"/>
        <v>NO</v>
      </c>
      <c r="R73" t="str">
        <f t="shared" si="24"/>
        <v>NO</v>
      </c>
      <c r="T73" t="s">
        <v>14</v>
      </c>
      <c r="U73" t="str">
        <f t="shared" si="25"/>
        <v>Massachusetts Ave</v>
      </c>
      <c r="V73" t="s">
        <v>119</v>
      </c>
      <c r="W73" t="str">
        <f t="shared" si="26"/>
        <v>Albany St</v>
      </c>
      <c r="X73" t="str">
        <f>IF(ISBLANK(S73),"Intersection","Non-Intersection")</f>
        <v>Intersection</v>
      </c>
      <c r="Y73" t="s">
        <v>247</v>
      </c>
      <c r="Z73" t="str">
        <f t="shared" si="27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4"/>
        <v>40179</v>
      </c>
      <c r="D74" s="4">
        <f t="shared" si="15"/>
        <v>6.8493150684931503E-2</v>
      </c>
      <c r="E74" s="3">
        <f t="shared" si="16"/>
        <v>2010</v>
      </c>
      <c r="F74" s="3">
        <f t="shared" si="17"/>
        <v>1</v>
      </c>
      <c r="G74" s="3">
        <f t="shared" si="18"/>
        <v>26</v>
      </c>
      <c r="H74" s="3">
        <f t="shared" si="19"/>
        <v>7</v>
      </c>
      <c r="I74" s="3">
        <f t="shared" si="20"/>
        <v>38</v>
      </c>
      <c r="J74" s="3">
        <f t="shared" si="21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2"/>
        <v>YES</v>
      </c>
      <c r="Q74" t="str">
        <f t="shared" si="23"/>
        <v>NO</v>
      </c>
      <c r="R74" t="str">
        <f t="shared" si="24"/>
        <v>NO</v>
      </c>
      <c r="T74" t="s">
        <v>14</v>
      </c>
      <c r="U74" t="str">
        <f t="shared" si="25"/>
        <v>Massachusetts Ave</v>
      </c>
      <c r="V74" t="s">
        <v>249</v>
      </c>
      <c r="W74" t="str">
        <f t="shared" si="26"/>
        <v>Landsdowne St</v>
      </c>
      <c r="X74" t="str">
        <f>IF(ISBLANK(S74),"Intersection","Non-Intersection")</f>
        <v>Intersection</v>
      </c>
      <c r="Y74" t="s">
        <v>250</v>
      </c>
      <c r="Z74" t="str">
        <f t="shared" si="27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4"/>
        <v>40179</v>
      </c>
      <c r="D75" s="4">
        <f t="shared" si="15"/>
        <v>6.8493150684931503E-2</v>
      </c>
      <c r="E75" s="3">
        <f t="shared" si="16"/>
        <v>2010</v>
      </c>
      <c r="F75" s="3">
        <f t="shared" si="17"/>
        <v>1</v>
      </c>
      <c r="G75" s="3">
        <f t="shared" si="18"/>
        <v>26</v>
      </c>
      <c r="H75" s="3">
        <f t="shared" si="19"/>
        <v>8</v>
      </c>
      <c r="I75" s="3">
        <f t="shared" si="20"/>
        <v>45</v>
      </c>
      <c r="J75" s="3">
        <f t="shared" si="21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2"/>
        <v>YES</v>
      </c>
      <c r="Q75" t="str">
        <f t="shared" si="23"/>
        <v>NO</v>
      </c>
      <c r="R75" t="str">
        <f t="shared" si="24"/>
        <v>NO</v>
      </c>
      <c r="T75" t="s">
        <v>252</v>
      </c>
      <c r="U75" t="str">
        <f t="shared" si="25"/>
        <v>Walden St</v>
      </c>
      <c r="V75" t="s">
        <v>253</v>
      </c>
      <c r="W75" t="str">
        <f t="shared" si="26"/>
        <v>Wood St</v>
      </c>
      <c r="X75" t="str">
        <f>IF(ISBLANK(S75),"Intersection","Non-Intersection")</f>
        <v>Intersection</v>
      </c>
      <c r="Y75" t="s">
        <v>254</v>
      </c>
      <c r="Z75" t="str">
        <f t="shared" si="27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4"/>
        <v>40179</v>
      </c>
      <c r="D76" s="4">
        <f t="shared" si="15"/>
        <v>6.8493150684931503E-2</v>
      </c>
      <c r="E76" s="3">
        <f t="shared" si="16"/>
        <v>2010</v>
      </c>
      <c r="F76" s="3">
        <f t="shared" si="17"/>
        <v>1</v>
      </c>
      <c r="G76" s="3">
        <f t="shared" si="18"/>
        <v>26</v>
      </c>
      <c r="H76" s="3">
        <f t="shared" si="19"/>
        <v>15</v>
      </c>
      <c r="I76" s="3">
        <f t="shared" si="20"/>
        <v>0</v>
      </c>
      <c r="J76" s="3">
        <f t="shared" si="21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2"/>
        <v>YES</v>
      </c>
      <c r="Q76" t="str">
        <f t="shared" si="23"/>
        <v>NO</v>
      </c>
      <c r="R76" t="str">
        <f t="shared" si="24"/>
        <v>NO</v>
      </c>
      <c r="S76">
        <v>302</v>
      </c>
      <c r="T76" t="s">
        <v>19</v>
      </c>
      <c r="U76" t="str">
        <f t="shared" si="25"/>
        <v>Cambridge St</v>
      </c>
      <c r="W76" t="str">
        <f t="shared" si="26"/>
        <v/>
      </c>
      <c r="X76" t="str">
        <f>IF(ISBLANK(S76),"Intersection","Non-Intersection")</f>
        <v>Non-Intersection</v>
      </c>
      <c r="Y76" t="s">
        <v>256</v>
      </c>
      <c r="Z76" t="str">
        <f t="shared" si="27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4"/>
        <v>40179</v>
      </c>
      <c r="D77" s="4">
        <f t="shared" si="15"/>
        <v>6.8493150684931503E-2</v>
      </c>
      <c r="E77" s="3">
        <f t="shared" si="16"/>
        <v>2010</v>
      </c>
      <c r="F77" s="3">
        <f t="shared" si="17"/>
        <v>1</v>
      </c>
      <c r="G77" s="3">
        <f t="shared" si="18"/>
        <v>26</v>
      </c>
      <c r="H77" s="3">
        <f t="shared" si="19"/>
        <v>18</v>
      </c>
      <c r="I77" s="3">
        <f t="shared" si="20"/>
        <v>59</v>
      </c>
      <c r="J77" s="3">
        <f t="shared" si="21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2"/>
        <v>YES</v>
      </c>
      <c r="Q77" t="str">
        <f t="shared" si="23"/>
        <v>NO</v>
      </c>
      <c r="R77" t="str">
        <f t="shared" si="24"/>
        <v>YES</v>
      </c>
      <c r="T77" t="s">
        <v>209</v>
      </c>
      <c r="U77" t="str">
        <f t="shared" si="25"/>
        <v>Binney St</v>
      </c>
      <c r="V77" t="s">
        <v>105</v>
      </c>
      <c r="W77" t="str">
        <f t="shared" si="26"/>
        <v>Broadway</v>
      </c>
      <c r="X77" t="str">
        <f>IF(ISBLANK(S77),"Intersection","Non-Intersection")</f>
        <v>Intersection</v>
      </c>
      <c r="Y77" t="s">
        <v>258</v>
      </c>
      <c r="Z77" t="str">
        <f t="shared" si="27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4"/>
        <v>40179</v>
      </c>
      <c r="D78" s="4">
        <f t="shared" si="15"/>
        <v>6.8493150684931503E-2</v>
      </c>
      <c r="E78" s="3">
        <f t="shared" si="16"/>
        <v>2010</v>
      </c>
      <c r="F78" s="3">
        <f t="shared" si="17"/>
        <v>1</v>
      </c>
      <c r="G78" s="3">
        <f t="shared" si="18"/>
        <v>26</v>
      </c>
      <c r="H78" s="3">
        <f t="shared" si="19"/>
        <v>20</v>
      </c>
      <c r="I78" s="3">
        <f t="shared" si="20"/>
        <v>29</v>
      </c>
      <c r="J78" s="3">
        <f t="shared" si="21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2"/>
        <v>YES</v>
      </c>
      <c r="Q78" t="str">
        <f t="shared" si="23"/>
        <v>NO</v>
      </c>
      <c r="R78" t="str">
        <f t="shared" si="24"/>
        <v>NO</v>
      </c>
      <c r="T78" t="s">
        <v>260</v>
      </c>
      <c r="U78" t="str">
        <f t="shared" si="25"/>
        <v>Third St</v>
      </c>
      <c r="V78" t="s">
        <v>261</v>
      </c>
      <c r="W78" t="str">
        <f t="shared" si="26"/>
        <v>Otis St</v>
      </c>
      <c r="X78" t="str">
        <f>IF(ISBLANK(S78),"Intersection","Non-Intersection")</f>
        <v>Intersection</v>
      </c>
      <c r="Y78" t="s">
        <v>262</v>
      </c>
      <c r="Z78" t="str">
        <f t="shared" si="27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4"/>
        <v>40179</v>
      </c>
      <c r="D79" s="4">
        <f t="shared" si="15"/>
        <v>6.8493150684931503E-2</v>
      </c>
      <c r="E79" s="3">
        <f t="shared" si="16"/>
        <v>2010</v>
      </c>
      <c r="F79" s="3">
        <f t="shared" si="17"/>
        <v>1</v>
      </c>
      <c r="G79" s="3">
        <f t="shared" si="18"/>
        <v>26</v>
      </c>
      <c r="H79" s="3">
        <f t="shared" si="19"/>
        <v>6</v>
      </c>
      <c r="I79" s="3">
        <f t="shared" si="20"/>
        <v>30</v>
      </c>
      <c r="J79" s="3">
        <f t="shared" si="21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2"/>
        <v>YES</v>
      </c>
      <c r="Q79" t="str">
        <f t="shared" si="23"/>
        <v>NO</v>
      </c>
      <c r="R79" t="str">
        <f t="shared" si="24"/>
        <v>YES</v>
      </c>
      <c r="T79" t="s">
        <v>166</v>
      </c>
      <c r="U79" t="str">
        <f t="shared" si="25"/>
        <v>Oxford Ave</v>
      </c>
      <c r="V79" t="s">
        <v>57</v>
      </c>
      <c r="W79" t="str">
        <f t="shared" si="26"/>
        <v>Everett St</v>
      </c>
      <c r="X79" t="str">
        <f>IF(ISBLANK(S79),"Intersection","Non-Intersection")</f>
        <v>Intersection</v>
      </c>
      <c r="Y79" t="s">
        <v>264</v>
      </c>
      <c r="Z79" t="str">
        <f t="shared" si="27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4"/>
        <v>40179</v>
      </c>
      <c r="D80" s="4">
        <f t="shared" si="15"/>
        <v>6.8493150684931503E-2</v>
      </c>
      <c r="E80" s="3">
        <f t="shared" si="16"/>
        <v>2010</v>
      </c>
      <c r="F80" s="3">
        <f t="shared" si="17"/>
        <v>1</v>
      </c>
      <c r="G80" s="3">
        <f t="shared" si="18"/>
        <v>26</v>
      </c>
      <c r="H80" s="3">
        <f t="shared" si="19"/>
        <v>11</v>
      </c>
      <c r="I80" s="3">
        <f t="shared" si="20"/>
        <v>39</v>
      </c>
      <c r="J80" s="3">
        <f t="shared" si="21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2"/>
        <v>YES</v>
      </c>
      <c r="Q80" t="str">
        <f t="shared" si="23"/>
        <v>NO</v>
      </c>
      <c r="R80" t="str">
        <f t="shared" si="24"/>
        <v>YES</v>
      </c>
      <c r="T80" t="s">
        <v>27</v>
      </c>
      <c r="U80" t="str">
        <f t="shared" si="25"/>
        <v>Western Ave</v>
      </c>
      <c r="V80" t="s">
        <v>14</v>
      </c>
      <c r="W80" t="str">
        <f t="shared" si="26"/>
        <v>Massachusetts Ave</v>
      </c>
      <c r="X80" t="str">
        <f>IF(ISBLANK(S80),"Intersection","Non-Intersection")</f>
        <v>Intersection</v>
      </c>
      <c r="Y80" t="s">
        <v>266</v>
      </c>
      <c r="Z80" t="str">
        <f t="shared" si="27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4"/>
        <v>40179</v>
      </c>
      <c r="D81" s="4">
        <f t="shared" si="15"/>
        <v>7.1232876712328766E-2</v>
      </c>
      <c r="E81" s="3">
        <f t="shared" si="16"/>
        <v>2010</v>
      </c>
      <c r="F81" s="3">
        <f t="shared" si="17"/>
        <v>1</v>
      </c>
      <c r="G81" s="3">
        <f t="shared" si="18"/>
        <v>27</v>
      </c>
      <c r="H81" s="3">
        <f t="shared" si="19"/>
        <v>8</v>
      </c>
      <c r="I81" s="3">
        <f t="shared" si="20"/>
        <v>19</v>
      </c>
      <c r="J81" s="3">
        <f t="shared" si="21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2"/>
        <v>YES</v>
      </c>
      <c r="Q81" t="str">
        <f t="shared" si="23"/>
        <v>NO</v>
      </c>
      <c r="R81" t="str">
        <f t="shared" si="24"/>
        <v>NO</v>
      </c>
      <c r="S81">
        <v>49</v>
      </c>
      <c r="T81" t="s">
        <v>268</v>
      </c>
      <c r="U81" t="str">
        <f t="shared" si="25"/>
        <v>White St</v>
      </c>
      <c r="V81" t="s">
        <v>269</v>
      </c>
      <c r="W81" t="str">
        <f t="shared" si="26"/>
        <v>Porter Sq</v>
      </c>
      <c r="X81" t="str">
        <f>IF(ISBLANK(S81),"Intersection","Non-Intersection")</f>
        <v>Non-Intersection</v>
      </c>
      <c r="Y81" t="s">
        <v>270</v>
      </c>
      <c r="Z81" t="str">
        <f t="shared" si="27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4"/>
        <v>40179</v>
      </c>
      <c r="D82" s="4">
        <f t="shared" si="15"/>
        <v>7.1232876712328766E-2</v>
      </c>
      <c r="E82" s="3">
        <f t="shared" si="16"/>
        <v>2010</v>
      </c>
      <c r="F82" s="3">
        <f t="shared" si="17"/>
        <v>1</v>
      </c>
      <c r="G82" s="3">
        <f t="shared" si="18"/>
        <v>27</v>
      </c>
      <c r="H82" s="3">
        <f t="shared" si="19"/>
        <v>18</v>
      </c>
      <c r="I82" s="3">
        <f t="shared" si="20"/>
        <v>18</v>
      </c>
      <c r="J82" s="3">
        <f t="shared" si="21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2"/>
        <v>YES</v>
      </c>
      <c r="Q82" t="str">
        <f t="shared" si="23"/>
        <v>NO</v>
      </c>
      <c r="R82" t="str">
        <f t="shared" si="24"/>
        <v>NO</v>
      </c>
      <c r="S82">
        <v>1</v>
      </c>
      <c r="T82" t="s">
        <v>268</v>
      </c>
      <c r="U82" t="str">
        <f t="shared" si="25"/>
        <v>White St</v>
      </c>
      <c r="W82" t="str">
        <f t="shared" si="26"/>
        <v/>
      </c>
      <c r="X82" t="str">
        <f>IF(ISBLANK(S82),"Intersection","Non-Intersection")</f>
        <v>Non-Intersection</v>
      </c>
      <c r="Y82" t="s">
        <v>272</v>
      </c>
      <c r="Z82" t="str">
        <f t="shared" si="27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4"/>
        <v>40179</v>
      </c>
      <c r="D83" s="4">
        <f t="shared" si="15"/>
        <v>7.3972602739726029E-2</v>
      </c>
      <c r="E83" s="3">
        <f t="shared" si="16"/>
        <v>2010</v>
      </c>
      <c r="F83" s="3">
        <f t="shared" si="17"/>
        <v>1</v>
      </c>
      <c r="G83" s="3">
        <f t="shared" si="18"/>
        <v>28</v>
      </c>
      <c r="H83" s="3">
        <f t="shared" si="19"/>
        <v>15</v>
      </c>
      <c r="I83" s="3">
        <f t="shared" si="20"/>
        <v>20</v>
      </c>
      <c r="J83" s="3">
        <f t="shared" si="21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2"/>
        <v>YES</v>
      </c>
      <c r="Q83" t="str">
        <f t="shared" si="23"/>
        <v>NO</v>
      </c>
      <c r="R83" t="str">
        <f t="shared" si="24"/>
        <v>NO</v>
      </c>
      <c r="S83">
        <v>105</v>
      </c>
      <c r="T83" t="s">
        <v>189</v>
      </c>
      <c r="U83" t="str">
        <f t="shared" si="25"/>
        <v>Windsor St</v>
      </c>
      <c r="W83" t="str">
        <f t="shared" si="26"/>
        <v/>
      </c>
      <c r="X83" t="str">
        <f>IF(ISBLANK(S83),"Intersection","Non-Intersection")</f>
        <v>Non-Intersection</v>
      </c>
      <c r="Y83" t="s">
        <v>274</v>
      </c>
      <c r="Z83" t="str">
        <f t="shared" si="27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4"/>
        <v>40179</v>
      </c>
      <c r="D84" s="4">
        <f t="shared" si="15"/>
        <v>7.3972602739726029E-2</v>
      </c>
      <c r="E84" s="3">
        <f t="shared" si="16"/>
        <v>2010</v>
      </c>
      <c r="F84" s="3">
        <f t="shared" si="17"/>
        <v>1</v>
      </c>
      <c r="G84" s="3">
        <f t="shared" si="18"/>
        <v>28</v>
      </c>
      <c r="H84" s="3">
        <f t="shared" si="19"/>
        <v>17</v>
      </c>
      <c r="I84" s="3">
        <f t="shared" si="20"/>
        <v>10</v>
      </c>
      <c r="J84" s="3">
        <f t="shared" si="21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2"/>
        <v>YES</v>
      </c>
      <c r="Q84" t="str">
        <f t="shared" si="23"/>
        <v>NO</v>
      </c>
      <c r="R84" t="str">
        <f t="shared" si="24"/>
        <v>NO</v>
      </c>
      <c r="S84" t="s">
        <v>276</v>
      </c>
      <c r="T84" t="s">
        <v>277</v>
      </c>
      <c r="U84" t="str">
        <f t="shared" si="25"/>
        <v>Lawn St</v>
      </c>
      <c r="W84" t="str">
        <f t="shared" si="26"/>
        <v/>
      </c>
      <c r="X84" t="str">
        <f>IF(ISBLANK(S84),"Intersection","Non-Intersection")</f>
        <v>Non-Intersection</v>
      </c>
      <c r="Y84" t="s">
        <v>278</v>
      </c>
      <c r="Z84" t="str">
        <f t="shared" si="27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4"/>
        <v>40179</v>
      </c>
      <c r="D85" s="4">
        <f t="shared" si="15"/>
        <v>7.6712328767123292E-2</v>
      </c>
      <c r="E85" s="3">
        <f t="shared" si="16"/>
        <v>2010</v>
      </c>
      <c r="F85" s="3">
        <f t="shared" si="17"/>
        <v>1</v>
      </c>
      <c r="G85" s="3">
        <f t="shared" si="18"/>
        <v>29</v>
      </c>
      <c r="H85" s="3">
        <f t="shared" si="19"/>
        <v>21</v>
      </c>
      <c r="I85" s="3">
        <f t="shared" si="20"/>
        <v>0</v>
      </c>
      <c r="J85" s="3">
        <f t="shared" si="21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2"/>
        <v>YES</v>
      </c>
      <c r="Q85" t="str">
        <f t="shared" si="23"/>
        <v>NO</v>
      </c>
      <c r="R85" t="str">
        <f t="shared" si="24"/>
        <v>NO</v>
      </c>
      <c r="T85" t="s">
        <v>280</v>
      </c>
      <c r="U85" t="str">
        <f t="shared" si="25"/>
        <v>Jackson St</v>
      </c>
      <c r="V85" t="s">
        <v>66</v>
      </c>
      <c r="W85" t="str">
        <f t="shared" si="26"/>
        <v>Dudley St</v>
      </c>
      <c r="X85" t="str">
        <f>IF(ISBLANK(S85),"Intersection","Non-Intersection")</f>
        <v>Intersection</v>
      </c>
      <c r="Y85" t="s">
        <v>281</v>
      </c>
      <c r="Z85" t="str">
        <f t="shared" si="27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4"/>
        <v>40179</v>
      </c>
      <c r="D86" s="4">
        <f t="shared" si="15"/>
        <v>7.6712328767123292E-2</v>
      </c>
      <c r="E86" s="3">
        <f t="shared" si="16"/>
        <v>2010</v>
      </c>
      <c r="F86" s="3">
        <f t="shared" si="17"/>
        <v>1</v>
      </c>
      <c r="G86" s="3">
        <f t="shared" si="18"/>
        <v>29</v>
      </c>
      <c r="H86" s="3">
        <f t="shared" si="19"/>
        <v>13</v>
      </c>
      <c r="I86" s="3">
        <f t="shared" si="20"/>
        <v>54</v>
      </c>
      <c r="J86" s="3">
        <f t="shared" si="21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2"/>
        <v>YES</v>
      </c>
      <c r="Q86" t="str">
        <f t="shared" si="23"/>
        <v>NO</v>
      </c>
      <c r="R86" t="str">
        <f t="shared" si="24"/>
        <v>NO</v>
      </c>
      <c r="T86" t="s">
        <v>198</v>
      </c>
      <c r="U86" t="str">
        <f t="shared" si="25"/>
        <v>Mount Auburn St</v>
      </c>
      <c r="V86" t="s">
        <v>42</v>
      </c>
      <c r="W86" t="str">
        <f t="shared" si="26"/>
        <v>Putnam Ave</v>
      </c>
      <c r="X86" t="str">
        <f>IF(ISBLANK(S86),"Intersection","Non-Intersection")</f>
        <v>Intersection</v>
      </c>
      <c r="Y86" t="s">
        <v>285</v>
      </c>
      <c r="Z86" t="str">
        <f t="shared" si="27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4"/>
        <v>40179</v>
      </c>
      <c r="D87" s="4">
        <f t="shared" si="15"/>
        <v>7.9452054794520555E-2</v>
      </c>
      <c r="E87" s="3">
        <f t="shared" si="16"/>
        <v>2010</v>
      </c>
      <c r="F87" s="3">
        <f t="shared" si="17"/>
        <v>1</v>
      </c>
      <c r="G87" s="3">
        <f t="shared" si="18"/>
        <v>30</v>
      </c>
      <c r="H87" s="3">
        <f t="shared" si="19"/>
        <v>12</v>
      </c>
      <c r="I87" s="3">
        <f t="shared" si="20"/>
        <v>0</v>
      </c>
      <c r="J87" s="3">
        <f t="shared" si="21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2"/>
        <v>YES</v>
      </c>
      <c r="Q87" t="str">
        <f t="shared" si="23"/>
        <v>NO</v>
      </c>
      <c r="R87" t="str">
        <f t="shared" si="24"/>
        <v>NO</v>
      </c>
      <c r="T87" t="s">
        <v>105</v>
      </c>
      <c r="U87" t="str">
        <f t="shared" si="25"/>
        <v>Broadway</v>
      </c>
      <c r="V87" t="s">
        <v>288</v>
      </c>
      <c r="W87" t="str">
        <f t="shared" si="26"/>
        <v>Galileo Galilei Way</v>
      </c>
      <c r="X87" t="str">
        <f>IF(ISBLANK(S87),"Intersection","Non-Intersection")</f>
        <v>Intersection</v>
      </c>
      <c r="Y87" t="s">
        <v>289</v>
      </c>
      <c r="Z87" t="str">
        <f t="shared" si="27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4"/>
        <v>40179</v>
      </c>
      <c r="D88" s="4">
        <f t="shared" si="15"/>
        <v>7.9452054794520555E-2</v>
      </c>
      <c r="E88" s="3">
        <f t="shared" si="16"/>
        <v>2010</v>
      </c>
      <c r="F88" s="3">
        <f t="shared" si="17"/>
        <v>1</v>
      </c>
      <c r="G88" s="3">
        <f t="shared" si="18"/>
        <v>30</v>
      </c>
      <c r="H88" s="3">
        <f t="shared" si="19"/>
        <v>10</v>
      </c>
      <c r="I88" s="3">
        <f t="shared" si="20"/>
        <v>50</v>
      </c>
      <c r="J88" s="3">
        <f t="shared" si="21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2"/>
        <v>YES</v>
      </c>
      <c r="Q88" t="str">
        <f t="shared" si="23"/>
        <v>NO</v>
      </c>
      <c r="R88" t="str">
        <f t="shared" si="24"/>
        <v>NO</v>
      </c>
      <c r="T88" t="s">
        <v>291</v>
      </c>
      <c r="U88" t="str">
        <f t="shared" si="25"/>
        <v>Raymond St</v>
      </c>
      <c r="V88" t="s">
        <v>142</v>
      </c>
      <c r="W88" t="str">
        <f t="shared" si="26"/>
        <v>Huron Ave</v>
      </c>
      <c r="X88" t="str">
        <f>IF(ISBLANK(S88),"Intersection","Non-Intersection")</f>
        <v>Intersection</v>
      </c>
      <c r="Y88" t="s">
        <v>292</v>
      </c>
      <c r="Z88" t="str">
        <f t="shared" si="27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4"/>
        <v>40179</v>
      </c>
      <c r="D89" s="4">
        <f t="shared" si="15"/>
        <v>8.2191780821917804E-2</v>
      </c>
      <c r="E89" s="3">
        <f t="shared" si="16"/>
        <v>2010</v>
      </c>
      <c r="F89" s="3">
        <f t="shared" si="17"/>
        <v>1</v>
      </c>
      <c r="G89" s="3">
        <f t="shared" si="18"/>
        <v>31</v>
      </c>
      <c r="H89" s="3">
        <f t="shared" si="19"/>
        <v>16</v>
      </c>
      <c r="I89" s="3">
        <f t="shared" si="20"/>
        <v>30</v>
      </c>
      <c r="J89" s="3">
        <f t="shared" si="21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2"/>
        <v>YES</v>
      </c>
      <c r="Q89" t="str">
        <f t="shared" si="23"/>
        <v>NO</v>
      </c>
      <c r="R89" t="str">
        <f t="shared" si="24"/>
        <v>NO</v>
      </c>
      <c r="S89">
        <v>58</v>
      </c>
      <c r="T89" t="s">
        <v>166</v>
      </c>
      <c r="U89" t="str">
        <f t="shared" si="25"/>
        <v>Oxford Ave</v>
      </c>
      <c r="W89" t="str">
        <f t="shared" si="26"/>
        <v/>
      </c>
      <c r="X89" t="str">
        <f>IF(ISBLANK(S89),"Intersection","Non-Intersection")</f>
        <v>Non-Intersection</v>
      </c>
      <c r="Y89" t="s">
        <v>294</v>
      </c>
      <c r="Z89" t="str">
        <f t="shared" si="27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4"/>
        <v>40179</v>
      </c>
      <c r="D90" s="4">
        <f t="shared" si="15"/>
        <v>8.2191780821917804E-2</v>
      </c>
      <c r="E90" s="3">
        <f t="shared" si="16"/>
        <v>2010</v>
      </c>
      <c r="F90" s="3">
        <f t="shared" si="17"/>
        <v>1</v>
      </c>
      <c r="G90" s="3">
        <f t="shared" si="18"/>
        <v>31</v>
      </c>
      <c r="H90" s="3">
        <f t="shared" si="19"/>
        <v>23</v>
      </c>
      <c r="I90" s="3">
        <f t="shared" si="20"/>
        <v>15</v>
      </c>
      <c r="J90" s="3">
        <f t="shared" si="21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2"/>
        <v>YES</v>
      </c>
      <c r="Q90" t="str">
        <f t="shared" si="23"/>
        <v>NO</v>
      </c>
      <c r="R90" t="str">
        <f t="shared" si="24"/>
        <v>NO</v>
      </c>
      <c r="T90" t="s">
        <v>296</v>
      </c>
      <c r="U90" t="str">
        <f t="shared" si="25"/>
        <v>Mason St</v>
      </c>
      <c r="V90" t="s">
        <v>185</v>
      </c>
      <c r="W90" t="str">
        <f t="shared" si="26"/>
        <v>Garden St</v>
      </c>
      <c r="X90" t="str">
        <f>IF(ISBLANK(S90),"Intersection","Non-Intersection")</f>
        <v>Intersection</v>
      </c>
      <c r="Y90" t="s">
        <v>297</v>
      </c>
      <c r="Z90" t="str">
        <f t="shared" si="27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4"/>
        <v>40179</v>
      </c>
      <c r="D91" s="4">
        <f t="shared" si="15"/>
        <v>8.2191780821917804E-2</v>
      </c>
      <c r="E91" s="3">
        <f t="shared" si="16"/>
        <v>2010</v>
      </c>
      <c r="F91" s="3">
        <f t="shared" si="17"/>
        <v>1</v>
      </c>
      <c r="G91" s="3">
        <f t="shared" si="18"/>
        <v>31</v>
      </c>
      <c r="H91" s="3">
        <f t="shared" si="19"/>
        <v>11</v>
      </c>
      <c r="I91" s="3">
        <f t="shared" si="20"/>
        <v>15</v>
      </c>
      <c r="J91" s="3">
        <f t="shared" si="21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2"/>
        <v>YES</v>
      </c>
      <c r="Q91" t="str">
        <f t="shared" si="23"/>
        <v>NO</v>
      </c>
      <c r="R91" t="str">
        <f t="shared" si="24"/>
        <v>NO</v>
      </c>
      <c r="T91" t="s">
        <v>186</v>
      </c>
      <c r="U91" t="str">
        <f t="shared" si="25"/>
        <v>Concord Ave</v>
      </c>
      <c r="V91" t="s">
        <v>299</v>
      </c>
      <c r="W91" t="str">
        <f t="shared" si="26"/>
        <v>Buckingham St</v>
      </c>
      <c r="X91" t="str">
        <f>IF(ISBLANK(S91),"Intersection","Non-Intersection")</f>
        <v>Intersection</v>
      </c>
      <c r="Y91" t="s">
        <v>300</v>
      </c>
      <c r="Z91" t="str">
        <f t="shared" si="27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4"/>
        <v>40179</v>
      </c>
      <c r="D92" s="4">
        <f t="shared" si="15"/>
        <v>8.2191780821917804E-2</v>
      </c>
      <c r="E92" s="3">
        <f t="shared" si="16"/>
        <v>2010</v>
      </c>
      <c r="F92" s="3">
        <f t="shared" si="17"/>
        <v>1</v>
      </c>
      <c r="G92" s="3">
        <f t="shared" si="18"/>
        <v>31</v>
      </c>
      <c r="H92" s="3">
        <f t="shared" si="19"/>
        <v>15</v>
      </c>
      <c r="I92" s="3">
        <f t="shared" si="20"/>
        <v>37</v>
      </c>
      <c r="J92" s="3">
        <f t="shared" si="21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2"/>
        <v>YES</v>
      </c>
      <c r="Q92" t="str">
        <f t="shared" si="23"/>
        <v>NO</v>
      </c>
      <c r="R92" t="str">
        <f t="shared" si="24"/>
        <v>NO</v>
      </c>
      <c r="T92" t="s">
        <v>14</v>
      </c>
      <c r="U92" t="str">
        <f t="shared" si="25"/>
        <v>Massachusetts Ave</v>
      </c>
      <c r="V92" t="s">
        <v>302</v>
      </c>
      <c r="W92" t="str">
        <f t="shared" si="26"/>
        <v>Waterhouse St</v>
      </c>
      <c r="X92" t="str">
        <f>IF(ISBLANK(S92),"Intersection","Non-Intersection")</f>
        <v>Intersection</v>
      </c>
      <c r="Y92" t="s">
        <v>303</v>
      </c>
      <c r="Z92" t="str">
        <f t="shared" si="27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4"/>
        <v>40179</v>
      </c>
      <c r="D93" s="4">
        <f t="shared" si="15"/>
        <v>8.4931506849315067E-2</v>
      </c>
      <c r="E93" s="3">
        <f t="shared" si="16"/>
        <v>2010</v>
      </c>
      <c r="F93" s="3">
        <f t="shared" si="17"/>
        <v>2</v>
      </c>
      <c r="G93" s="3">
        <f t="shared" si="18"/>
        <v>1</v>
      </c>
      <c r="H93" s="3">
        <f t="shared" si="19"/>
        <v>7</v>
      </c>
      <c r="I93" s="3">
        <f t="shared" si="20"/>
        <v>44</v>
      </c>
      <c r="J93" s="3">
        <f t="shared" si="21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2"/>
        <v>YES</v>
      </c>
      <c r="Q93" t="str">
        <f t="shared" si="23"/>
        <v>NO</v>
      </c>
      <c r="R93" t="str">
        <f t="shared" si="24"/>
        <v>NO</v>
      </c>
      <c r="T93" t="s">
        <v>20</v>
      </c>
      <c r="U93" t="str">
        <f t="shared" si="25"/>
        <v>Sciarappa St</v>
      </c>
      <c r="V93" t="s">
        <v>261</v>
      </c>
      <c r="W93" t="str">
        <f t="shared" si="26"/>
        <v>Otis St</v>
      </c>
      <c r="X93" t="str">
        <f>IF(ISBLANK(S93),"Intersection","Non-Intersection")</f>
        <v>Intersection</v>
      </c>
      <c r="Y93" t="s">
        <v>305</v>
      </c>
      <c r="Z93" t="str">
        <f t="shared" si="27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4"/>
        <v>40179</v>
      </c>
      <c r="D94" s="4">
        <f t="shared" si="15"/>
        <v>8.4931506849315067E-2</v>
      </c>
      <c r="E94" s="3">
        <f t="shared" si="16"/>
        <v>2010</v>
      </c>
      <c r="F94" s="3">
        <f t="shared" si="17"/>
        <v>2</v>
      </c>
      <c r="G94" s="3">
        <f t="shared" si="18"/>
        <v>1</v>
      </c>
      <c r="H94" s="3">
        <f t="shared" si="19"/>
        <v>14</v>
      </c>
      <c r="I94" s="3">
        <f t="shared" si="20"/>
        <v>25</v>
      </c>
      <c r="J94" s="3">
        <f t="shared" si="21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2"/>
        <v>YES</v>
      </c>
      <c r="Q94" t="str">
        <f t="shared" si="23"/>
        <v>NO</v>
      </c>
      <c r="R94" t="str">
        <f t="shared" si="24"/>
        <v>YES</v>
      </c>
      <c r="T94" t="s">
        <v>105</v>
      </c>
      <c r="U94" t="str">
        <f t="shared" si="25"/>
        <v>Broadway</v>
      </c>
      <c r="V94" t="s">
        <v>288</v>
      </c>
      <c r="W94" t="str">
        <f t="shared" si="26"/>
        <v>Galileo Galilei Way</v>
      </c>
      <c r="X94" t="str">
        <f>IF(ISBLANK(S94),"Intersection","Non-Intersection")</f>
        <v>Intersection</v>
      </c>
      <c r="Y94" t="s">
        <v>289</v>
      </c>
      <c r="Z94" t="str">
        <f t="shared" si="27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4"/>
        <v>40179</v>
      </c>
      <c r="D95" s="4">
        <f t="shared" si="15"/>
        <v>8.4931506849315067E-2</v>
      </c>
      <c r="E95" s="3">
        <f t="shared" si="16"/>
        <v>2010</v>
      </c>
      <c r="F95" s="3">
        <f t="shared" si="17"/>
        <v>2</v>
      </c>
      <c r="G95" s="3">
        <f t="shared" si="18"/>
        <v>1</v>
      </c>
      <c r="H95" s="3">
        <f t="shared" si="19"/>
        <v>17</v>
      </c>
      <c r="I95" s="3">
        <f t="shared" si="20"/>
        <v>23</v>
      </c>
      <c r="J95" s="3">
        <f t="shared" si="21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2"/>
        <v>YES</v>
      </c>
      <c r="Q95" t="str">
        <f t="shared" si="23"/>
        <v>NO</v>
      </c>
      <c r="R95" t="str">
        <f t="shared" si="24"/>
        <v>YES</v>
      </c>
      <c r="T95" t="s">
        <v>288</v>
      </c>
      <c r="U95" t="str">
        <f t="shared" si="25"/>
        <v>Galileo Galilei Way</v>
      </c>
      <c r="V95" t="s">
        <v>105</v>
      </c>
      <c r="W95" t="str">
        <f t="shared" si="26"/>
        <v>Broadway</v>
      </c>
      <c r="X95" t="str">
        <f>IF(ISBLANK(S95),"Intersection","Non-Intersection")</f>
        <v>Intersection</v>
      </c>
      <c r="Y95" t="s">
        <v>307</v>
      </c>
      <c r="Z95" t="str">
        <f t="shared" si="27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4"/>
        <v>40179</v>
      </c>
      <c r="D96" s="4">
        <f t="shared" si="15"/>
        <v>8.4931506849315067E-2</v>
      </c>
      <c r="E96" s="3">
        <f t="shared" si="16"/>
        <v>2010</v>
      </c>
      <c r="F96" s="3">
        <f t="shared" si="17"/>
        <v>2</v>
      </c>
      <c r="G96" s="3">
        <f t="shared" si="18"/>
        <v>1</v>
      </c>
      <c r="H96" s="3">
        <f t="shared" si="19"/>
        <v>18</v>
      </c>
      <c r="I96" s="3">
        <f t="shared" si="20"/>
        <v>14</v>
      </c>
      <c r="J96" s="3">
        <f t="shared" si="21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2"/>
        <v>YES</v>
      </c>
      <c r="Q96" t="str">
        <f t="shared" si="23"/>
        <v>NO</v>
      </c>
      <c r="R96" t="str">
        <f t="shared" si="24"/>
        <v>NO</v>
      </c>
      <c r="T96" t="s">
        <v>45</v>
      </c>
      <c r="U96" t="str">
        <f t="shared" si="25"/>
        <v>Sherman St</v>
      </c>
      <c r="V96" t="s">
        <v>309</v>
      </c>
      <c r="W96" t="str">
        <f t="shared" si="26"/>
        <v>Cadbury Rd</v>
      </c>
      <c r="X96" t="str">
        <f>IF(ISBLANK(S96),"Intersection","Non-Intersection")</f>
        <v>Intersection</v>
      </c>
      <c r="Y96" t="s">
        <v>310</v>
      </c>
      <c r="Z96" t="str">
        <f t="shared" si="27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4"/>
        <v>40179</v>
      </c>
      <c r="D97" s="4">
        <f t="shared" si="15"/>
        <v>8.7671232876712329E-2</v>
      </c>
      <c r="E97" s="3">
        <f t="shared" si="16"/>
        <v>2010</v>
      </c>
      <c r="F97" s="3">
        <f t="shared" si="17"/>
        <v>2</v>
      </c>
      <c r="G97" s="3">
        <f t="shared" si="18"/>
        <v>2</v>
      </c>
      <c r="H97" s="3">
        <f t="shared" si="19"/>
        <v>7</v>
      </c>
      <c r="I97" s="3">
        <f t="shared" si="20"/>
        <v>34</v>
      </c>
      <c r="J97" s="3">
        <f t="shared" si="21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2"/>
        <v>YES</v>
      </c>
      <c r="Q97" t="str">
        <f t="shared" si="23"/>
        <v>NO</v>
      </c>
      <c r="R97" t="str">
        <f t="shared" si="24"/>
        <v>NO</v>
      </c>
      <c r="T97" t="s">
        <v>37</v>
      </c>
      <c r="U97" t="str">
        <f t="shared" si="25"/>
        <v>Magazine St</v>
      </c>
      <c r="V97" t="s">
        <v>312</v>
      </c>
      <c r="W97" t="str">
        <f t="shared" si="26"/>
        <v>Auburn St</v>
      </c>
      <c r="X97" t="str">
        <f>IF(ISBLANK(S97),"Intersection","Non-Intersection")</f>
        <v>Intersection</v>
      </c>
      <c r="Y97" t="s">
        <v>313</v>
      </c>
      <c r="Z97" t="str">
        <f t="shared" si="27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4"/>
        <v>40179</v>
      </c>
      <c r="D98" s="4">
        <f t="shared" si="15"/>
        <v>8.7671232876712329E-2</v>
      </c>
      <c r="E98" s="3">
        <f t="shared" si="16"/>
        <v>2010</v>
      </c>
      <c r="F98" s="3">
        <f t="shared" si="17"/>
        <v>2</v>
      </c>
      <c r="G98" s="3">
        <f t="shared" si="18"/>
        <v>2</v>
      </c>
      <c r="H98" s="3">
        <f t="shared" si="19"/>
        <v>9</v>
      </c>
      <c r="I98" s="3">
        <f t="shared" si="20"/>
        <v>0</v>
      </c>
      <c r="J98" s="3">
        <f t="shared" si="21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2"/>
        <v>YES</v>
      </c>
      <c r="Q98" t="str">
        <f t="shared" si="23"/>
        <v>NO</v>
      </c>
      <c r="R98" t="str">
        <f t="shared" si="24"/>
        <v>NO</v>
      </c>
      <c r="T98" t="s">
        <v>315</v>
      </c>
      <c r="U98" t="str">
        <f t="shared" si="25"/>
        <v>Essex St</v>
      </c>
      <c r="V98" t="s">
        <v>316</v>
      </c>
      <c r="W98" t="str">
        <f t="shared" si="26"/>
        <v>Bishop Allen Dr</v>
      </c>
      <c r="X98" t="str">
        <f>IF(ISBLANK(S98),"Intersection","Non-Intersection")</f>
        <v>Intersection</v>
      </c>
      <c r="Y98" t="s">
        <v>317</v>
      </c>
      <c r="Z98" t="str">
        <f t="shared" si="27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4"/>
        <v>40179</v>
      </c>
      <c r="D99" s="4">
        <f t="shared" si="15"/>
        <v>8.7671232876712329E-2</v>
      </c>
      <c r="E99" s="3">
        <f t="shared" si="16"/>
        <v>2010</v>
      </c>
      <c r="F99" s="3">
        <f t="shared" si="17"/>
        <v>2</v>
      </c>
      <c r="G99" s="3">
        <f t="shared" si="18"/>
        <v>2</v>
      </c>
      <c r="H99" s="3">
        <f t="shared" si="19"/>
        <v>18</v>
      </c>
      <c r="I99" s="3">
        <f t="shared" si="20"/>
        <v>0</v>
      </c>
      <c r="J99" s="3">
        <f t="shared" si="21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2"/>
        <v>YES</v>
      </c>
      <c r="Q99" t="str">
        <f t="shared" si="23"/>
        <v>NO</v>
      </c>
      <c r="R99" t="str">
        <f t="shared" si="24"/>
        <v>NO</v>
      </c>
      <c r="T99" t="s">
        <v>277</v>
      </c>
      <c r="U99" t="str">
        <f t="shared" si="25"/>
        <v>Lawn St</v>
      </c>
      <c r="V99" t="s">
        <v>166</v>
      </c>
      <c r="W99" t="str">
        <f t="shared" si="26"/>
        <v>Oxford Ave</v>
      </c>
      <c r="X99" t="str">
        <f>IF(ISBLANK(S99),"Intersection","Non-Intersection")</f>
        <v>Intersection</v>
      </c>
      <c r="Y99" t="s">
        <v>319</v>
      </c>
      <c r="Z99" t="str">
        <f t="shared" si="27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4"/>
        <v>40179</v>
      </c>
      <c r="D100" s="4">
        <f t="shared" si="15"/>
        <v>9.0410958904109592E-2</v>
      </c>
      <c r="E100" s="3">
        <f t="shared" si="16"/>
        <v>2010</v>
      </c>
      <c r="F100" s="3">
        <f t="shared" si="17"/>
        <v>2</v>
      </c>
      <c r="G100" s="3">
        <f t="shared" si="18"/>
        <v>3</v>
      </c>
      <c r="H100" s="3">
        <f t="shared" si="19"/>
        <v>8</v>
      </c>
      <c r="I100" s="3">
        <f t="shared" si="20"/>
        <v>0</v>
      </c>
      <c r="J100" s="3">
        <f t="shared" si="21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2"/>
        <v>YES</v>
      </c>
      <c r="Q100" t="str">
        <f t="shared" si="23"/>
        <v>NO</v>
      </c>
      <c r="R100" t="str">
        <f t="shared" si="24"/>
        <v>YES</v>
      </c>
      <c r="T100" t="s">
        <v>19</v>
      </c>
      <c r="U100" t="str">
        <f t="shared" si="25"/>
        <v>Cambridge St</v>
      </c>
      <c r="V100" t="s">
        <v>75</v>
      </c>
      <c r="W100" t="str">
        <f t="shared" si="26"/>
        <v>Elm St</v>
      </c>
      <c r="X100" t="str">
        <f>IF(ISBLANK(S100),"Intersection","Non-Intersection")</f>
        <v>Intersection</v>
      </c>
      <c r="Y100" t="s">
        <v>321</v>
      </c>
      <c r="Z100" t="str">
        <f t="shared" si="27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4"/>
        <v>40179</v>
      </c>
      <c r="D101" s="4">
        <f t="shared" si="15"/>
        <v>9.0410958904109592E-2</v>
      </c>
      <c r="E101" s="3">
        <f t="shared" si="16"/>
        <v>2010</v>
      </c>
      <c r="F101" s="3">
        <f t="shared" si="17"/>
        <v>2</v>
      </c>
      <c r="G101" s="3">
        <f t="shared" si="18"/>
        <v>3</v>
      </c>
      <c r="H101" s="3">
        <f t="shared" si="19"/>
        <v>17</v>
      </c>
      <c r="I101" s="3">
        <f t="shared" si="20"/>
        <v>0</v>
      </c>
      <c r="J101" s="3">
        <f t="shared" si="21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2"/>
        <v>YES</v>
      </c>
      <c r="Q101" t="str">
        <f t="shared" si="23"/>
        <v>NO</v>
      </c>
      <c r="R101" t="str">
        <f t="shared" si="24"/>
        <v>NO</v>
      </c>
      <c r="S101">
        <v>1220</v>
      </c>
      <c r="T101" t="s">
        <v>19</v>
      </c>
      <c r="U101" t="str">
        <f t="shared" si="25"/>
        <v>Cambridge St</v>
      </c>
      <c r="W101" t="str">
        <f t="shared" si="26"/>
        <v/>
      </c>
      <c r="X101" t="str">
        <f>IF(ISBLANK(S101),"Intersection","Non-Intersection")</f>
        <v>Non-Intersection</v>
      </c>
      <c r="Y101" t="s">
        <v>323</v>
      </c>
      <c r="Z101" t="str">
        <f t="shared" si="27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4"/>
        <v>40179</v>
      </c>
      <c r="D102" s="4">
        <f t="shared" si="15"/>
        <v>9.3150684931506855E-2</v>
      </c>
      <c r="E102" s="3">
        <f t="shared" si="16"/>
        <v>2010</v>
      </c>
      <c r="F102" s="3">
        <f t="shared" si="17"/>
        <v>2</v>
      </c>
      <c r="G102" s="3">
        <f t="shared" si="18"/>
        <v>4</v>
      </c>
      <c r="H102" s="3">
        <f t="shared" si="19"/>
        <v>8</v>
      </c>
      <c r="I102" s="3">
        <f t="shared" si="20"/>
        <v>15</v>
      </c>
      <c r="J102" s="3">
        <f t="shared" si="21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2"/>
        <v>YES</v>
      </c>
      <c r="Q102" t="str">
        <f t="shared" si="23"/>
        <v>NO</v>
      </c>
      <c r="R102" t="str">
        <f t="shared" si="24"/>
        <v>NO</v>
      </c>
      <c r="T102" t="s">
        <v>325</v>
      </c>
      <c r="U102" t="str">
        <f t="shared" si="25"/>
        <v>Eliot St</v>
      </c>
      <c r="V102" t="s">
        <v>326</v>
      </c>
      <c r="W102" t="str">
        <f t="shared" si="26"/>
        <v>Jfk St</v>
      </c>
      <c r="X102" t="str">
        <f>IF(ISBLANK(S102),"Intersection","Non-Intersection")</f>
        <v>Intersection</v>
      </c>
      <c r="Y102" t="s">
        <v>327</v>
      </c>
      <c r="Z102" t="str">
        <f t="shared" si="27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4"/>
        <v>40179</v>
      </c>
      <c r="D103" s="4">
        <f t="shared" si="15"/>
        <v>9.3150684931506855E-2</v>
      </c>
      <c r="E103" s="3">
        <f t="shared" si="16"/>
        <v>2010</v>
      </c>
      <c r="F103" s="3">
        <f t="shared" si="17"/>
        <v>2</v>
      </c>
      <c r="G103" s="3">
        <f t="shared" si="18"/>
        <v>4</v>
      </c>
      <c r="H103" s="3">
        <f t="shared" si="19"/>
        <v>9</v>
      </c>
      <c r="I103" s="3">
        <f t="shared" si="20"/>
        <v>0</v>
      </c>
      <c r="J103" s="3">
        <f t="shared" si="21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2"/>
        <v>YES</v>
      </c>
      <c r="Q103" t="str">
        <f t="shared" si="23"/>
        <v>NO</v>
      </c>
      <c r="R103" t="str">
        <f t="shared" si="24"/>
        <v>NO</v>
      </c>
      <c r="T103" t="s">
        <v>134</v>
      </c>
      <c r="U103" t="str">
        <f t="shared" si="25"/>
        <v>Quincy St</v>
      </c>
      <c r="V103" t="s">
        <v>133</v>
      </c>
      <c r="W103" t="str">
        <f t="shared" si="26"/>
        <v>Harvard St</v>
      </c>
      <c r="X103" t="str">
        <f>IF(ISBLANK(S103),"Intersection","Non-Intersection")</f>
        <v>Intersection</v>
      </c>
      <c r="Y103" t="s">
        <v>330</v>
      </c>
      <c r="Z103" t="str">
        <f t="shared" si="27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4"/>
        <v>40179</v>
      </c>
      <c r="D104" s="4">
        <f t="shared" si="15"/>
        <v>9.3150684931506855E-2</v>
      </c>
      <c r="E104" s="3">
        <f t="shared" si="16"/>
        <v>2010</v>
      </c>
      <c r="F104" s="3">
        <f t="shared" si="17"/>
        <v>2</v>
      </c>
      <c r="G104" s="3">
        <f t="shared" si="18"/>
        <v>4</v>
      </c>
      <c r="H104" s="3">
        <f t="shared" si="19"/>
        <v>15</v>
      </c>
      <c r="I104" s="3">
        <f t="shared" si="20"/>
        <v>49</v>
      </c>
      <c r="J104" s="3">
        <f t="shared" si="21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2"/>
        <v>YES</v>
      </c>
      <c r="Q104" t="str">
        <f t="shared" si="23"/>
        <v>NO</v>
      </c>
      <c r="R104" t="str">
        <f t="shared" si="24"/>
        <v>YES</v>
      </c>
      <c r="T104" t="s">
        <v>189</v>
      </c>
      <c r="U104" t="str">
        <f t="shared" si="25"/>
        <v>Windsor St</v>
      </c>
      <c r="V104" t="s">
        <v>19</v>
      </c>
      <c r="W104" t="str">
        <f t="shared" si="26"/>
        <v>Cambridge St</v>
      </c>
      <c r="X104" t="str">
        <f>IF(ISBLANK(S104),"Intersection","Non-Intersection")</f>
        <v>Intersection</v>
      </c>
      <c r="Y104" t="s">
        <v>331</v>
      </c>
      <c r="Z104" t="str">
        <f t="shared" si="27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4"/>
        <v>40179</v>
      </c>
      <c r="D105" s="4">
        <f t="shared" si="15"/>
        <v>9.3150684931506855E-2</v>
      </c>
      <c r="E105" s="3">
        <f t="shared" si="16"/>
        <v>2010</v>
      </c>
      <c r="F105" s="3">
        <f t="shared" si="17"/>
        <v>2</v>
      </c>
      <c r="G105" s="3">
        <f t="shared" si="18"/>
        <v>4</v>
      </c>
      <c r="H105" s="3">
        <f t="shared" si="19"/>
        <v>18</v>
      </c>
      <c r="I105" s="3">
        <f t="shared" si="20"/>
        <v>30</v>
      </c>
      <c r="J105" s="3">
        <f t="shared" si="21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2"/>
        <v>YES</v>
      </c>
      <c r="Q105" t="str">
        <f t="shared" si="23"/>
        <v>NO</v>
      </c>
      <c r="R105" t="str">
        <f t="shared" si="24"/>
        <v>NO</v>
      </c>
      <c r="T105" t="s">
        <v>37</v>
      </c>
      <c r="U105" t="str">
        <f t="shared" si="25"/>
        <v>Magazine St</v>
      </c>
      <c r="V105" t="s">
        <v>332</v>
      </c>
      <c r="W105" t="str">
        <f t="shared" si="26"/>
        <v>Allston St</v>
      </c>
      <c r="X105" t="str">
        <f>IF(ISBLANK(S105),"Intersection","Non-Intersection")</f>
        <v>Intersection</v>
      </c>
      <c r="Y105" t="s">
        <v>333</v>
      </c>
      <c r="Z105" t="str">
        <f t="shared" si="27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4"/>
        <v>40179</v>
      </c>
      <c r="D106" s="4">
        <f t="shared" si="15"/>
        <v>9.3150684931506855E-2</v>
      </c>
      <c r="E106" s="3">
        <f t="shared" si="16"/>
        <v>2010</v>
      </c>
      <c r="F106" s="3">
        <f t="shared" si="17"/>
        <v>2</v>
      </c>
      <c r="G106" s="3">
        <f t="shared" si="18"/>
        <v>4</v>
      </c>
      <c r="H106" s="3">
        <f t="shared" si="19"/>
        <v>20</v>
      </c>
      <c r="I106" s="3">
        <f t="shared" si="20"/>
        <v>6</v>
      </c>
      <c r="J106" s="3">
        <f t="shared" si="21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2"/>
        <v>YES</v>
      </c>
      <c r="Q106" t="str">
        <f t="shared" si="23"/>
        <v>YES</v>
      </c>
      <c r="R106" t="str">
        <f t="shared" si="24"/>
        <v>NO</v>
      </c>
      <c r="T106" t="s">
        <v>105</v>
      </c>
      <c r="U106" t="str">
        <f t="shared" si="25"/>
        <v>Broadway</v>
      </c>
      <c r="V106" t="s">
        <v>335</v>
      </c>
      <c r="W106" t="str">
        <f t="shared" si="26"/>
        <v>Ware St</v>
      </c>
      <c r="X106" t="str">
        <f>IF(ISBLANK(S106),"Intersection","Non-Intersection")</f>
        <v>Intersection</v>
      </c>
      <c r="Y106" t="s">
        <v>336</v>
      </c>
      <c r="Z106" t="str">
        <f t="shared" si="27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4"/>
        <v>40179</v>
      </c>
      <c r="D107" s="4">
        <f t="shared" si="15"/>
        <v>9.5890410958904104E-2</v>
      </c>
      <c r="E107" s="3">
        <f t="shared" si="16"/>
        <v>2010</v>
      </c>
      <c r="F107" s="3">
        <f t="shared" si="17"/>
        <v>2</v>
      </c>
      <c r="G107" s="3">
        <f t="shared" si="18"/>
        <v>5</v>
      </c>
      <c r="H107" s="3">
        <f t="shared" si="19"/>
        <v>16</v>
      </c>
      <c r="I107" s="3">
        <f t="shared" si="20"/>
        <v>9</v>
      </c>
      <c r="J107" s="3">
        <f t="shared" si="21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2"/>
        <v>YES</v>
      </c>
      <c r="Q107" t="str">
        <f t="shared" si="23"/>
        <v>NO</v>
      </c>
      <c r="R107" t="str">
        <f t="shared" si="24"/>
        <v>NO</v>
      </c>
      <c r="S107">
        <v>168</v>
      </c>
      <c r="T107" t="s">
        <v>74</v>
      </c>
      <c r="U107" t="str">
        <f t="shared" si="25"/>
        <v>Hampshire St</v>
      </c>
      <c r="W107" t="str">
        <f t="shared" si="26"/>
        <v/>
      </c>
      <c r="X107" t="str">
        <f>IF(ISBLANK(S107),"Intersection","Non-Intersection")</f>
        <v>Non-Intersection</v>
      </c>
      <c r="Y107" t="s">
        <v>338</v>
      </c>
      <c r="Z107" t="str">
        <f t="shared" si="27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4"/>
        <v>40179</v>
      </c>
      <c r="D108" s="4">
        <f t="shared" si="15"/>
        <v>9.5890410958904104E-2</v>
      </c>
      <c r="E108" s="3">
        <f t="shared" si="16"/>
        <v>2010</v>
      </c>
      <c r="F108" s="3">
        <f t="shared" si="17"/>
        <v>2</v>
      </c>
      <c r="G108" s="3">
        <f t="shared" si="18"/>
        <v>5</v>
      </c>
      <c r="H108" s="3">
        <f t="shared" si="19"/>
        <v>5</v>
      </c>
      <c r="I108" s="3">
        <f t="shared" si="20"/>
        <v>49</v>
      </c>
      <c r="J108" s="3">
        <f t="shared" si="21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2"/>
        <v>YES</v>
      </c>
      <c r="Q108" t="str">
        <f t="shared" si="23"/>
        <v>NO</v>
      </c>
      <c r="R108" t="str">
        <f t="shared" si="24"/>
        <v>NO</v>
      </c>
      <c r="T108" t="s">
        <v>340</v>
      </c>
      <c r="U108" t="str">
        <f t="shared" si="25"/>
        <v>Davenport St</v>
      </c>
      <c r="W108" t="str">
        <f t="shared" si="26"/>
        <v/>
      </c>
      <c r="X108" t="str">
        <f>IF(ISBLANK(S108),"Intersection","Non-Intersection")</f>
        <v>Intersection</v>
      </c>
      <c r="Y108" t="s">
        <v>341</v>
      </c>
      <c r="Z108" t="str">
        <f t="shared" si="27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4"/>
        <v>40179</v>
      </c>
      <c r="D109" s="4">
        <f t="shared" si="15"/>
        <v>9.5890410958904104E-2</v>
      </c>
      <c r="E109" s="3">
        <f t="shared" si="16"/>
        <v>2010</v>
      </c>
      <c r="F109" s="3">
        <f t="shared" si="17"/>
        <v>2</v>
      </c>
      <c r="G109" s="3">
        <f t="shared" si="18"/>
        <v>5</v>
      </c>
      <c r="H109" s="3">
        <f t="shared" si="19"/>
        <v>18</v>
      </c>
      <c r="I109" s="3">
        <f t="shared" si="20"/>
        <v>20</v>
      </c>
      <c r="J109" s="3">
        <f t="shared" si="21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2"/>
        <v>YES</v>
      </c>
      <c r="Q109" t="str">
        <f t="shared" si="23"/>
        <v>NO</v>
      </c>
      <c r="R109" t="str">
        <f t="shared" si="24"/>
        <v>NO</v>
      </c>
      <c r="T109" t="s">
        <v>105</v>
      </c>
      <c r="U109" t="str">
        <f t="shared" si="25"/>
        <v>Broadway</v>
      </c>
      <c r="V109" t="s">
        <v>342</v>
      </c>
      <c r="W109" t="str">
        <f t="shared" si="26"/>
        <v>Prospect St</v>
      </c>
      <c r="X109" t="str">
        <f>IF(ISBLANK(S109),"Intersection","Non-Intersection")</f>
        <v>Intersection</v>
      </c>
      <c r="Y109" t="s">
        <v>343</v>
      </c>
      <c r="Z109" t="str">
        <f t="shared" si="27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4"/>
        <v>40179</v>
      </c>
      <c r="D110" s="4">
        <f t="shared" si="15"/>
        <v>9.8630136986301367E-2</v>
      </c>
      <c r="E110" s="3">
        <f t="shared" si="16"/>
        <v>2010</v>
      </c>
      <c r="F110" s="3">
        <f t="shared" si="17"/>
        <v>2</v>
      </c>
      <c r="G110" s="3">
        <f t="shared" si="18"/>
        <v>6</v>
      </c>
      <c r="H110" s="3">
        <f t="shared" si="19"/>
        <v>15</v>
      </c>
      <c r="I110" s="3">
        <f t="shared" si="20"/>
        <v>45</v>
      </c>
      <c r="J110" s="3">
        <f t="shared" si="21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2"/>
        <v>YES</v>
      </c>
      <c r="Q110" t="str">
        <f t="shared" si="23"/>
        <v>NO</v>
      </c>
      <c r="R110" t="str">
        <f t="shared" si="24"/>
        <v>NO</v>
      </c>
      <c r="S110">
        <v>535</v>
      </c>
      <c r="T110" t="s">
        <v>189</v>
      </c>
      <c r="U110" t="str">
        <f t="shared" si="25"/>
        <v>Windsor St</v>
      </c>
      <c r="W110" t="str">
        <f t="shared" si="26"/>
        <v/>
      </c>
      <c r="X110" t="str">
        <f>IF(ISBLANK(S110),"Intersection","Non-Intersection")</f>
        <v>Non-Intersection</v>
      </c>
      <c r="Y110" t="s">
        <v>345</v>
      </c>
      <c r="Z110" t="str">
        <f t="shared" si="27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4"/>
        <v>40179</v>
      </c>
      <c r="D111" s="4">
        <f t="shared" si="15"/>
        <v>0.10136986301369863</v>
      </c>
      <c r="E111" s="3">
        <f t="shared" si="16"/>
        <v>2010</v>
      </c>
      <c r="F111" s="3">
        <f t="shared" si="17"/>
        <v>2</v>
      </c>
      <c r="G111" s="3">
        <f t="shared" si="18"/>
        <v>7</v>
      </c>
      <c r="H111" s="3">
        <f t="shared" si="19"/>
        <v>14</v>
      </c>
      <c r="I111" s="3">
        <f t="shared" si="20"/>
        <v>7</v>
      </c>
      <c r="J111" s="3">
        <f t="shared" si="21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2"/>
        <v>YES</v>
      </c>
      <c r="Q111" t="str">
        <f t="shared" si="23"/>
        <v>NO</v>
      </c>
      <c r="R111" t="str">
        <f t="shared" si="24"/>
        <v>NO</v>
      </c>
      <c r="S111">
        <v>575</v>
      </c>
      <c r="T111" t="s">
        <v>203</v>
      </c>
      <c r="U111" t="str">
        <f t="shared" si="25"/>
        <v>Memorial Dr</v>
      </c>
      <c r="W111" t="str">
        <f t="shared" si="26"/>
        <v/>
      </c>
      <c r="X111" t="str">
        <f>IF(ISBLANK(S111),"Intersection","Non-Intersection")</f>
        <v>Non-Intersection</v>
      </c>
      <c r="Y111" t="s">
        <v>347</v>
      </c>
      <c r="Z111" t="str">
        <f t="shared" si="27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4"/>
        <v>40179</v>
      </c>
      <c r="D112" s="4">
        <f t="shared" si="15"/>
        <v>0.10136986301369863</v>
      </c>
      <c r="E112" s="3">
        <f t="shared" si="16"/>
        <v>2010</v>
      </c>
      <c r="F112" s="3">
        <f t="shared" si="17"/>
        <v>2</v>
      </c>
      <c r="G112" s="3">
        <f t="shared" si="18"/>
        <v>7</v>
      </c>
      <c r="H112" s="3">
        <f t="shared" si="19"/>
        <v>18</v>
      </c>
      <c r="I112" s="3">
        <f t="shared" si="20"/>
        <v>0</v>
      </c>
      <c r="J112" s="3">
        <f t="shared" si="21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2"/>
        <v>YES</v>
      </c>
      <c r="Q112" t="str">
        <f t="shared" si="23"/>
        <v>NO</v>
      </c>
      <c r="R112" t="str">
        <f t="shared" si="24"/>
        <v>NO</v>
      </c>
      <c r="S112">
        <v>20</v>
      </c>
      <c r="T112" t="s">
        <v>100</v>
      </c>
      <c r="U112" t="str">
        <f t="shared" si="25"/>
        <v>Suffolk St</v>
      </c>
      <c r="W112" t="str">
        <f t="shared" si="26"/>
        <v/>
      </c>
      <c r="X112" t="str">
        <f>IF(ISBLANK(S112),"Intersection","Non-Intersection")</f>
        <v>Non-Intersection</v>
      </c>
      <c r="Y112" t="s">
        <v>349</v>
      </c>
      <c r="Z112" t="str">
        <f t="shared" si="27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4"/>
        <v>40179</v>
      </c>
      <c r="D113" s="4">
        <f t="shared" si="15"/>
        <v>0.10410958904109589</v>
      </c>
      <c r="E113" s="3">
        <f t="shared" si="16"/>
        <v>2010</v>
      </c>
      <c r="F113" s="3">
        <f t="shared" si="17"/>
        <v>2</v>
      </c>
      <c r="G113" s="3">
        <f t="shared" si="18"/>
        <v>8</v>
      </c>
      <c r="H113" s="3">
        <f t="shared" si="19"/>
        <v>8</v>
      </c>
      <c r="I113" s="3">
        <f t="shared" si="20"/>
        <v>39</v>
      </c>
      <c r="J113" s="3">
        <f t="shared" si="21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2"/>
        <v>YES</v>
      </c>
      <c r="Q113" t="str">
        <f t="shared" si="23"/>
        <v>NO</v>
      </c>
      <c r="R113" t="str">
        <f t="shared" si="24"/>
        <v>YES</v>
      </c>
      <c r="S113">
        <v>1</v>
      </c>
      <c r="T113" t="s">
        <v>351</v>
      </c>
      <c r="U113" t="str">
        <f t="shared" si="25"/>
        <v>Cambridge Ctr</v>
      </c>
      <c r="V113" t="s">
        <v>105</v>
      </c>
      <c r="W113" t="str">
        <f t="shared" si="26"/>
        <v>Broadway</v>
      </c>
      <c r="X113" t="str">
        <f>IF(ISBLANK(S113),"Intersection","Non-Intersection")</f>
        <v>Non-Intersection</v>
      </c>
      <c r="Y113" t="s">
        <v>352</v>
      </c>
      <c r="Z113" t="str">
        <f t="shared" si="27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4"/>
        <v>40179</v>
      </c>
      <c r="D114" s="4">
        <f t="shared" si="15"/>
        <v>0.10410958904109589</v>
      </c>
      <c r="E114" s="3">
        <f t="shared" si="16"/>
        <v>2010</v>
      </c>
      <c r="F114" s="3">
        <f t="shared" si="17"/>
        <v>2</v>
      </c>
      <c r="G114" s="3">
        <f t="shared" si="18"/>
        <v>8</v>
      </c>
      <c r="H114" s="3">
        <f t="shared" si="19"/>
        <v>11</v>
      </c>
      <c r="I114" s="3">
        <f t="shared" si="20"/>
        <v>29</v>
      </c>
      <c r="J114" s="3">
        <f t="shared" si="21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2"/>
        <v>YES</v>
      </c>
      <c r="Q114" t="str">
        <f t="shared" si="23"/>
        <v>NO</v>
      </c>
      <c r="R114" t="str">
        <f t="shared" si="24"/>
        <v>NO</v>
      </c>
      <c r="T114" t="s">
        <v>185</v>
      </c>
      <c r="U114" t="str">
        <f t="shared" si="25"/>
        <v>Garden St</v>
      </c>
      <c r="V114" t="s">
        <v>354</v>
      </c>
      <c r="W114" t="str">
        <f t="shared" si="26"/>
        <v>Linnaean St</v>
      </c>
      <c r="X114" t="str">
        <f>IF(ISBLANK(S114),"Intersection","Non-Intersection")</f>
        <v>Intersection</v>
      </c>
      <c r="Y114" t="s">
        <v>355</v>
      </c>
      <c r="Z114" t="str">
        <f t="shared" si="27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4"/>
        <v>40179</v>
      </c>
      <c r="D115" s="4">
        <f t="shared" si="15"/>
        <v>0.10410958904109589</v>
      </c>
      <c r="E115" s="3">
        <f t="shared" si="16"/>
        <v>2010</v>
      </c>
      <c r="F115" s="3">
        <f t="shared" si="17"/>
        <v>2</v>
      </c>
      <c r="G115" s="3">
        <f t="shared" si="18"/>
        <v>8</v>
      </c>
      <c r="H115" s="3">
        <f t="shared" si="19"/>
        <v>16</v>
      </c>
      <c r="I115" s="3">
        <f t="shared" si="20"/>
        <v>37</v>
      </c>
      <c r="J115" s="3">
        <f t="shared" si="21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2"/>
        <v>YES</v>
      </c>
      <c r="Q115" t="str">
        <f t="shared" si="23"/>
        <v>NO</v>
      </c>
      <c r="R115" t="str">
        <f t="shared" si="24"/>
        <v>YES</v>
      </c>
      <c r="S115">
        <v>78</v>
      </c>
      <c r="T115" t="s">
        <v>198</v>
      </c>
      <c r="U115" t="str">
        <f t="shared" si="25"/>
        <v>Mount Auburn St</v>
      </c>
      <c r="W115" t="str">
        <f t="shared" si="26"/>
        <v/>
      </c>
      <c r="X115" t="str">
        <f>IF(ISBLANK(S115),"Intersection","Non-Intersection")</f>
        <v>Non-Intersection</v>
      </c>
      <c r="Y115" t="s">
        <v>357</v>
      </c>
      <c r="Z115" t="str">
        <f t="shared" si="27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4"/>
        <v>40179</v>
      </c>
      <c r="D116" s="4">
        <f t="shared" si="15"/>
        <v>0.10410958904109589</v>
      </c>
      <c r="E116" s="3">
        <f t="shared" si="16"/>
        <v>2010</v>
      </c>
      <c r="F116" s="3">
        <f t="shared" si="17"/>
        <v>2</v>
      </c>
      <c r="G116" s="3">
        <f t="shared" si="18"/>
        <v>8</v>
      </c>
      <c r="H116" s="3">
        <f t="shared" si="19"/>
        <v>18</v>
      </c>
      <c r="I116" s="3">
        <f t="shared" si="20"/>
        <v>10</v>
      </c>
      <c r="J116" s="3">
        <f t="shared" si="21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2"/>
        <v>YES</v>
      </c>
      <c r="Q116" t="str">
        <f t="shared" si="23"/>
        <v>NO</v>
      </c>
      <c r="R116" t="str">
        <f t="shared" si="24"/>
        <v>NO</v>
      </c>
      <c r="S116">
        <v>1</v>
      </c>
      <c r="T116" t="s">
        <v>269</v>
      </c>
      <c r="U116" t="str">
        <f t="shared" si="25"/>
        <v>Porter Sq</v>
      </c>
      <c r="W116" t="str">
        <f t="shared" si="26"/>
        <v/>
      </c>
      <c r="X116" t="str">
        <f>IF(ISBLANK(S116),"Intersection","Non-Intersection")</f>
        <v>Non-Intersection</v>
      </c>
      <c r="Y116" t="s">
        <v>359</v>
      </c>
      <c r="Z116" t="str">
        <f t="shared" si="27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4"/>
        <v>40179</v>
      </c>
      <c r="D117" s="4">
        <f t="shared" si="15"/>
        <v>0.10684931506849316</v>
      </c>
      <c r="E117" s="3">
        <f t="shared" si="16"/>
        <v>2010</v>
      </c>
      <c r="F117" s="3">
        <f t="shared" si="17"/>
        <v>2</v>
      </c>
      <c r="G117" s="3">
        <f t="shared" si="18"/>
        <v>9</v>
      </c>
      <c r="H117" s="3">
        <f t="shared" si="19"/>
        <v>0</v>
      </c>
      <c r="I117" s="3">
        <f t="shared" si="20"/>
        <v>24</v>
      </c>
      <c r="J117" s="3">
        <f t="shared" si="21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2"/>
        <v>YES</v>
      </c>
      <c r="Q117" t="str">
        <f t="shared" si="23"/>
        <v>NO</v>
      </c>
      <c r="R117" t="str">
        <f t="shared" si="24"/>
        <v>NO</v>
      </c>
      <c r="T117" t="s">
        <v>14</v>
      </c>
      <c r="U117" t="str">
        <f t="shared" si="25"/>
        <v>Massachusetts Ave</v>
      </c>
      <c r="V117" t="s">
        <v>202</v>
      </c>
      <c r="W117" t="str">
        <f t="shared" si="26"/>
        <v>Vassar St</v>
      </c>
      <c r="X117" t="str">
        <f>IF(ISBLANK(S117),"Intersection","Non-Intersection")</f>
        <v>Intersection</v>
      </c>
      <c r="Y117" t="s">
        <v>361</v>
      </c>
      <c r="Z117" t="str">
        <f t="shared" si="27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4"/>
        <v>40179</v>
      </c>
      <c r="D118" s="4">
        <f t="shared" si="15"/>
        <v>0.10684931506849316</v>
      </c>
      <c r="E118" s="3">
        <f t="shared" si="16"/>
        <v>2010</v>
      </c>
      <c r="F118" s="3">
        <f t="shared" si="17"/>
        <v>2</v>
      </c>
      <c r="G118" s="3">
        <f t="shared" si="18"/>
        <v>9</v>
      </c>
      <c r="H118" s="3">
        <f t="shared" si="19"/>
        <v>8</v>
      </c>
      <c r="I118" s="3">
        <f t="shared" si="20"/>
        <v>10</v>
      </c>
      <c r="J118" s="3">
        <f t="shared" si="21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2"/>
        <v>YES</v>
      </c>
      <c r="Q118" t="str">
        <f t="shared" si="23"/>
        <v>NO</v>
      </c>
      <c r="R118" t="str">
        <f t="shared" si="24"/>
        <v>NO</v>
      </c>
      <c r="T118" t="s">
        <v>14</v>
      </c>
      <c r="U118" t="str">
        <f t="shared" si="25"/>
        <v>Massachusetts Ave</v>
      </c>
      <c r="V118" t="s">
        <v>362</v>
      </c>
      <c r="W118" t="str">
        <f t="shared" si="26"/>
        <v>Hollis St</v>
      </c>
      <c r="X118" t="str">
        <f>IF(ISBLANK(S118),"Intersection","Non-Intersection")</f>
        <v>Intersection</v>
      </c>
      <c r="Y118" t="s">
        <v>363</v>
      </c>
      <c r="Z118" t="str">
        <f t="shared" si="27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28">EOMONTH(B119,MONTH(B119)*-1)+1</f>
        <v>40179</v>
      </c>
      <c r="D119" s="4">
        <f t="shared" ref="D119:D178" si="29">YEARFRAC(C119,B119,1)</f>
        <v>0.10684931506849316</v>
      </c>
      <c r="E119" s="3">
        <f t="shared" ref="E119:E178" si="30">YEAR(B119)</f>
        <v>2010</v>
      </c>
      <c r="F119" s="3">
        <f t="shared" ref="F119:F178" si="31">MONTH(B119)</f>
        <v>2</v>
      </c>
      <c r="G119" s="3">
        <f t="shared" ref="G119:G178" si="32">DAY(B119)</f>
        <v>9</v>
      </c>
      <c r="H119" s="3">
        <f t="shared" ref="H119:H178" si="33">HOUR(B119)</f>
        <v>9</v>
      </c>
      <c r="I119" s="3">
        <f t="shared" ref="I119:I178" si="34">MINUTE(B119)</f>
        <v>1</v>
      </c>
      <c r="J119" s="3">
        <f t="shared" ref="J119:J178" si="35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6">IF(OR(N119="Auto",O119="Auto"),"YES",IF(OR(N119="Taxi",O119="Taxi"),"YES",IF(OR(N119="Van",O119="Van"),"YES",IF(OR(N119="Truck",O119="Truck"),"YES","NO"))))</f>
        <v>YES</v>
      </c>
      <c r="Q119" t="str">
        <f t="shared" ref="Q119:Q178" si="37">IF(OR(N119="Bicycle",O119="Bicycle"),"YES","NO")</f>
        <v>NO</v>
      </c>
      <c r="R119" t="str">
        <f t="shared" ref="R119:R178" si="38">IF(OR(N119="Pedestrian",O119="Pedestrian"),"YES","NO")</f>
        <v>NO</v>
      </c>
      <c r="T119" t="s">
        <v>260</v>
      </c>
      <c r="U119" t="str">
        <f t="shared" si="25"/>
        <v>Third St</v>
      </c>
      <c r="V119" t="s">
        <v>365</v>
      </c>
      <c r="W119" t="str">
        <f t="shared" si="26"/>
        <v>Hurley St</v>
      </c>
      <c r="X119" t="str">
        <f>IF(ISBLANK(S119),"Intersection","Non-Intersection")</f>
        <v>Intersection</v>
      </c>
      <c r="Y119" t="s">
        <v>366</v>
      </c>
      <c r="Z119" t="str">
        <f t="shared" si="27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28"/>
        <v>40179</v>
      </c>
      <c r="D120" s="4">
        <f t="shared" si="29"/>
        <v>0.10684931506849316</v>
      </c>
      <c r="E120" s="3">
        <f t="shared" si="30"/>
        <v>2010</v>
      </c>
      <c r="F120" s="3">
        <f t="shared" si="31"/>
        <v>2</v>
      </c>
      <c r="G120" s="3">
        <f t="shared" si="32"/>
        <v>9</v>
      </c>
      <c r="H120" s="3">
        <f t="shared" si="33"/>
        <v>12</v>
      </c>
      <c r="I120" s="3">
        <f t="shared" si="34"/>
        <v>0</v>
      </c>
      <c r="J120" s="3">
        <f t="shared" si="35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6"/>
        <v>YES</v>
      </c>
      <c r="Q120" t="str">
        <f t="shared" si="37"/>
        <v>NO</v>
      </c>
      <c r="R120" t="str">
        <f t="shared" si="38"/>
        <v>NO</v>
      </c>
      <c r="T120" t="s">
        <v>198</v>
      </c>
      <c r="U120" t="str">
        <f t="shared" si="25"/>
        <v>Mount Auburn St</v>
      </c>
      <c r="V120" t="s">
        <v>14</v>
      </c>
      <c r="W120" t="str">
        <f t="shared" si="26"/>
        <v>Massachusetts Ave</v>
      </c>
      <c r="X120" t="str">
        <f>IF(ISBLANK(S120),"Intersection","Non-Intersection")</f>
        <v>Intersection</v>
      </c>
      <c r="Y120" t="s">
        <v>368</v>
      </c>
      <c r="Z120" t="str">
        <f t="shared" si="27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28"/>
        <v>40179</v>
      </c>
      <c r="D121" s="4">
        <f t="shared" si="29"/>
        <v>0.10684931506849316</v>
      </c>
      <c r="E121" s="3">
        <f t="shared" si="30"/>
        <v>2010</v>
      </c>
      <c r="F121" s="3">
        <f t="shared" si="31"/>
        <v>2</v>
      </c>
      <c r="G121" s="3">
        <f t="shared" si="32"/>
        <v>9</v>
      </c>
      <c r="H121" s="3">
        <f t="shared" si="33"/>
        <v>19</v>
      </c>
      <c r="I121" s="3">
        <f t="shared" si="34"/>
        <v>27</v>
      </c>
      <c r="J121" s="3">
        <f t="shared" si="35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6"/>
        <v>YES</v>
      </c>
      <c r="Q121" t="str">
        <f t="shared" si="37"/>
        <v>NO</v>
      </c>
      <c r="R121" t="str">
        <f t="shared" si="38"/>
        <v>NO</v>
      </c>
      <c r="T121" t="s">
        <v>133</v>
      </c>
      <c r="U121" t="str">
        <f t="shared" si="25"/>
        <v>Harvard St</v>
      </c>
      <c r="V121" t="s">
        <v>192</v>
      </c>
      <c r="W121" t="str">
        <f t="shared" si="26"/>
        <v>Hancock St</v>
      </c>
      <c r="X121" t="str">
        <f>IF(ISBLANK(S121),"Intersection","Non-Intersection")</f>
        <v>Intersection</v>
      </c>
      <c r="Y121" t="s">
        <v>370</v>
      </c>
      <c r="Z121" t="str">
        <f t="shared" si="27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28"/>
        <v>40179</v>
      </c>
      <c r="D122" s="4">
        <f t="shared" si="29"/>
        <v>0.10684931506849316</v>
      </c>
      <c r="E122" s="3">
        <f t="shared" si="30"/>
        <v>2010</v>
      </c>
      <c r="F122" s="3">
        <f t="shared" si="31"/>
        <v>2</v>
      </c>
      <c r="G122" s="3">
        <f t="shared" si="32"/>
        <v>9</v>
      </c>
      <c r="H122" s="3">
        <f t="shared" si="33"/>
        <v>18</v>
      </c>
      <c r="I122" s="3">
        <f t="shared" si="34"/>
        <v>30</v>
      </c>
      <c r="J122" s="3">
        <f t="shared" si="35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6"/>
        <v>YES</v>
      </c>
      <c r="Q122" t="str">
        <f t="shared" si="37"/>
        <v>NO</v>
      </c>
      <c r="R122" t="str">
        <f t="shared" si="38"/>
        <v>NO</v>
      </c>
      <c r="S122">
        <v>110</v>
      </c>
      <c r="T122" t="s">
        <v>198</v>
      </c>
      <c r="U122" t="str">
        <f t="shared" si="25"/>
        <v>Mount Auburn St</v>
      </c>
      <c r="V122" t="s">
        <v>162</v>
      </c>
      <c r="W122" t="str">
        <f t="shared" si="26"/>
        <v>Bennett St</v>
      </c>
      <c r="X122" t="str">
        <f>IF(ISBLANK(S122),"Intersection","Non-Intersection")</f>
        <v>Non-Intersection</v>
      </c>
      <c r="Y122" t="s">
        <v>372</v>
      </c>
      <c r="Z122" t="str">
        <f t="shared" si="27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28"/>
        <v>40179</v>
      </c>
      <c r="D123" s="4">
        <f t="shared" si="29"/>
        <v>0.10684931506849316</v>
      </c>
      <c r="E123" s="3">
        <f t="shared" si="30"/>
        <v>2010</v>
      </c>
      <c r="F123" s="3">
        <f t="shared" si="31"/>
        <v>2</v>
      </c>
      <c r="G123" s="3">
        <f t="shared" si="32"/>
        <v>9</v>
      </c>
      <c r="H123" s="3">
        <f t="shared" si="33"/>
        <v>9</v>
      </c>
      <c r="I123" s="3">
        <f t="shared" si="34"/>
        <v>0</v>
      </c>
      <c r="J123" s="3">
        <f t="shared" si="35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6"/>
        <v>YES</v>
      </c>
      <c r="Q123" t="str">
        <f t="shared" si="37"/>
        <v>NO</v>
      </c>
      <c r="R123" t="str">
        <f t="shared" si="38"/>
        <v>YES</v>
      </c>
      <c r="S123">
        <v>221</v>
      </c>
      <c r="T123" t="s">
        <v>198</v>
      </c>
      <c r="U123" t="str">
        <f t="shared" si="25"/>
        <v>Mount Auburn St</v>
      </c>
      <c r="V123" t="s">
        <v>208</v>
      </c>
      <c r="W123" t="str">
        <f t="shared" si="26"/>
        <v>Sparks St</v>
      </c>
      <c r="X123" t="str">
        <f>IF(ISBLANK(S123),"Intersection","Non-Intersection")</f>
        <v>Non-Intersection</v>
      </c>
      <c r="Y123" t="s">
        <v>374</v>
      </c>
      <c r="Z123" t="str">
        <f t="shared" si="27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28"/>
        <v>40179</v>
      </c>
      <c r="D124" s="4">
        <f t="shared" si="29"/>
        <v>0.1095890410958904</v>
      </c>
      <c r="E124" s="3">
        <f t="shared" si="30"/>
        <v>2010</v>
      </c>
      <c r="F124" s="3">
        <f t="shared" si="31"/>
        <v>2</v>
      </c>
      <c r="G124" s="3">
        <f t="shared" si="32"/>
        <v>10</v>
      </c>
      <c r="H124" s="3">
        <f t="shared" si="33"/>
        <v>10</v>
      </c>
      <c r="I124" s="3">
        <f t="shared" si="34"/>
        <v>2</v>
      </c>
      <c r="J124" s="3">
        <f t="shared" si="35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6"/>
        <v>YES</v>
      </c>
      <c r="Q124" t="str">
        <f t="shared" si="37"/>
        <v>NO</v>
      </c>
      <c r="R124" t="str">
        <f t="shared" si="38"/>
        <v>NO</v>
      </c>
      <c r="S124">
        <v>397</v>
      </c>
      <c r="T124" t="s">
        <v>252</v>
      </c>
      <c r="U124" t="str">
        <f t="shared" si="25"/>
        <v>Walden St</v>
      </c>
      <c r="V124" t="s">
        <v>376</v>
      </c>
      <c r="W124" t="str">
        <f t="shared" si="26"/>
        <v>Saville St</v>
      </c>
      <c r="X124" t="str">
        <f>IF(ISBLANK(S124),"Intersection","Non-Intersection")</f>
        <v>Non-Intersection</v>
      </c>
      <c r="Y124" t="s">
        <v>377</v>
      </c>
      <c r="Z124" t="str">
        <f t="shared" si="27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28"/>
        <v>40179</v>
      </c>
      <c r="D125" s="4">
        <f t="shared" si="29"/>
        <v>0.1095890410958904</v>
      </c>
      <c r="E125" s="3">
        <f t="shared" si="30"/>
        <v>2010</v>
      </c>
      <c r="F125" s="3">
        <f t="shared" si="31"/>
        <v>2</v>
      </c>
      <c r="G125" s="3">
        <f t="shared" si="32"/>
        <v>10</v>
      </c>
      <c r="H125" s="3">
        <f t="shared" si="33"/>
        <v>11</v>
      </c>
      <c r="I125" s="3">
        <f t="shared" si="34"/>
        <v>49</v>
      </c>
      <c r="J125" s="3">
        <f t="shared" si="35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6"/>
        <v>YES</v>
      </c>
      <c r="Q125" t="str">
        <f t="shared" si="37"/>
        <v>NO</v>
      </c>
      <c r="R125" t="str">
        <f t="shared" si="38"/>
        <v>NO</v>
      </c>
      <c r="T125" t="s">
        <v>379</v>
      </c>
      <c r="U125" t="str">
        <f t="shared" si="25"/>
        <v>Second St</v>
      </c>
      <c r="V125" t="s">
        <v>380</v>
      </c>
      <c r="W125" t="str">
        <f t="shared" si="26"/>
        <v>Charles St</v>
      </c>
      <c r="X125" t="str">
        <f>IF(ISBLANK(S125),"Intersection","Non-Intersection")</f>
        <v>Intersection</v>
      </c>
      <c r="Y125" t="s">
        <v>381</v>
      </c>
      <c r="Z125" t="str">
        <f t="shared" si="27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28"/>
        <v>40179</v>
      </c>
      <c r="D126" s="4">
        <f t="shared" si="29"/>
        <v>0.1095890410958904</v>
      </c>
      <c r="E126" s="3">
        <f t="shared" si="30"/>
        <v>2010</v>
      </c>
      <c r="F126" s="3">
        <f t="shared" si="31"/>
        <v>2</v>
      </c>
      <c r="G126" s="3">
        <f t="shared" si="32"/>
        <v>10</v>
      </c>
      <c r="H126" s="3">
        <f t="shared" si="33"/>
        <v>18</v>
      </c>
      <c r="I126" s="3">
        <f t="shared" si="34"/>
        <v>59</v>
      </c>
      <c r="J126" s="3">
        <f t="shared" si="35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6"/>
        <v>YES</v>
      </c>
      <c r="Q126" t="str">
        <f t="shared" si="37"/>
        <v>NO</v>
      </c>
      <c r="R126" t="str">
        <f t="shared" si="38"/>
        <v>NO</v>
      </c>
      <c r="S126">
        <v>15</v>
      </c>
      <c r="T126" t="s">
        <v>104</v>
      </c>
      <c r="U126" t="str">
        <f t="shared" si="25"/>
        <v>Inman St</v>
      </c>
      <c r="W126" t="str">
        <f t="shared" si="26"/>
        <v/>
      </c>
      <c r="X126" t="str">
        <f>IF(ISBLANK(S126),"Intersection","Non-Intersection")</f>
        <v>Non-Intersection</v>
      </c>
      <c r="Y126" t="s">
        <v>383</v>
      </c>
      <c r="Z126" t="str">
        <f t="shared" si="27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28"/>
        <v>40179</v>
      </c>
      <c r="D127" s="4">
        <f t="shared" si="29"/>
        <v>0.1095890410958904</v>
      </c>
      <c r="E127" s="3">
        <f t="shared" si="30"/>
        <v>2010</v>
      </c>
      <c r="F127" s="3">
        <f t="shared" si="31"/>
        <v>2</v>
      </c>
      <c r="G127" s="3">
        <f t="shared" si="32"/>
        <v>10</v>
      </c>
      <c r="H127" s="3">
        <f t="shared" si="33"/>
        <v>8</v>
      </c>
      <c r="I127" s="3">
        <f t="shared" si="34"/>
        <v>0</v>
      </c>
      <c r="J127" s="3">
        <f t="shared" si="35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6"/>
        <v>YES</v>
      </c>
      <c r="Q127" t="str">
        <f t="shared" si="37"/>
        <v>NO</v>
      </c>
      <c r="R127" t="str">
        <f t="shared" si="38"/>
        <v>NO</v>
      </c>
      <c r="T127" t="s">
        <v>326</v>
      </c>
      <c r="U127" t="str">
        <f t="shared" si="25"/>
        <v>Jfk St</v>
      </c>
      <c r="V127" t="s">
        <v>198</v>
      </c>
      <c r="W127" t="str">
        <f t="shared" si="26"/>
        <v>Mount Auburn St</v>
      </c>
      <c r="X127" t="str">
        <f>IF(ISBLANK(S127),"Intersection","Non-Intersection")</f>
        <v>Intersection</v>
      </c>
      <c r="Y127" t="s">
        <v>385</v>
      </c>
      <c r="Z127" t="str">
        <f t="shared" si="27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28"/>
        <v>40179</v>
      </c>
      <c r="D128" s="4">
        <f t="shared" si="29"/>
        <v>0.11232876712328767</v>
      </c>
      <c r="E128" s="3">
        <f t="shared" si="30"/>
        <v>2010</v>
      </c>
      <c r="F128" s="3">
        <f t="shared" si="31"/>
        <v>2</v>
      </c>
      <c r="G128" s="3">
        <f t="shared" si="32"/>
        <v>11</v>
      </c>
      <c r="H128" s="3">
        <f t="shared" si="33"/>
        <v>14</v>
      </c>
      <c r="I128" s="3">
        <f t="shared" si="34"/>
        <v>35</v>
      </c>
      <c r="J128" s="3">
        <f t="shared" si="35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6"/>
        <v>YES</v>
      </c>
      <c r="Q128" t="str">
        <f t="shared" si="37"/>
        <v>NO</v>
      </c>
      <c r="R128" t="str">
        <f t="shared" si="38"/>
        <v>NO</v>
      </c>
      <c r="T128" t="s">
        <v>105</v>
      </c>
      <c r="U128" t="str">
        <f t="shared" si="25"/>
        <v>Broadway</v>
      </c>
      <c r="V128" t="s">
        <v>387</v>
      </c>
      <c r="W128" t="str">
        <f t="shared" si="26"/>
        <v>Antrim St</v>
      </c>
      <c r="X128" t="str">
        <f>IF(ISBLANK(S128),"Intersection","Non-Intersection")</f>
        <v>Intersection</v>
      </c>
      <c r="Y128" t="s">
        <v>388</v>
      </c>
      <c r="Z128" t="str">
        <f t="shared" si="27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28"/>
        <v>40179</v>
      </c>
      <c r="D129" s="4">
        <f t="shared" si="29"/>
        <v>0.11232876712328767</v>
      </c>
      <c r="E129" s="3">
        <f t="shared" si="30"/>
        <v>2010</v>
      </c>
      <c r="F129" s="3">
        <f t="shared" si="31"/>
        <v>2</v>
      </c>
      <c r="G129" s="3">
        <f t="shared" si="32"/>
        <v>11</v>
      </c>
      <c r="H129" s="3">
        <f t="shared" si="33"/>
        <v>1</v>
      </c>
      <c r="I129" s="3">
        <f t="shared" si="34"/>
        <v>12</v>
      </c>
      <c r="J129" s="3">
        <f t="shared" si="35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6"/>
        <v>YES</v>
      </c>
      <c r="Q129" t="str">
        <f t="shared" si="37"/>
        <v>NO</v>
      </c>
      <c r="R129" t="str">
        <f t="shared" si="38"/>
        <v>NO</v>
      </c>
      <c r="S129">
        <v>78</v>
      </c>
      <c r="T129" t="s">
        <v>24</v>
      </c>
      <c r="U129" t="str">
        <f t="shared" si="25"/>
        <v>Coolidge Ave</v>
      </c>
      <c r="W129" t="str">
        <f t="shared" si="26"/>
        <v/>
      </c>
      <c r="X129" t="str">
        <f>IF(ISBLANK(S129),"Intersection","Non-Intersection")</f>
        <v>Non-Intersection</v>
      </c>
      <c r="Y129" t="s">
        <v>392</v>
      </c>
      <c r="Z129" t="str">
        <f t="shared" si="27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28"/>
        <v>40179</v>
      </c>
      <c r="D130" s="4">
        <f t="shared" si="29"/>
        <v>0.11232876712328767</v>
      </c>
      <c r="E130" s="3">
        <f t="shared" si="30"/>
        <v>2010</v>
      </c>
      <c r="F130" s="3">
        <f t="shared" si="31"/>
        <v>2</v>
      </c>
      <c r="G130" s="3">
        <f t="shared" si="32"/>
        <v>11</v>
      </c>
      <c r="H130" s="3">
        <f t="shared" si="33"/>
        <v>17</v>
      </c>
      <c r="I130" s="3">
        <f t="shared" si="34"/>
        <v>29</v>
      </c>
      <c r="J130" s="3">
        <f t="shared" si="35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6"/>
        <v>YES</v>
      </c>
      <c r="Q130" t="str">
        <f t="shared" si="37"/>
        <v>NO</v>
      </c>
      <c r="R130" t="str">
        <f t="shared" si="38"/>
        <v>NO</v>
      </c>
      <c r="S130">
        <v>89</v>
      </c>
      <c r="T130" t="s">
        <v>104</v>
      </c>
      <c r="U130" t="str">
        <f t="shared" si="25"/>
        <v>Inman St</v>
      </c>
      <c r="W130" t="str">
        <f t="shared" si="26"/>
        <v/>
      </c>
      <c r="X130" t="str">
        <f>IF(ISBLANK(S130),"Intersection","Non-Intersection")</f>
        <v>Non-Intersection</v>
      </c>
      <c r="Y130" t="s">
        <v>394</v>
      </c>
      <c r="Z130" t="str">
        <f t="shared" si="27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28"/>
        <v>40179</v>
      </c>
      <c r="D131" s="4">
        <f t="shared" si="29"/>
        <v>0.11232876712328767</v>
      </c>
      <c r="E131" s="3">
        <f t="shared" si="30"/>
        <v>2010</v>
      </c>
      <c r="F131" s="3">
        <f t="shared" si="31"/>
        <v>2</v>
      </c>
      <c r="G131" s="3">
        <f t="shared" si="32"/>
        <v>11</v>
      </c>
      <c r="H131" s="3">
        <f t="shared" si="33"/>
        <v>16</v>
      </c>
      <c r="I131" s="3">
        <f t="shared" si="34"/>
        <v>54</v>
      </c>
      <c r="J131" s="3">
        <f t="shared" si="35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6"/>
        <v>YES</v>
      </c>
      <c r="Q131" t="str">
        <f t="shared" si="37"/>
        <v>NO</v>
      </c>
      <c r="R131" t="str">
        <f t="shared" si="38"/>
        <v>YES</v>
      </c>
      <c r="T131" t="s">
        <v>105</v>
      </c>
      <c r="U131" t="str">
        <f t="shared" ref="U131:U194" si="39">TRIM(PROPER(T131))</f>
        <v>Broadway</v>
      </c>
      <c r="V131" t="s">
        <v>396</v>
      </c>
      <c r="W131" t="str">
        <f t="shared" ref="W131:W194" si="40">TRIM(PROPER(V131))</f>
        <v>Prescott St</v>
      </c>
      <c r="X131" t="str">
        <f>IF(ISBLANK(S131),"Intersection","Non-Intersection")</f>
        <v>Intersection</v>
      </c>
      <c r="Y131" t="s">
        <v>397</v>
      </c>
      <c r="Z131" t="str">
        <f t="shared" ref="Z131:Z194" si="41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28"/>
        <v>40179</v>
      </c>
      <c r="D132" s="4">
        <f t="shared" si="29"/>
        <v>0.11506849315068493</v>
      </c>
      <c r="E132" s="3">
        <f t="shared" si="30"/>
        <v>2010</v>
      </c>
      <c r="F132" s="3">
        <f t="shared" si="31"/>
        <v>2</v>
      </c>
      <c r="G132" s="3">
        <f t="shared" si="32"/>
        <v>12</v>
      </c>
      <c r="H132" s="3">
        <f t="shared" si="33"/>
        <v>6</v>
      </c>
      <c r="I132" s="3">
        <f t="shared" si="34"/>
        <v>40</v>
      </c>
      <c r="J132" s="3">
        <f t="shared" si="35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6"/>
        <v>YES</v>
      </c>
      <c r="Q132" t="str">
        <f t="shared" si="37"/>
        <v>NO</v>
      </c>
      <c r="R132" t="str">
        <f t="shared" si="38"/>
        <v>NO</v>
      </c>
      <c r="T132" t="s">
        <v>296</v>
      </c>
      <c r="U132" t="str">
        <f t="shared" si="39"/>
        <v>Mason St</v>
      </c>
      <c r="V132" t="s">
        <v>399</v>
      </c>
      <c r="W132" t="str">
        <f t="shared" si="40"/>
        <v>Phillips Pl</v>
      </c>
      <c r="X132" t="str">
        <f>IF(ISBLANK(S132),"Intersection","Non-Intersection")</f>
        <v>Intersection</v>
      </c>
      <c r="Y132" t="s">
        <v>400</v>
      </c>
      <c r="Z132" t="str">
        <f t="shared" si="41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28"/>
        <v>40179</v>
      </c>
      <c r="D133" s="4">
        <f t="shared" si="29"/>
        <v>0.11506849315068493</v>
      </c>
      <c r="E133" s="3">
        <f t="shared" si="30"/>
        <v>2010</v>
      </c>
      <c r="F133" s="3">
        <f t="shared" si="31"/>
        <v>2</v>
      </c>
      <c r="G133" s="3">
        <f t="shared" si="32"/>
        <v>12</v>
      </c>
      <c r="H133" s="3">
        <f t="shared" si="33"/>
        <v>10</v>
      </c>
      <c r="I133" s="3">
        <f t="shared" si="34"/>
        <v>15</v>
      </c>
      <c r="J133" s="3">
        <f t="shared" si="35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6"/>
        <v>YES</v>
      </c>
      <c r="Q133" t="str">
        <f t="shared" si="37"/>
        <v>NO</v>
      </c>
      <c r="R133" t="str">
        <f t="shared" si="38"/>
        <v>NO</v>
      </c>
      <c r="T133" t="s">
        <v>354</v>
      </c>
      <c r="U133" t="str">
        <f t="shared" si="39"/>
        <v>Linnaean St</v>
      </c>
      <c r="V133" t="s">
        <v>402</v>
      </c>
      <c r="W133" t="str">
        <f t="shared" si="40"/>
        <v>Avon Hill St</v>
      </c>
      <c r="X133" t="str">
        <f>IF(ISBLANK(S133),"Intersection","Non-Intersection")</f>
        <v>Intersection</v>
      </c>
      <c r="Y133" t="s">
        <v>403</v>
      </c>
      <c r="Z133" t="str">
        <f t="shared" si="41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28"/>
        <v>40179</v>
      </c>
      <c r="D134" s="4">
        <f t="shared" si="29"/>
        <v>0.11506849315068493</v>
      </c>
      <c r="E134" s="3">
        <f t="shared" si="30"/>
        <v>2010</v>
      </c>
      <c r="F134" s="3">
        <f t="shared" si="31"/>
        <v>2</v>
      </c>
      <c r="G134" s="3">
        <f t="shared" si="32"/>
        <v>12</v>
      </c>
      <c r="H134" s="3">
        <f t="shared" si="33"/>
        <v>12</v>
      </c>
      <c r="I134" s="3">
        <f t="shared" si="34"/>
        <v>30</v>
      </c>
      <c r="J134" s="3">
        <f t="shared" si="35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6"/>
        <v>YES</v>
      </c>
      <c r="Q134" t="str">
        <f t="shared" si="37"/>
        <v>NO</v>
      </c>
      <c r="R134" t="str">
        <f t="shared" si="38"/>
        <v>NO</v>
      </c>
      <c r="T134" t="s">
        <v>405</v>
      </c>
      <c r="U134" t="str">
        <f t="shared" si="39"/>
        <v>Macarelli Way</v>
      </c>
      <c r="V134" t="s">
        <v>406</v>
      </c>
      <c r="W134" t="str">
        <f t="shared" si="40"/>
        <v>Marion St</v>
      </c>
      <c r="X134" t="str">
        <f>IF(ISBLANK(S134),"Intersection","Non-Intersection")</f>
        <v>Intersection</v>
      </c>
      <c r="Y134" t="s">
        <v>407</v>
      </c>
      <c r="Z134" t="str">
        <f t="shared" si="41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28"/>
        <v>40179</v>
      </c>
      <c r="D135" s="4">
        <f t="shared" si="29"/>
        <v>0.11506849315068493</v>
      </c>
      <c r="E135" s="3">
        <f t="shared" si="30"/>
        <v>2010</v>
      </c>
      <c r="F135" s="3">
        <f t="shared" si="31"/>
        <v>2</v>
      </c>
      <c r="G135" s="3">
        <f t="shared" si="32"/>
        <v>12</v>
      </c>
      <c r="H135" s="3">
        <f t="shared" si="33"/>
        <v>15</v>
      </c>
      <c r="I135" s="3">
        <f t="shared" si="34"/>
        <v>10</v>
      </c>
      <c r="J135" s="3">
        <f t="shared" si="35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6"/>
        <v>YES</v>
      </c>
      <c r="Q135" t="str">
        <f t="shared" si="37"/>
        <v>YES</v>
      </c>
      <c r="R135" t="str">
        <f t="shared" si="38"/>
        <v>NO</v>
      </c>
      <c r="T135" t="s">
        <v>409</v>
      </c>
      <c r="U135" t="str">
        <f t="shared" si="39"/>
        <v>Appleton St</v>
      </c>
      <c r="V135" t="s">
        <v>410</v>
      </c>
      <c r="W135" t="str">
        <f t="shared" si="40"/>
        <v>Highland Ave</v>
      </c>
      <c r="X135" t="str">
        <f>IF(ISBLANK(S135),"Intersection","Non-Intersection")</f>
        <v>Intersection</v>
      </c>
      <c r="Y135" t="s">
        <v>411</v>
      </c>
      <c r="Z135" t="str">
        <f t="shared" si="41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28"/>
        <v>40179</v>
      </c>
      <c r="D136" s="4">
        <f t="shared" si="29"/>
        <v>0.11506849315068493</v>
      </c>
      <c r="E136" s="3">
        <f t="shared" si="30"/>
        <v>2010</v>
      </c>
      <c r="F136" s="3">
        <f t="shared" si="31"/>
        <v>2</v>
      </c>
      <c r="G136" s="3">
        <f t="shared" si="32"/>
        <v>12</v>
      </c>
      <c r="H136" s="3">
        <f t="shared" si="33"/>
        <v>16</v>
      </c>
      <c r="I136" s="3">
        <f t="shared" si="34"/>
        <v>34</v>
      </c>
      <c r="J136" s="3">
        <f t="shared" si="35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6"/>
        <v>YES</v>
      </c>
      <c r="Q136" t="str">
        <f t="shared" si="37"/>
        <v>NO</v>
      </c>
      <c r="R136" t="str">
        <f t="shared" si="38"/>
        <v>NO</v>
      </c>
      <c r="T136" t="s">
        <v>413</v>
      </c>
      <c r="U136" t="str">
        <f t="shared" si="39"/>
        <v>Smith Pl</v>
      </c>
      <c r="W136" t="str">
        <f t="shared" si="40"/>
        <v/>
      </c>
      <c r="X136" t="str">
        <f>IF(ISBLANK(S136),"Intersection","Non-Intersection")</f>
        <v>Intersection</v>
      </c>
      <c r="Y136" t="s">
        <v>414</v>
      </c>
      <c r="Z136" t="str">
        <f t="shared" si="41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28"/>
        <v>40179</v>
      </c>
      <c r="D137" s="4">
        <f t="shared" si="29"/>
        <v>0.11780821917808219</v>
      </c>
      <c r="E137" s="3">
        <f t="shared" si="30"/>
        <v>2010</v>
      </c>
      <c r="F137" s="3">
        <f t="shared" si="31"/>
        <v>2</v>
      </c>
      <c r="G137" s="3">
        <f t="shared" si="32"/>
        <v>13</v>
      </c>
      <c r="H137" s="3">
        <f t="shared" si="33"/>
        <v>11</v>
      </c>
      <c r="I137" s="3">
        <f t="shared" si="34"/>
        <v>28</v>
      </c>
      <c r="J137" s="3">
        <f t="shared" si="35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6"/>
        <v>YES</v>
      </c>
      <c r="Q137" t="str">
        <f t="shared" si="37"/>
        <v>NO</v>
      </c>
      <c r="R137" t="str">
        <f t="shared" si="38"/>
        <v>NO</v>
      </c>
      <c r="S137">
        <v>77</v>
      </c>
      <c r="T137" t="s">
        <v>14</v>
      </c>
      <c r="U137" t="str">
        <f t="shared" si="39"/>
        <v>Massachusetts Ave</v>
      </c>
      <c r="W137" t="str">
        <f t="shared" si="40"/>
        <v/>
      </c>
      <c r="X137" t="str">
        <f>IF(ISBLANK(S137),"Intersection","Non-Intersection")</f>
        <v>Non-Intersection</v>
      </c>
      <c r="Y137" t="s">
        <v>415</v>
      </c>
      <c r="Z137" t="str">
        <f t="shared" si="41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28"/>
        <v>40179</v>
      </c>
      <c r="D138" s="4">
        <f t="shared" si="29"/>
        <v>0.11780821917808219</v>
      </c>
      <c r="E138" s="3">
        <f t="shared" si="30"/>
        <v>2010</v>
      </c>
      <c r="F138" s="3">
        <f t="shared" si="31"/>
        <v>2</v>
      </c>
      <c r="G138" s="3">
        <f t="shared" si="32"/>
        <v>13</v>
      </c>
      <c r="H138" s="3">
        <f t="shared" si="33"/>
        <v>11</v>
      </c>
      <c r="I138" s="3">
        <f t="shared" si="34"/>
        <v>29</v>
      </c>
      <c r="J138" s="3">
        <f t="shared" si="35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6"/>
        <v>YES</v>
      </c>
      <c r="Q138" t="str">
        <f t="shared" si="37"/>
        <v>NO</v>
      </c>
      <c r="R138" t="str">
        <f t="shared" si="38"/>
        <v>NO</v>
      </c>
      <c r="T138" t="s">
        <v>238</v>
      </c>
      <c r="U138" t="str">
        <f t="shared" si="39"/>
        <v>Kirkland St</v>
      </c>
      <c r="V138" t="s">
        <v>417</v>
      </c>
      <c r="W138" t="str">
        <f t="shared" si="40"/>
        <v>Myrtle Ave</v>
      </c>
      <c r="X138" t="str">
        <f>IF(ISBLANK(S138),"Intersection","Non-Intersection")</f>
        <v>Intersection</v>
      </c>
      <c r="Y138" t="s">
        <v>418</v>
      </c>
      <c r="Z138" t="str">
        <f t="shared" si="41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28"/>
        <v>40179</v>
      </c>
      <c r="D139" s="4">
        <f t="shared" si="29"/>
        <v>0.11780821917808219</v>
      </c>
      <c r="E139" s="3">
        <f t="shared" si="30"/>
        <v>2010</v>
      </c>
      <c r="F139" s="3">
        <f t="shared" si="31"/>
        <v>2</v>
      </c>
      <c r="G139" s="3">
        <f t="shared" si="32"/>
        <v>13</v>
      </c>
      <c r="H139" s="3">
        <f t="shared" si="33"/>
        <v>21</v>
      </c>
      <c r="I139" s="3">
        <f t="shared" si="34"/>
        <v>55</v>
      </c>
      <c r="J139" s="3">
        <f t="shared" si="35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6"/>
        <v>YES</v>
      </c>
      <c r="Q139" t="str">
        <f t="shared" si="37"/>
        <v>YES</v>
      </c>
      <c r="R139" t="str">
        <f t="shared" si="38"/>
        <v>NO</v>
      </c>
      <c r="T139" t="s">
        <v>14</v>
      </c>
      <c r="U139" t="str">
        <f t="shared" si="39"/>
        <v>Massachusetts Ave</v>
      </c>
      <c r="V139" t="s">
        <v>420</v>
      </c>
      <c r="W139" t="str">
        <f t="shared" si="40"/>
        <v>Douglass St</v>
      </c>
      <c r="X139" t="str">
        <f>IF(ISBLANK(S139),"Intersection","Non-Intersection")</f>
        <v>Intersection</v>
      </c>
      <c r="Y139" t="s">
        <v>421</v>
      </c>
      <c r="Z139" t="str">
        <f t="shared" si="41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28"/>
        <v>40179</v>
      </c>
      <c r="D140" s="4">
        <f t="shared" si="29"/>
        <v>0.12054794520547946</v>
      </c>
      <c r="E140" s="3">
        <f t="shared" si="30"/>
        <v>2010</v>
      </c>
      <c r="F140" s="3">
        <f t="shared" si="31"/>
        <v>2</v>
      </c>
      <c r="G140" s="3">
        <f t="shared" si="32"/>
        <v>14</v>
      </c>
      <c r="H140" s="3">
        <f t="shared" si="33"/>
        <v>6</v>
      </c>
      <c r="I140" s="3">
        <f t="shared" si="34"/>
        <v>55</v>
      </c>
      <c r="J140" s="3">
        <f t="shared" si="35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6"/>
        <v>YES</v>
      </c>
      <c r="Q140" t="str">
        <f t="shared" si="37"/>
        <v>NO</v>
      </c>
      <c r="R140" t="str">
        <f t="shared" si="38"/>
        <v>NO</v>
      </c>
      <c r="S140">
        <v>35</v>
      </c>
      <c r="T140" t="s">
        <v>178</v>
      </c>
      <c r="U140" t="str">
        <f t="shared" si="39"/>
        <v>Pleasant St</v>
      </c>
      <c r="W140" t="str">
        <f t="shared" si="40"/>
        <v/>
      </c>
      <c r="X140" t="str">
        <f>IF(ISBLANK(S140),"Intersection","Non-Intersection")</f>
        <v>Non-Intersection</v>
      </c>
      <c r="Y140" t="s">
        <v>424</v>
      </c>
      <c r="Z140" t="str">
        <f t="shared" si="41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28"/>
        <v>40179</v>
      </c>
      <c r="D141" s="4">
        <f t="shared" si="29"/>
        <v>0.12054794520547946</v>
      </c>
      <c r="E141" s="3">
        <f t="shared" si="30"/>
        <v>2010</v>
      </c>
      <c r="F141" s="3">
        <f t="shared" si="31"/>
        <v>2</v>
      </c>
      <c r="G141" s="3">
        <f t="shared" si="32"/>
        <v>14</v>
      </c>
      <c r="H141" s="3">
        <f t="shared" si="33"/>
        <v>20</v>
      </c>
      <c r="I141" s="3">
        <f t="shared" si="34"/>
        <v>25</v>
      </c>
      <c r="J141" s="3">
        <f t="shared" si="35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6"/>
        <v>YES</v>
      </c>
      <c r="Q141" t="str">
        <f t="shared" si="37"/>
        <v>NO</v>
      </c>
      <c r="R141" t="str">
        <f t="shared" si="38"/>
        <v>NO</v>
      </c>
      <c r="T141" t="s">
        <v>134</v>
      </c>
      <c r="U141" t="str">
        <f t="shared" si="39"/>
        <v>Quincy St</v>
      </c>
      <c r="V141" t="s">
        <v>19</v>
      </c>
      <c r="W141" t="str">
        <f t="shared" si="40"/>
        <v>Cambridge St</v>
      </c>
      <c r="X141" t="str">
        <f>IF(ISBLANK(S141),"Intersection","Non-Intersection")</f>
        <v>Intersection</v>
      </c>
      <c r="Y141" t="s">
        <v>426</v>
      </c>
      <c r="Z141" t="str">
        <f t="shared" si="41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28"/>
        <v>40179</v>
      </c>
      <c r="D142" s="4">
        <f t="shared" si="29"/>
        <v>0.12328767123287671</v>
      </c>
      <c r="E142" s="3">
        <f t="shared" si="30"/>
        <v>2010</v>
      </c>
      <c r="F142" s="3">
        <f t="shared" si="31"/>
        <v>2</v>
      </c>
      <c r="G142" s="3">
        <f t="shared" si="32"/>
        <v>15</v>
      </c>
      <c r="H142" s="3">
        <f t="shared" si="33"/>
        <v>18</v>
      </c>
      <c r="I142" s="3">
        <f t="shared" si="34"/>
        <v>59</v>
      </c>
      <c r="J142" s="3">
        <f t="shared" si="35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6"/>
        <v>YES</v>
      </c>
      <c r="Q142" t="str">
        <f t="shared" si="37"/>
        <v>NO</v>
      </c>
      <c r="R142" t="str">
        <f t="shared" si="38"/>
        <v>NO</v>
      </c>
      <c r="T142" t="s">
        <v>41</v>
      </c>
      <c r="U142" t="str">
        <f t="shared" si="39"/>
        <v>River St</v>
      </c>
      <c r="V142" t="s">
        <v>108</v>
      </c>
      <c r="W142" t="str">
        <f t="shared" si="40"/>
        <v>Franklin St</v>
      </c>
      <c r="X142" t="str">
        <f>IF(ISBLANK(S142),"Intersection","Non-Intersection")</f>
        <v>Intersection</v>
      </c>
      <c r="Y142" t="s">
        <v>427</v>
      </c>
      <c r="Z142" t="str">
        <f t="shared" si="41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28"/>
        <v>40179</v>
      </c>
      <c r="D143" s="4">
        <f t="shared" si="29"/>
        <v>0.12328767123287671</v>
      </c>
      <c r="E143" s="3">
        <f t="shared" si="30"/>
        <v>2010</v>
      </c>
      <c r="F143" s="3">
        <f t="shared" si="31"/>
        <v>2</v>
      </c>
      <c r="G143" s="3">
        <f t="shared" si="32"/>
        <v>15</v>
      </c>
      <c r="H143" s="3">
        <f t="shared" si="33"/>
        <v>16</v>
      </c>
      <c r="I143" s="3">
        <f t="shared" si="34"/>
        <v>45</v>
      </c>
      <c r="J143" s="3">
        <f t="shared" si="35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6"/>
        <v>YES</v>
      </c>
      <c r="Q143" t="str">
        <f t="shared" si="37"/>
        <v>NO</v>
      </c>
      <c r="R143" t="str">
        <f t="shared" si="38"/>
        <v>NO</v>
      </c>
      <c r="S143">
        <v>57</v>
      </c>
      <c r="T143" t="s">
        <v>142</v>
      </c>
      <c r="U143" t="str">
        <f t="shared" si="39"/>
        <v>Huron Ave</v>
      </c>
      <c r="W143" t="str">
        <f t="shared" si="40"/>
        <v/>
      </c>
      <c r="X143" t="str">
        <f>IF(ISBLANK(S143),"Intersection","Non-Intersection")</f>
        <v>Non-Intersection</v>
      </c>
      <c r="Y143" t="s">
        <v>429</v>
      </c>
      <c r="Z143" t="str">
        <f t="shared" si="41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28"/>
        <v>40179</v>
      </c>
      <c r="D144" s="4">
        <f t="shared" si="29"/>
        <v>0.12328767123287671</v>
      </c>
      <c r="E144" s="3">
        <f t="shared" si="30"/>
        <v>2010</v>
      </c>
      <c r="F144" s="3">
        <f t="shared" si="31"/>
        <v>2</v>
      </c>
      <c r="G144" s="3">
        <f t="shared" si="32"/>
        <v>15</v>
      </c>
      <c r="H144" s="3">
        <f t="shared" si="33"/>
        <v>12</v>
      </c>
      <c r="I144" s="3">
        <f t="shared" si="34"/>
        <v>17</v>
      </c>
      <c r="J144" s="3">
        <f t="shared" si="35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6"/>
        <v>YES</v>
      </c>
      <c r="Q144" t="str">
        <f t="shared" si="37"/>
        <v>NO</v>
      </c>
      <c r="R144" t="str">
        <f t="shared" si="38"/>
        <v>NO</v>
      </c>
      <c r="T144" t="s">
        <v>19</v>
      </c>
      <c r="U144" t="str">
        <f t="shared" si="39"/>
        <v>Cambridge St</v>
      </c>
      <c r="V144" t="s">
        <v>431</v>
      </c>
      <c r="W144" t="str">
        <f t="shared" si="40"/>
        <v>Hovey Ave</v>
      </c>
      <c r="X144" t="str">
        <f>IF(ISBLANK(S144),"Intersection","Non-Intersection")</f>
        <v>Intersection</v>
      </c>
      <c r="Y144" t="s">
        <v>432</v>
      </c>
      <c r="Z144" t="str">
        <f t="shared" si="41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28"/>
        <v>40179</v>
      </c>
      <c r="D145" s="4">
        <f t="shared" si="29"/>
        <v>0.12328767123287671</v>
      </c>
      <c r="E145" s="3">
        <f t="shared" si="30"/>
        <v>2010</v>
      </c>
      <c r="F145" s="3">
        <f t="shared" si="31"/>
        <v>2</v>
      </c>
      <c r="G145" s="3">
        <f t="shared" si="32"/>
        <v>15</v>
      </c>
      <c r="H145" s="3">
        <f t="shared" si="33"/>
        <v>9</v>
      </c>
      <c r="I145" s="3">
        <f t="shared" si="34"/>
        <v>30</v>
      </c>
      <c r="J145" s="3">
        <f t="shared" si="35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6"/>
        <v>YES</v>
      </c>
      <c r="Q145" t="str">
        <f t="shared" si="37"/>
        <v>NO</v>
      </c>
      <c r="R145" t="str">
        <f t="shared" si="38"/>
        <v>NO</v>
      </c>
      <c r="T145" t="s">
        <v>104</v>
      </c>
      <c r="U145" t="str">
        <f t="shared" si="39"/>
        <v>Inman St</v>
      </c>
      <c r="V145" t="s">
        <v>14</v>
      </c>
      <c r="W145" t="str">
        <f t="shared" si="40"/>
        <v>Massachusetts Ave</v>
      </c>
      <c r="X145" t="str">
        <f>IF(ISBLANK(S145),"Intersection","Non-Intersection")</f>
        <v>Intersection</v>
      </c>
      <c r="Y145" t="s">
        <v>434</v>
      </c>
      <c r="Z145" t="str">
        <f t="shared" si="41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28"/>
        <v>40179</v>
      </c>
      <c r="D146" s="4">
        <f t="shared" si="29"/>
        <v>0.12602739726027398</v>
      </c>
      <c r="E146" s="3">
        <f t="shared" si="30"/>
        <v>2010</v>
      </c>
      <c r="F146" s="3">
        <f t="shared" si="31"/>
        <v>2</v>
      </c>
      <c r="G146" s="3">
        <f t="shared" si="32"/>
        <v>16</v>
      </c>
      <c r="H146" s="3">
        <f t="shared" si="33"/>
        <v>9</v>
      </c>
      <c r="I146" s="3">
        <f t="shared" si="34"/>
        <v>49</v>
      </c>
      <c r="J146" s="3">
        <f t="shared" si="35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6"/>
        <v>YES</v>
      </c>
      <c r="Q146" t="str">
        <f t="shared" si="37"/>
        <v>NO</v>
      </c>
      <c r="R146" t="str">
        <f t="shared" si="38"/>
        <v>NO</v>
      </c>
      <c r="S146">
        <v>41</v>
      </c>
      <c r="T146" t="s">
        <v>156</v>
      </c>
      <c r="U146" t="str">
        <f t="shared" si="39"/>
        <v>Magee St</v>
      </c>
      <c r="W146" t="str">
        <f t="shared" si="40"/>
        <v/>
      </c>
      <c r="X146" t="str">
        <f>IF(ISBLANK(S146),"Intersection","Non-Intersection")</f>
        <v>Non-Intersection</v>
      </c>
      <c r="Y146" t="s">
        <v>436</v>
      </c>
      <c r="Z146" t="str">
        <f t="shared" si="41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28"/>
        <v>40179</v>
      </c>
      <c r="D147" s="4">
        <f t="shared" si="29"/>
        <v>0.12602739726027398</v>
      </c>
      <c r="E147" s="3">
        <f t="shared" si="30"/>
        <v>2010</v>
      </c>
      <c r="F147" s="3">
        <f t="shared" si="31"/>
        <v>2</v>
      </c>
      <c r="G147" s="3">
        <f t="shared" si="32"/>
        <v>16</v>
      </c>
      <c r="H147" s="3">
        <f t="shared" si="33"/>
        <v>14</v>
      </c>
      <c r="I147" s="3">
        <f t="shared" si="34"/>
        <v>29</v>
      </c>
      <c r="J147" s="3">
        <f t="shared" si="35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6"/>
        <v>YES</v>
      </c>
      <c r="Q147" t="str">
        <f t="shared" si="37"/>
        <v>NO</v>
      </c>
      <c r="R147" t="str">
        <f t="shared" si="38"/>
        <v>NO</v>
      </c>
      <c r="T147" t="s">
        <v>19</v>
      </c>
      <c r="U147" t="str">
        <f t="shared" si="39"/>
        <v>Cambridge St</v>
      </c>
      <c r="V147" t="s">
        <v>101</v>
      </c>
      <c r="W147" t="str">
        <f t="shared" si="40"/>
        <v>Columbia St</v>
      </c>
      <c r="X147" t="str">
        <f>IF(ISBLANK(S147),"Intersection","Non-Intersection")</f>
        <v>Intersection</v>
      </c>
      <c r="Y147" t="s">
        <v>438</v>
      </c>
      <c r="Z147" t="str">
        <f t="shared" si="41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28"/>
        <v>40179</v>
      </c>
      <c r="D148" s="4">
        <f t="shared" si="29"/>
        <v>0.12602739726027398</v>
      </c>
      <c r="E148" s="3">
        <f t="shared" si="30"/>
        <v>2010</v>
      </c>
      <c r="F148" s="3">
        <f t="shared" si="31"/>
        <v>2</v>
      </c>
      <c r="G148" s="3">
        <f t="shared" si="32"/>
        <v>16</v>
      </c>
      <c r="H148" s="3">
        <f t="shared" si="33"/>
        <v>15</v>
      </c>
      <c r="I148" s="3">
        <f t="shared" si="34"/>
        <v>18</v>
      </c>
      <c r="J148" s="3">
        <f t="shared" si="35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6"/>
        <v>YES</v>
      </c>
      <c r="Q148" t="str">
        <f t="shared" si="37"/>
        <v>NO</v>
      </c>
      <c r="R148" t="str">
        <f t="shared" si="38"/>
        <v>NO</v>
      </c>
      <c r="S148">
        <v>120</v>
      </c>
      <c r="T148" t="s">
        <v>342</v>
      </c>
      <c r="U148" t="str">
        <f t="shared" si="39"/>
        <v>Prospect St</v>
      </c>
      <c r="W148" t="str">
        <f t="shared" si="40"/>
        <v/>
      </c>
      <c r="X148" t="str">
        <f>IF(ISBLANK(S148),"Intersection","Non-Intersection")</f>
        <v>Non-Intersection</v>
      </c>
      <c r="Y148" t="s">
        <v>439</v>
      </c>
      <c r="Z148" t="str">
        <f t="shared" si="41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28"/>
        <v>40179</v>
      </c>
      <c r="D149" s="4">
        <f t="shared" si="29"/>
        <v>0.12876712328767123</v>
      </c>
      <c r="E149" s="3">
        <f t="shared" si="30"/>
        <v>2010</v>
      </c>
      <c r="F149" s="3">
        <f t="shared" si="31"/>
        <v>2</v>
      </c>
      <c r="G149" s="3">
        <f t="shared" si="32"/>
        <v>17</v>
      </c>
      <c r="H149" s="3">
        <f t="shared" si="33"/>
        <v>9</v>
      </c>
      <c r="I149" s="3">
        <f t="shared" si="34"/>
        <v>0</v>
      </c>
      <c r="J149" s="3">
        <f t="shared" si="35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6"/>
        <v>YES</v>
      </c>
      <c r="Q149" t="str">
        <f t="shared" si="37"/>
        <v>NO</v>
      </c>
      <c r="R149" t="str">
        <f t="shared" si="38"/>
        <v>NO</v>
      </c>
      <c r="T149" t="s">
        <v>199</v>
      </c>
      <c r="U149" t="str">
        <f t="shared" si="39"/>
        <v>Brattle St</v>
      </c>
      <c r="V149" t="s">
        <v>208</v>
      </c>
      <c r="W149" t="str">
        <f t="shared" si="40"/>
        <v>Sparks St</v>
      </c>
      <c r="X149" t="str">
        <f>IF(ISBLANK(S149),"Intersection","Non-Intersection")</f>
        <v>Intersection</v>
      </c>
      <c r="Y149" t="s">
        <v>442</v>
      </c>
      <c r="Z149" t="str">
        <f t="shared" si="41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28"/>
        <v>40179</v>
      </c>
      <c r="D150" s="4">
        <f t="shared" si="29"/>
        <v>0.12876712328767123</v>
      </c>
      <c r="E150" s="3">
        <f t="shared" si="30"/>
        <v>2010</v>
      </c>
      <c r="F150" s="3">
        <f t="shared" si="31"/>
        <v>2</v>
      </c>
      <c r="G150" s="3">
        <f t="shared" si="32"/>
        <v>17</v>
      </c>
      <c r="H150" s="3">
        <f t="shared" si="33"/>
        <v>10</v>
      </c>
      <c r="I150" s="3">
        <f t="shared" si="34"/>
        <v>12</v>
      </c>
      <c r="J150" s="3">
        <f t="shared" si="35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6"/>
        <v>YES</v>
      </c>
      <c r="Q150" t="str">
        <f t="shared" si="37"/>
        <v>NO</v>
      </c>
      <c r="R150" t="str">
        <f t="shared" si="38"/>
        <v>YES</v>
      </c>
      <c r="T150" t="s">
        <v>32</v>
      </c>
      <c r="U150" t="str">
        <f t="shared" si="39"/>
        <v>Main St</v>
      </c>
      <c r="V150" t="s">
        <v>444</v>
      </c>
      <c r="W150" t="str">
        <f t="shared" si="40"/>
        <v>Osborn St</v>
      </c>
      <c r="X150" t="str">
        <f>IF(ISBLANK(S150),"Intersection","Non-Intersection")</f>
        <v>Intersection</v>
      </c>
      <c r="Y150" t="s">
        <v>445</v>
      </c>
      <c r="Z150" t="str">
        <f t="shared" si="41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28"/>
        <v>40179</v>
      </c>
      <c r="D151" s="4">
        <f t="shared" si="29"/>
        <v>0.12876712328767123</v>
      </c>
      <c r="E151" s="3">
        <f t="shared" si="30"/>
        <v>2010</v>
      </c>
      <c r="F151" s="3">
        <f t="shared" si="31"/>
        <v>2</v>
      </c>
      <c r="G151" s="3">
        <f t="shared" si="32"/>
        <v>17</v>
      </c>
      <c r="H151" s="3">
        <f t="shared" si="33"/>
        <v>17</v>
      </c>
      <c r="I151" s="3">
        <f t="shared" si="34"/>
        <v>0</v>
      </c>
      <c r="J151" s="3">
        <f t="shared" si="35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6"/>
        <v>YES</v>
      </c>
      <c r="Q151" t="str">
        <f t="shared" si="37"/>
        <v>NO</v>
      </c>
      <c r="R151" t="str">
        <f t="shared" si="38"/>
        <v>NO</v>
      </c>
      <c r="T151" t="s">
        <v>61</v>
      </c>
      <c r="U151" t="str">
        <f t="shared" si="39"/>
        <v>First St</v>
      </c>
      <c r="V151" t="s">
        <v>209</v>
      </c>
      <c r="W151" t="str">
        <f t="shared" si="40"/>
        <v>Binney St</v>
      </c>
      <c r="X151" t="str">
        <f>IF(ISBLANK(S151),"Intersection","Non-Intersection")</f>
        <v>Intersection</v>
      </c>
      <c r="Y151" t="s">
        <v>447</v>
      </c>
      <c r="Z151" t="str">
        <f t="shared" si="41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28"/>
        <v>40179</v>
      </c>
      <c r="D152" s="4">
        <f t="shared" si="29"/>
        <v>0.13150684931506848</v>
      </c>
      <c r="E152" s="3">
        <f t="shared" si="30"/>
        <v>2010</v>
      </c>
      <c r="F152" s="3">
        <f t="shared" si="31"/>
        <v>2</v>
      </c>
      <c r="G152" s="3">
        <f t="shared" si="32"/>
        <v>18</v>
      </c>
      <c r="H152" s="3">
        <f t="shared" si="33"/>
        <v>9</v>
      </c>
      <c r="I152" s="3">
        <f t="shared" si="34"/>
        <v>52</v>
      </c>
      <c r="J152" s="3">
        <f t="shared" si="35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6"/>
        <v>YES</v>
      </c>
      <c r="Q152" t="str">
        <f t="shared" si="37"/>
        <v>NO</v>
      </c>
      <c r="R152" t="str">
        <f t="shared" si="38"/>
        <v>YES</v>
      </c>
      <c r="T152" t="s">
        <v>199</v>
      </c>
      <c r="U152" t="str">
        <f t="shared" si="39"/>
        <v>Brattle St</v>
      </c>
      <c r="V152" t="s">
        <v>449</v>
      </c>
      <c r="W152" t="str">
        <f t="shared" si="40"/>
        <v>Appian Way</v>
      </c>
      <c r="X152" t="str">
        <f>IF(ISBLANK(S152),"Intersection","Non-Intersection")</f>
        <v>Intersection</v>
      </c>
      <c r="Y152" t="s">
        <v>450</v>
      </c>
      <c r="Z152" t="str">
        <f t="shared" si="41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28"/>
        <v>40179</v>
      </c>
      <c r="D153" s="4">
        <f t="shared" si="29"/>
        <v>0.13150684931506848</v>
      </c>
      <c r="E153" s="3">
        <f t="shared" si="30"/>
        <v>2010</v>
      </c>
      <c r="F153" s="3">
        <f t="shared" si="31"/>
        <v>2</v>
      </c>
      <c r="G153" s="3">
        <f t="shared" si="32"/>
        <v>18</v>
      </c>
      <c r="H153" s="3">
        <f t="shared" si="33"/>
        <v>14</v>
      </c>
      <c r="I153" s="3">
        <f t="shared" si="34"/>
        <v>45</v>
      </c>
      <c r="J153" s="3">
        <f t="shared" si="35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6"/>
        <v>YES</v>
      </c>
      <c r="Q153" t="str">
        <f t="shared" si="37"/>
        <v>NO</v>
      </c>
      <c r="R153" t="str">
        <f t="shared" si="38"/>
        <v>NO</v>
      </c>
      <c r="T153" t="s">
        <v>420</v>
      </c>
      <c r="U153" t="str">
        <f t="shared" si="39"/>
        <v>Douglass St</v>
      </c>
      <c r="V153" t="s">
        <v>14</v>
      </c>
      <c r="W153" t="str">
        <f t="shared" si="40"/>
        <v>Massachusetts Ave</v>
      </c>
      <c r="X153" t="str">
        <f>IF(ISBLANK(S153),"Intersection","Non-Intersection")</f>
        <v>Intersection</v>
      </c>
      <c r="Y153" t="s">
        <v>452</v>
      </c>
      <c r="Z153" t="str">
        <f t="shared" si="41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28"/>
        <v>40179</v>
      </c>
      <c r="D154" s="4">
        <f t="shared" si="29"/>
        <v>0.13150684931506848</v>
      </c>
      <c r="E154" s="3">
        <f t="shared" si="30"/>
        <v>2010</v>
      </c>
      <c r="F154" s="3">
        <f t="shared" si="31"/>
        <v>2</v>
      </c>
      <c r="G154" s="3">
        <f t="shared" si="32"/>
        <v>18</v>
      </c>
      <c r="H154" s="3">
        <f t="shared" si="33"/>
        <v>15</v>
      </c>
      <c r="I154" s="3">
        <f t="shared" si="34"/>
        <v>0</v>
      </c>
      <c r="J154" s="3">
        <f t="shared" si="35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6"/>
        <v>YES</v>
      </c>
      <c r="Q154" t="str">
        <f t="shared" si="37"/>
        <v>NO</v>
      </c>
      <c r="R154" t="str">
        <f t="shared" si="38"/>
        <v>NO</v>
      </c>
      <c r="S154">
        <v>68</v>
      </c>
      <c r="T154" t="s">
        <v>453</v>
      </c>
      <c r="U154" t="str">
        <f t="shared" si="39"/>
        <v>Brookline St</v>
      </c>
      <c r="W154" t="str">
        <f t="shared" si="40"/>
        <v/>
      </c>
      <c r="X154" t="str">
        <f>IF(ISBLANK(S154),"Intersection","Non-Intersection")</f>
        <v>Non-Intersection</v>
      </c>
      <c r="Y154" t="s">
        <v>454</v>
      </c>
      <c r="Z154" t="str">
        <f t="shared" si="41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28"/>
        <v>40179</v>
      </c>
      <c r="D155" s="4">
        <f t="shared" si="29"/>
        <v>0.13424657534246576</v>
      </c>
      <c r="E155" s="3">
        <f t="shared" si="30"/>
        <v>2010</v>
      </c>
      <c r="F155" s="3">
        <f t="shared" si="31"/>
        <v>2</v>
      </c>
      <c r="G155" s="3">
        <f t="shared" si="32"/>
        <v>19</v>
      </c>
      <c r="H155" s="3">
        <f t="shared" si="33"/>
        <v>13</v>
      </c>
      <c r="I155" s="3">
        <f t="shared" si="34"/>
        <v>15</v>
      </c>
      <c r="J155" s="3">
        <f t="shared" si="35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6"/>
        <v>YES</v>
      </c>
      <c r="Q155" t="str">
        <f t="shared" si="37"/>
        <v>NO</v>
      </c>
      <c r="R155" t="str">
        <f t="shared" si="38"/>
        <v>NO</v>
      </c>
      <c r="S155">
        <v>124</v>
      </c>
      <c r="T155" t="s">
        <v>456</v>
      </c>
      <c r="U155" t="str">
        <f t="shared" si="39"/>
        <v>Oxford St</v>
      </c>
      <c r="W155" t="str">
        <f t="shared" si="40"/>
        <v/>
      </c>
      <c r="X155" t="str">
        <f>IF(ISBLANK(S155),"Intersection","Non-Intersection")</f>
        <v>Non-Intersection</v>
      </c>
      <c r="Y155" t="s">
        <v>457</v>
      </c>
      <c r="Z155" t="str">
        <f t="shared" si="41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28"/>
        <v>40179</v>
      </c>
      <c r="D156" s="4">
        <f t="shared" si="29"/>
        <v>0.13424657534246576</v>
      </c>
      <c r="E156" s="3">
        <f t="shared" si="30"/>
        <v>2010</v>
      </c>
      <c r="F156" s="3">
        <f t="shared" si="31"/>
        <v>2</v>
      </c>
      <c r="G156" s="3">
        <f t="shared" si="32"/>
        <v>19</v>
      </c>
      <c r="H156" s="3">
        <f t="shared" si="33"/>
        <v>14</v>
      </c>
      <c r="I156" s="3">
        <f t="shared" si="34"/>
        <v>45</v>
      </c>
      <c r="J156" s="3">
        <f t="shared" si="35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6"/>
        <v>YES</v>
      </c>
      <c r="Q156" t="str">
        <f t="shared" si="37"/>
        <v>NO</v>
      </c>
      <c r="R156" t="str">
        <f t="shared" si="38"/>
        <v>NO</v>
      </c>
      <c r="T156" t="s">
        <v>142</v>
      </c>
      <c r="U156" t="str">
        <f t="shared" si="39"/>
        <v>Huron Ave</v>
      </c>
      <c r="V156" t="s">
        <v>459</v>
      </c>
      <c r="W156" t="str">
        <f t="shared" si="40"/>
        <v>Fayerweather St</v>
      </c>
      <c r="X156" t="str">
        <f>IF(ISBLANK(S156),"Intersection","Non-Intersection")</f>
        <v>Intersection</v>
      </c>
      <c r="Y156" t="s">
        <v>460</v>
      </c>
      <c r="Z156" t="str">
        <f t="shared" si="41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28"/>
        <v>40179</v>
      </c>
      <c r="D157" s="4">
        <f t="shared" si="29"/>
        <v>0.13424657534246576</v>
      </c>
      <c r="E157" s="3">
        <f t="shared" si="30"/>
        <v>2010</v>
      </c>
      <c r="F157" s="3">
        <f t="shared" si="31"/>
        <v>2</v>
      </c>
      <c r="G157" s="3">
        <f t="shared" si="32"/>
        <v>19</v>
      </c>
      <c r="H157" s="3">
        <f t="shared" si="33"/>
        <v>21</v>
      </c>
      <c r="I157" s="3">
        <f t="shared" si="34"/>
        <v>30</v>
      </c>
      <c r="J157" s="3">
        <f t="shared" si="35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6"/>
        <v>YES</v>
      </c>
      <c r="Q157" t="str">
        <f t="shared" si="37"/>
        <v>YES</v>
      </c>
      <c r="R157" t="str">
        <f t="shared" si="38"/>
        <v>NO</v>
      </c>
      <c r="T157" t="s">
        <v>74</v>
      </c>
      <c r="U157" t="str">
        <f t="shared" si="39"/>
        <v>Hampshire St</v>
      </c>
      <c r="V157" t="s">
        <v>342</v>
      </c>
      <c r="W157" t="str">
        <f t="shared" si="40"/>
        <v>Prospect St</v>
      </c>
      <c r="X157" t="str">
        <f>IF(ISBLANK(S157),"Intersection","Non-Intersection")</f>
        <v>Intersection</v>
      </c>
      <c r="Y157" t="s">
        <v>462</v>
      </c>
      <c r="Z157" t="str">
        <f t="shared" si="41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28"/>
        <v>40179</v>
      </c>
      <c r="D158" s="4">
        <f t="shared" si="29"/>
        <v>0.13424657534246576</v>
      </c>
      <c r="E158" s="3">
        <f t="shared" si="30"/>
        <v>2010</v>
      </c>
      <c r="F158" s="3">
        <f t="shared" si="31"/>
        <v>2</v>
      </c>
      <c r="G158" s="3">
        <f t="shared" si="32"/>
        <v>19</v>
      </c>
      <c r="H158" s="3">
        <f t="shared" si="33"/>
        <v>22</v>
      </c>
      <c r="I158" s="3">
        <f t="shared" si="34"/>
        <v>12</v>
      </c>
      <c r="J158" s="3">
        <f t="shared" si="35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6"/>
        <v>YES</v>
      </c>
      <c r="Q158" t="str">
        <f t="shared" si="37"/>
        <v>NO</v>
      </c>
      <c r="R158" t="str">
        <f t="shared" si="38"/>
        <v>NO</v>
      </c>
      <c r="T158" t="s">
        <v>464</v>
      </c>
      <c r="U158" t="str">
        <f t="shared" si="39"/>
        <v>Aberdeen Way</v>
      </c>
      <c r="V158" t="s">
        <v>142</v>
      </c>
      <c r="W158" t="str">
        <f t="shared" si="40"/>
        <v>Huron Ave</v>
      </c>
      <c r="X158" t="str">
        <f>IF(ISBLANK(S158),"Intersection","Non-Intersection")</f>
        <v>Intersection</v>
      </c>
      <c r="Y158" t="s">
        <v>465</v>
      </c>
      <c r="Z158" t="str">
        <f t="shared" si="41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28"/>
        <v>40179</v>
      </c>
      <c r="D159" s="4">
        <f t="shared" si="29"/>
        <v>0.13698630136986301</v>
      </c>
      <c r="E159" s="3">
        <f t="shared" si="30"/>
        <v>2010</v>
      </c>
      <c r="F159" s="3">
        <f t="shared" si="31"/>
        <v>2</v>
      </c>
      <c r="G159" s="3">
        <f t="shared" si="32"/>
        <v>20</v>
      </c>
      <c r="H159" s="3">
        <f t="shared" si="33"/>
        <v>10</v>
      </c>
      <c r="I159" s="3">
        <f t="shared" si="34"/>
        <v>5</v>
      </c>
      <c r="J159" s="3">
        <f t="shared" si="35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6"/>
        <v>YES</v>
      </c>
      <c r="Q159" t="str">
        <f t="shared" si="37"/>
        <v>NO</v>
      </c>
      <c r="R159" t="str">
        <f t="shared" si="38"/>
        <v>NO</v>
      </c>
      <c r="S159">
        <v>2002</v>
      </c>
      <c r="T159" t="s">
        <v>14</v>
      </c>
      <c r="U159" t="str">
        <f t="shared" si="39"/>
        <v>Massachusetts Ave</v>
      </c>
      <c r="W159" t="str">
        <f t="shared" si="40"/>
        <v/>
      </c>
      <c r="X159" t="str">
        <f>IF(ISBLANK(S159),"Intersection","Non-Intersection")</f>
        <v>Non-Intersection</v>
      </c>
      <c r="Y159" t="s">
        <v>467</v>
      </c>
      <c r="Z159" t="str">
        <f t="shared" si="41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28"/>
        <v>40179</v>
      </c>
      <c r="D160" s="4">
        <f t="shared" si="29"/>
        <v>0.13698630136986301</v>
      </c>
      <c r="E160" s="3">
        <f t="shared" si="30"/>
        <v>2010</v>
      </c>
      <c r="F160" s="3">
        <f t="shared" si="31"/>
        <v>2</v>
      </c>
      <c r="G160" s="3">
        <f t="shared" si="32"/>
        <v>20</v>
      </c>
      <c r="H160" s="3">
        <f t="shared" si="33"/>
        <v>16</v>
      </c>
      <c r="I160" s="3">
        <f t="shared" si="34"/>
        <v>40</v>
      </c>
      <c r="J160" s="3">
        <f t="shared" si="35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6"/>
        <v>YES</v>
      </c>
      <c r="Q160" t="str">
        <f t="shared" si="37"/>
        <v>NO</v>
      </c>
      <c r="R160" t="str">
        <f t="shared" si="38"/>
        <v>YES</v>
      </c>
      <c r="S160">
        <v>282</v>
      </c>
      <c r="T160" t="s">
        <v>14</v>
      </c>
      <c r="U160" t="str">
        <f t="shared" si="39"/>
        <v>Massachusetts Ave</v>
      </c>
      <c r="W160" t="str">
        <f t="shared" si="40"/>
        <v/>
      </c>
      <c r="X160" t="str">
        <f>IF(ISBLANK(S160),"Intersection","Non-Intersection")</f>
        <v>Non-Intersection</v>
      </c>
      <c r="Y160" t="s">
        <v>469</v>
      </c>
      <c r="Z160" t="str">
        <f t="shared" si="41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28"/>
        <v>40179</v>
      </c>
      <c r="D161" s="4">
        <f t="shared" si="29"/>
        <v>0.13698630136986301</v>
      </c>
      <c r="E161" s="3">
        <f t="shared" si="30"/>
        <v>2010</v>
      </c>
      <c r="F161" s="3">
        <f t="shared" si="31"/>
        <v>2</v>
      </c>
      <c r="G161" s="3">
        <f t="shared" si="32"/>
        <v>20</v>
      </c>
      <c r="H161" s="3">
        <f t="shared" si="33"/>
        <v>15</v>
      </c>
      <c r="I161" s="3">
        <f t="shared" si="34"/>
        <v>40</v>
      </c>
      <c r="J161" s="3">
        <f t="shared" si="35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6"/>
        <v>YES</v>
      </c>
      <c r="Q161" t="str">
        <f t="shared" si="37"/>
        <v>NO</v>
      </c>
      <c r="R161" t="str">
        <f t="shared" si="38"/>
        <v>NO</v>
      </c>
      <c r="T161" t="s">
        <v>14</v>
      </c>
      <c r="U161" t="str">
        <f t="shared" si="39"/>
        <v>Massachusetts Ave</v>
      </c>
      <c r="V161" t="s">
        <v>472</v>
      </c>
      <c r="W161" t="str">
        <f t="shared" si="40"/>
        <v>Day St</v>
      </c>
      <c r="X161" t="str">
        <f>IF(ISBLANK(S161),"Intersection","Non-Intersection")</f>
        <v>Intersection</v>
      </c>
      <c r="Y161" t="s">
        <v>473</v>
      </c>
      <c r="Z161" t="str">
        <f t="shared" si="41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28"/>
        <v>40179</v>
      </c>
      <c r="D162" s="4">
        <f t="shared" si="29"/>
        <v>0.13698630136986301</v>
      </c>
      <c r="E162" s="3">
        <f t="shared" si="30"/>
        <v>2010</v>
      </c>
      <c r="F162" s="3">
        <f t="shared" si="31"/>
        <v>2</v>
      </c>
      <c r="G162" s="3">
        <f t="shared" si="32"/>
        <v>20</v>
      </c>
      <c r="H162" s="3">
        <f t="shared" si="33"/>
        <v>17</v>
      </c>
      <c r="I162" s="3">
        <f t="shared" si="34"/>
        <v>29</v>
      </c>
      <c r="J162" s="3">
        <f t="shared" si="35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6"/>
        <v>YES</v>
      </c>
      <c r="Q162" t="str">
        <f t="shared" si="37"/>
        <v>NO</v>
      </c>
      <c r="R162" t="str">
        <f t="shared" si="38"/>
        <v>NO</v>
      </c>
      <c r="S162">
        <v>700</v>
      </c>
      <c r="T162" t="s">
        <v>142</v>
      </c>
      <c r="U162" t="str">
        <f t="shared" si="39"/>
        <v>Huron Ave</v>
      </c>
      <c r="W162" t="str">
        <f t="shared" si="40"/>
        <v/>
      </c>
      <c r="X162" t="str">
        <f>IF(ISBLANK(S162),"Intersection","Non-Intersection")</f>
        <v>Non-Intersection</v>
      </c>
      <c r="Y162" t="s">
        <v>475</v>
      </c>
      <c r="Z162" t="str">
        <f t="shared" si="41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28"/>
        <v>40179</v>
      </c>
      <c r="D163" s="4">
        <f t="shared" si="29"/>
        <v>0.13698630136986301</v>
      </c>
      <c r="E163" s="3">
        <f t="shared" si="30"/>
        <v>2010</v>
      </c>
      <c r="F163" s="3">
        <f t="shared" si="31"/>
        <v>2</v>
      </c>
      <c r="G163" s="3">
        <f t="shared" si="32"/>
        <v>20</v>
      </c>
      <c r="H163" s="3">
        <f t="shared" si="33"/>
        <v>19</v>
      </c>
      <c r="I163" s="3">
        <f t="shared" si="34"/>
        <v>40</v>
      </c>
      <c r="J163" s="3">
        <f t="shared" si="35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6"/>
        <v>YES</v>
      </c>
      <c r="Q163" t="str">
        <f t="shared" si="37"/>
        <v>NO</v>
      </c>
      <c r="R163" t="str">
        <f t="shared" si="38"/>
        <v>NO</v>
      </c>
      <c r="T163" t="s">
        <v>97</v>
      </c>
      <c r="U163" t="str">
        <f t="shared" si="39"/>
        <v>Peabody St</v>
      </c>
      <c r="V163" t="s">
        <v>14</v>
      </c>
      <c r="W163" t="str">
        <f t="shared" si="40"/>
        <v>Massachusetts Ave</v>
      </c>
      <c r="X163" t="str">
        <f>IF(ISBLANK(S163),"Intersection","Non-Intersection")</f>
        <v>Intersection</v>
      </c>
      <c r="Y163" t="s">
        <v>98</v>
      </c>
      <c r="Z163" t="str">
        <f t="shared" si="41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28"/>
        <v>40179</v>
      </c>
      <c r="D164" s="4">
        <f t="shared" si="29"/>
        <v>0.13972602739726028</v>
      </c>
      <c r="E164" s="3">
        <f t="shared" si="30"/>
        <v>2010</v>
      </c>
      <c r="F164" s="3">
        <f t="shared" si="31"/>
        <v>2</v>
      </c>
      <c r="G164" s="3">
        <f t="shared" si="32"/>
        <v>21</v>
      </c>
      <c r="H164" s="3">
        <f t="shared" si="33"/>
        <v>15</v>
      </c>
      <c r="I164" s="3">
        <f t="shared" si="34"/>
        <v>20</v>
      </c>
      <c r="J164" s="3">
        <f t="shared" si="35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6"/>
        <v>YES</v>
      </c>
      <c r="Q164" t="str">
        <f t="shared" si="37"/>
        <v>NO</v>
      </c>
      <c r="R164" t="str">
        <f t="shared" si="38"/>
        <v>NO</v>
      </c>
      <c r="T164" t="s">
        <v>105</v>
      </c>
      <c r="U164" t="str">
        <f t="shared" si="39"/>
        <v>Broadway</v>
      </c>
      <c r="V164" t="s">
        <v>189</v>
      </c>
      <c r="W164" t="str">
        <f t="shared" si="40"/>
        <v>Windsor St</v>
      </c>
      <c r="X164" t="str">
        <f>IF(ISBLANK(S164),"Intersection","Non-Intersection")</f>
        <v>Intersection</v>
      </c>
      <c r="Y164" t="s">
        <v>477</v>
      </c>
      <c r="Z164" t="str">
        <f t="shared" si="41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28"/>
        <v>40179</v>
      </c>
      <c r="D165" s="4">
        <f t="shared" si="29"/>
        <v>0.13972602739726028</v>
      </c>
      <c r="E165" s="3">
        <f t="shared" si="30"/>
        <v>2010</v>
      </c>
      <c r="F165" s="3">
        <f t="shared" si="31"/>
        <v>2</v>
      </c>
      <c r="G165" s="3">
        <f t="shared" si="32"/>
        <v>21</v>
      </c>
      <c r="H165" s="3">
        <f t="shared" si="33"/>
        <v>12</v>
      </c>
      <c r="I165" s="3">
        <f t="shared" si="34"/>
        <v>30</v>
      </c>
      <c r="J165" s="3">
        <f t="shared" si="35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6"/>
        <v>YES</v>
      </c>
      <c r="Q165" t="str">
        <f t="shared" si="37"/>
        <v>NO</v>
      </c>
      <c r="R165" t="str">
        <f t="shared" si="38"/>
        <v>NO</v>
      </c>
      <c r="T165" t="s">
        <v>479</v>
      </c>
      <c r="U165" t="str">
        <f t="shared" si="39"/>
        <v>Callender St</v>
      </c>
      <c r="V165" t="s">
        <v>156</v>
      </c>
      <c r="W165" t="str">
        <f t="shared" si="40"/>
        <v>Magee St</v>
      </c>
      <c r="X165" t="str">
        <f>IF(ISBLANK(S165),"Intersection","Non-Intersection")</f>
        <v>Intersection</v>
      </c>
      <c r="Y165" t="s">
        <v>480</v>
      </c>
      <c r="Z165" t="str">
        <f t="shared" si="41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28"/>
        <v>40179</v>
      </c>
      <c r="D166" s="4">
        <f t="shared" si="29"/>
        <v>0.13972602739726028</v>
      </c>
      <c r="E166" s="3">
        <f t="shared" si="30"/>
        <v>2010</v>
      </c>
      <c r="F166" s="3">
        <f t="shared" si="31"/>
        <v>2</v>
      </c>
      <c r="G166" s="3">
        <f t="shared" si="32"/>
        <v>21</v>
      </c>
      <c r="H166" s="3">
        <f t="shared" si="33"/>
        <v>15</v>
      </c>
      <c r="I166" s="3">
        <f t="shared" si="34"/>
        <v>14</v>
      </c>
      <c r="J166" s="3">
        <f t="shared" si="35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6"/>
        <v>YES</v>
      </c>
      <c r="Q166" t="str">
        <f t="shared" si="37"/>
        <v>NO</v>
      </c>
      <c r="R166" t="str">
        <f t="shared" si="38"/>
        <v>NO</v>
      </c>
      <c r="S166">
        <v>799</v>
      </c>
      <c r="T166" t="s">
        <v>186</v>
      </c>
      <c r="U166" t="str">
        <f t="shared" si="39"/>
        <v>Concord Ave</v>
      </c>
      <c r="W166" t="str">
        <f t="shared" si="40"/>
        <v/>
      </c>
      <c r="X166" t="str">
        <f>IF(ISBLANK(S166),"Intersection","Non-Intersection")</f>
        <v>Non-Intersection</v>
      </c>
      <c r="Y166" t="s">
        <v>482</v>
      </c>
      <c r="Z166" t="str">
        <f t="shared" si="41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28"/>
        <v>40179</v>
      </c>
      <c r="D167" s="4">
        <f t="shared" si="29"/>
        <v>0.14246575342465753</v>
      </c>
      <c r="E167" s="3">
        <f t="shared" si="30"/>
        <v>2010</v>
      </c>
      <c r="F167" s="3">
        <f t="shared" si="31"/>
        <v>2</v>
      </c>
      <c r="G167" s="3">
        <f t="shared" si="32"/>
        <v>22</v>
      </c>
      <c r="H167" s="3">
        <f t="shared" si="33"/>
        <v>17</v>
      </c>
      <c r="I167" s="3">
        <f t="shared" si="34"/>
        <v>7</v>
      </c>
      <c r="J167" s="3">
        <f t="shared" si="35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6"/>
        <v>YES</v>
      </c>
      <c r="Q167" t="str">
        <f t="shared" si="37"/>
        <v>NO</v>
      </c>
      <c r="R167" t="str">
        <f t="shared" si="38"/>
        <v>NO</v>
      </c>
      <c r="T167" t="s">
        <v>14</v>
      </c>
      <c r="U167" t="str">
        <f t="shared" si="39"/>
        <v>Massachusetts Ave</v>
      </c>
      <c r="V167" t="s">
        <v>484</v>
      </c>
      <c r="W167" t="str">
        <f t="shared" si="40"/>
        <v>Porter St</v>
      </c>
      <c r="X167" t="str">
        <f>IF(ISBLANK(S167),"Intersection","Non-Intersection")</f>
        <v>Intersection</v>
      </c>
      <c r="Y167" t="s">
        <v>485</v>
      </c>
      <c r="Z167" t="str">
        <f t="shared" si="41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28"/>
        <v>40179</v>
      </c>
      <c r="D168" s="4">
        <f t="shared" si="29"/>
        <v>0.14246575342465753</v>
      </c>
      <c r="E168" s="3">
        <f t="shared" si="30"/>
        <v>2010</v>
      </c>
      <c r="F168" s="3">
        <f t="shared" si="31"/>
        <v>2</v>
      </c>
      <c r="G168" s="3">
        <f t="shared" si="32"/>
        <v>22</v>
      </c>
      <c r="H168" s="3">
        <f t="shared" si="33"/>
        <v>0</v>
      </c>
      <c r="I168" s="3">
        <f t="shared" si="34"/>
        <v>55</v>
      </c>
      <c r="J168" s="3">
        <f t="shared" si="35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6"/>
        <v>YES</v>
      </c>
      <c r="Q168" t="str">
        <f t="shared" si="37"/>
        <v>NO</v>
      </c>
      <c r="R168" t="str">
        <f t="shared" si="38"/>
        <v>NO</v>
      </c>
      <c r="S168">
        <v>18</v>
      </c>
      <c r="T168" t="s">
        <v>487</v>
      </c>
      <c r="U168" t="str">
        <f t="shared" si="39"/>
        <v>Beech St</v>
      </c>
      <c r="W168" t="str">
        <f t="shared" si="40"/>
        <v/>
      </c>
      <c r="X168" t="str">
        <f>IF(ISBLANK(S168),"Intersection","Non-Intersection")</f>
        <v>Non-Intersection</v>
      </c>
      <c r="Y168" t="s">
        <v>488</v>
      </c>
      <c r="Z168" t="str">
        <f t="shared" si="41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28"/>
        <v>40179</v>
      </c>
      <c r="D169" s="4">
        <f t="shared" si="29"/>
        <v>0.14246575342465753</v>
      </c>
      <c r="E169" s="3">
        <f t="shared" si="30"/>
        <v>2010</v>
      </c>
      <c r="F169" s="3">
        <f t="shared" si="31"/>
        <v>2</v>
      </c>
      <c r="G169" s="3">
        <f t="shared" si="32"/>
        <v>22</v>
      </c>
      <c r="H169" s="3">
        <f t="shared" si="33"/>
        <v>18</v>
      </c>
      <c r="I169" s="3">
        <f t="shared" si="34"/>
        <v>24</v>
      </c>
      <c r="J169" s="3">
        <f t="shared" si="35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6"/>
        <v>YES</v>
      </c>
      <c r="Q169" t="str">
        <f t="shared" si="37"/>
        <v>NO</v>
      </c>
      <c r="R169" t="str">
        <f t="shared" si="38"/>
        <v>YES</v>
      </c>
      <c r="T169" t="s">
        <v>396</v>
      </c>
      <c r="U169" t="str">
        <f t="shared" si="39"/>
        <v>Prescott St</v>
      </c>
      <c r="V169" t="s">
        <v>133</v>
      </c>
      <c r="W169" t="str">
        <f t="shared" si="40"/>
        <v>Harvard St</v>
      </c>
      <c r="X169" t="str">
        <f>IF(ISBLANK(S169),"Intersection","Non-Intersection")</f>
        <v>Intersection</v>
      </c>
      <c r="Y169" t="s">
        <v>490</v>
      </c>
      <c r="Z169" t="str">
        <f t="shared" si="41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28"/>
        <v>40179</v>
      </c>
      <c r="D170" s="4">
        <f t="shared" si="29"/>
        <v>0.14246575342465753</v>
      </c>
      <c r="E170" s="3">
        <f t="shared" si="30"/>
        <v>2010</v>
      </c>
      <c r="F170" s="3">
        <f t="shared" si="31"/>
        <v>2</v>
      </c>
      <c r="G170" s="3">
        <f t="shared" si="32"/>
        <v>22</v>
      </c>
      <c r="H170" s="3">
        <f t="shared" si="33"/>
        <v>8</v>
      </c>
      <c r="I170" s="3">
        <f t="shared" si="34"/>
        <v>29</v>
      </c>
      <c r="J170" s="3">
        <f t="shared" si="35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6"/>
        <v>YES</v>
      </c>
      <c r="Q170" t="str">
        <f t="shared" si="37"/>
        <v>NO</v>
      </c>
      <c r="R170" t="str">
        <f t="shared" si="38"/>
        <v>NO</v>
      </c>
      <c r="S170">
        <v>95</v>
      </c>
      <c r="T170" t="s">
        <v>66</v>
      </c>
      <c r="U170" t="str">
        <f t="shared" si="39"/>
        <v>Dudley St</v>
      </c>
      <c r="W170" t="str">
        <f t="shared" si="40"/>
        <v/>
      </c>
      <c r="X170" t="str">
        <f>IF(ISBLANK(S170),"Intersection","Non-Intersection")</f>
        <v>Non-Intersection</v>
      </c>
      <c r="Y170" t="s">
        <v>492</v>
      </c>
      <c r="Z170" t="str">
        <f t="shared" si="41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28"/>
        <v>40179</v>
      </c>
      <c r="D171" s="4">
        <f t="shared" si="29"/>
        <v>0.14246575342465753</v>
      </c>
      <c r="E171" s="3">
        <f t="shared" si="30"/>
        <v>2010</v>
      </c>
      <c r="F171" s="3">
        <f t="shared" si="31"/>
        <v>2</v>
      </c>
      <c r="G171" s="3">
        <f t="shared" si="32"/>
        <v>22</v>
      </c>
      <c r="H171" s="3">
        <f t="shared" si="33"/>
        <v>21</v>
      </c>
      <c r="I171" s="3">
        <f t="shared" si="34"/>
        <v>14</v>
      </c>
      <c r="J171" s="3">
        <f t="shared" si="35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6"/>
        <v>YES</v>
      </c>
      <c r="Q171" t="str">
        <f t="shared" si="37"/>
        <v>NO</v>
      </c>
      <c r="R171" t="str">
        <f t="shared" si="38"/>
        <v>NO</v>
      </c>
      <c r="T171" t="s">
        <v>19</v>
      </c>
      <c r="U171" t="str">
        <f t="shared" si="39"/>
        <v>Cambridge St</v>
      </c>
      <c r="V171" t="s">
        <v>61</v>
      </c>
      <c r="W171" t="str">
        <f t="shared" si="40"/>
        <v>First St</v>
      </c>
      <c r="X171" t="str">
        <f>IF(ISBLANK(S171),"Intersection","Non-Intersection")</f>
        <v>Intersection</v>
      </c>
      <c r="Y171" t="s">
        <v>494</v>
      </c>
      <c r="Z171" t="str">
        <f t="shared" si="41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28"/>
        <v>40179</v>
      </c>
      <c r="D172" s="4">
        <f t="shared" si="29"/>
        <v>0.14246575342465753</v>
      </c>
      <c r="E172" s="3">
        <f t="shared" si="30"/>
        <v>2010</v>
      </c>
      <c r="F172" s="3">
        <f t="shared" si="31"/>
        <v>2</v>
      </c>
      <c r="G172" s="3">
        <f t="shared" si="32"/>
        <v>22</v>
      </c>
      <c r="H172" s="3">
        <f t="shared" si="33"/>
        <v>15</v>
      </c>
      <c r="I172" s="3">
        <f t="shared" si="34"/>
        <v>59</v>
      </c>
      <c r="J172" s="3">
        <f t="shared" si="35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6"/>
        <v>YES</v>
      </c>
      <c r="Q172" t="str">
        <f t="shared" si="37"/>
        <v>NO</v>
      </c>
      <c r="R172" t="str">
        <f t="shared" si="38"/>
        <v>NO</v>
      </c>
      <c r="S172">
        <v>777</v>
      </c>
      <c r="T172" t="s">
        <v>203</v>
      </c>
      <c r="U172" t="str">
        <f t="shared" si="39"/>
        <v>Memorial Dr</v>
      </c>
      <c r="W172" t="str">
        <f t="shared" si="40"/>
        <v/>
      </c>
      <c r="X172" t="str">
        <f>IF(ISBLANK(S172),"Intersection","Non-Intersection")</f>
        <v>Non-Intersection</v>
      </c>
      <c r="Y172" t="s">
        <v>496</v>
      </c>
      <c r="Z172" t="str">
        <f t="shared" si="41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28"/>
        <v>40179</v>
      </c>
      <c r="D173" s="4">
        <f t="shared" si="29"/>
        <v>0.14520547945205478</v>
      </c>
      <c r="E173" s="3">
        <f t="shared" si="30"/>
        <v>2010</v>
      </c>
      <c r="F173" s="3">
        <f t="shared" si="31"/>
        <v>2</v>
      </c>
      <c r="G173" s="3">
        <f t="shared" si="32"/>
        <v>23</v>
      </c>
      <c r="H173" s="3">
        <f t="shared" si="33"/>
        <v>7</v>
      </c>
      <c r="I173" s="3">
        <f t="shared" si="34"/>
        <v>32</v>
      </c>
      <c r="J173" s="3">
        <f t="shared" si="35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6"/>
        <v>YES</v>
      </c>
      <c r="Q173" t="str">
        <f t="shared" si="37"/>
        <v>NO</v>
      </c>
      <c r="R173" t="str">
        <f t="shared" si="38"/>
        <v>NO</v>
      </c>
      <c r="T173" t="s">
        <v>105</v>
      </c>
      <c r="U173" t="str">
        <f t="shared" si="39"/>
        <v>Broadway</v>
      </c>
      <c r="V173" t="s">
        <v>498</v>
      </c>
      <c r="W173" t="str">
        <f t="shared" si="40"/>
        <v>Ellery St</v>
      </c>
      <c r="X173" t="str">
        <f>IF(ISBLANK(S173),"Intersection","Non-Intersection")</f>
        <v>Intersection</v>
      </c>
      <c r="Y173" t="s">
        <v>499</v>
      </c>
      <c r="Z173" t="str">
        <f t="shared" si="41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28"/>
        <v>40179</v>
      </c>
      <c r="D174" s="4">
        <f t="shared" si="29"/>
        <v>0.14520547945205478</v>
      </c>
      <c r="E174" s="3">
        <f t="shared" si="30"/>
        <v>2010</v>
      </c>
      <c r="F174" s="3">
        <f t="shared" si="31"/>
        <v>2</v>
      </c>
      <c r="G174" s="3">
        <f t="shared" si="32"/>
        <v>23</v>
      </c>
      <c r="H174" s="3">
        <f t="shared" si="33"/>
        <v>22</v>
      </c>
      <c r="I174" s="3">
        <f t="shared" si="34"/>
        <v>44</v>
      </c>
      <c r="J174" s="3">
        <f t="shared" si="35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6"/>
        <v>YES</v>
      </c>
      <c r="Q174" t="str">
        <f t="shared" si="37"/>
        <v>NO</v>
      </c>
      <c r="R174" t="str">
        <f t="shared" si="38"/>
        <v>NO</v>
      </c>
      <c r="S174">
        <v>10</v>
      </c>
      <c r="T174" t="s">
        <v>501</v>
      </c>
      <c r="U174" t="str">
        <f t="shared" si="39"/>
        <v>Garfield St</v>
      </c>
      <c r="W174" t="str">
        <f t="shared" si="40"/>
        <v/>
      </c>
      <c r="X174" t="str">
        <f>IF(ISBLANK(S174),"Intersection","Non-Intersection")</f>
        <v>Non-Intersection</v>
      </c>
      <c r="Y174" t="s">
        <v>502</v>
      </c>
      <c r="Z174" t="str">
        <f t="shared" si="41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28"/>
        <v>40179</v>
      </c>
      <c r="D175" s="4">
        <f t="shared" si="29"/>
        <v>0.14794520547945206</v>
      </c>
      <c r="E175" s="3">
        <f t="shared" si="30"/>
        <v>2010</v>
      </c>
      <c r="F175" s="3">
        <f t="shared" si="31"/>
        <v>2</v>
      </c>
      <c r="G175" s="3">
        <f t="shared" si="32"/>
        <v>24</v>
      </c>
      <c r="H175" s="3">
        <f t="shared" si="33"/>
        <v>18</v>
      </c>
      <c r="I175" s="3">
        <f t="shared" si="34"/>
        <v>59</v>
      </c>
      <c r="J175" s="3">
        <f t="shared" si="35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6"/>
        <v>YES</v>
      </c>
      <c r="Q175" t="str">
        <f t="shared" si="37"/>
        <v>NO</v>
      </c>
      <c r="R175" t="str">
        <f t="shared" si="38"/>
        <v>NO</v>
      </c>
      <c r="S175">
        <v>975</v>
      </c>
      <c r="T175" t="s">
        <v>14</v>
      </c>
      <c r="U175" t="str">
        <f t="shared" si="39"/>
        <v>Massachusetts Ave</v>
      </c>
      <c r="W175" t="str">
        <f t="shared" si="40"/>
        <v/>
      </c>
      <c r="X175" t="str">
        <f>IF(ISBLANK(S175),"Intersection","Non-Intersection")</f>
        <v>Non-Intersection</v>
      </c>
      <c r="Y175" t="s">
        <v>504</v>
      </c>
      <c r="Z175" t="str">
        <f t="shared" si="41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28"/>
        <v>40179</v>
      </c>
      <c r="D176" s="4">
        <f t="shared" si="29"/>
        <v>0.14794520547945206</v>
      </c>
      <c r="E176" s="3">
        <f t="shared" si="30"/>
        <v>2010</v>
      </c>
      <c r="F176" s="3">
        <f t="shared" si="31"/>
        <v>2</v>
      </c>
      <c r="G176" s="3">
        <f t="shared" si="32"/>
        <v>24</v>
      </c>
      <c r="H176" s="3">
        <f t="shared" si="33"/>
        <v>16</v>
      </c>
      <c r="I176" s="3">
        <f t="shared" si="34"/>
        <v>19</v>
      </c>
      <c r="J176" s="3">
        <f t="shared" si="35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6"/>
        <v>YES</v>
      </c>
      <c r="Q176" t="str">
        <f t="shared" si="37"/>
        <v>NO</v>
      </c>
      <c r="R176" t="str">
        <f t="shared" si="38"/>
        <v>NO</v>
      </c>
      <c r="T176" t="s">
        <v>506</v>
      </c>
      <c r="U176" t="str">
        <f t="shared" si="39"/>
        <v>Bigelow St</v>
      </c>
      <c r="V176" t="s">
        <v>14</v>
      </c>
      <c r="W176" t="str">
        <f t="shared" si="40"/>
        <v>Massachusetts Ave</v>
      </c>
      <c r="X176" t="str">
        <f>IF(ISBLANK(S176),"Intersection","Non-Intersection")</f>
        <v>Intersection</v>
      </c>
      <c r="Y176" t="s">
        <v>507</v>
      </c>
      <c r="Z176" t="str">
        <f t="shared" si="41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28"/>
        <v>40179</v>
      </c>
      <c r="D177" s="4">
        <f t="shared" si="29"/>
        <v>0.14794520547945206</v>
      </c>
      <c r="E177" s="3">
        <f t="shared" si="30"/>
        <v>2010</v>
      </c>
      <c r="F177" s="3">
        <f t="shared" si="31"/>
        <v>2</v>
      </c>
      <c r="G177" s="3">
        <f t="shared" si="32"/>
        <v>24</v>
      </c>
      <c r="H177" s="3">
        <f t="shared" si="33"/>
        <v>17</v>
      </c>
      <c r="I177" s="3">
        <f t="shared" si="34"/>
        <v>42</v>
      </c>
      <c r="J177" s="3">
        <f t="shared" si="35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6"/>
        <v>YES</v>
      </c>
      <c r="Q177" t="str">
        <f t="shared" si="37"/>
        <v>NO</v>
      </c>
      <c r="R177" t="str">
        <f t="shared" si="38"/>
        <v>NO</v>
      </c>
      <c r="S177">
        <v>451</v>
      </c>
      <c r="T177" t="s">
        <v>509</v>
      </c>
      <c r="U177" t="str">
        <f t="shared" si="39"/>
        <v>Green St</v>
      </c>
      <c r="W177" t="str">
        <f t="shared" si="40"/>
        <v/>
      </c>
      <c r="X177" t="str">
        <f>IF(ISBLANK(S177),"Intersection","Non-Intersection")</f>
        <v>Non-Intersection</v>
      </c>
      <c r="Y177" t="s">
        <v>510</v>
      </c>
      <c r="Z177" t="str">
        <f t="shared" si="41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28"/>
        <v>40179</v>
      </c>
      <c r="D178" s="4">
        <f t="shared" si="29"/>
        <v>0.14794520547945206</v>
      </c>
      <c r="E178" s="3">
        <f t="shared" si="30"/>
        <v>2010</v>
      </c>
      <c r="F178" s="3">
        <f t="shared" si="31"/>
        <v>2</v>
      </c>
      <c r="G178" s="3">
        <f t="shared" si="32"/>
        <v>24</v>
      </c>
      <c r="H178" s="3">
        <f t="shared" si="33"/>
        <v>17</v>
      </c>
      <c r="I178" s="3">
        <f t="shared" si="34"/>
        <v>15</v>
      </c>
      <c r="J178" s="3">
        <f t="shared" si="35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6"/>
        <v>YES</v>
      </c>
      <c r="Q178" t="str">
        <f t="shared" si="37"/>
        <v>NO</v>
      </c>
      <c r="R178" t="str">
        <f t="shared" si="38"/>
        <v>NO</v>
      </c>
      <c r="S178">
        <v>64</v>
      </c>
      <c r="T178" t="s">
        <v>512</v>
      </c>
      <c r="U178" t="str">
        <f t="shared" si="39"/>
        <v>Mount Vernon St</v>
      </c>
      <c r="W178" t="str">
        <f t="shared" si="40"/>
        <v/>
      </c>
      <c r="X178" t="str">
        <f>IF(ISBLANK(S178),"Intersection","Non-Intersection")</f>
        <v>Non-Intersection</v>
      </c>
      <c r="Y178" t="s">
        <v>513</v>
      </c>
      <c r="Z178" t="str">
        <f t="shared" si="41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2">EOMONTH(B179,MONTH(B179)*-1)+1</f>
        <v>40179</v>
      </c>
      <c r="D179" s="4">
        <f t="shared" ref="D179:D239" si="43">YEARFRAC(C179,B179,1)</f>
        <v>0.14794520547945206</v>
      </c>
      <c r="E179" s="3">
        <f t="shared" ref="E179:E239" si="44">YEAR(B179)</f>
        <v>2010</v>
      </c>
      <c r="F179" s="3">
        <f t="shared" ref="F179:F239" si="45">MONTH(B179)</f>
        <v>2</v>
      </c>
      <c r="G179" s="3">
        <f t="shared" ref="G179:G239" si="46">DAY(B179)</f>
        <v>24</v>
      </c>
      <c r="H179" s="3">
        <f t="shared" ref="H179:H239" si="47">HOUR(B179)</f>
        <v>17</v>
      </c>
      <c r="I179" s="3">
        <f t="shared" ref="I179:I239" si="48">MINUTE(B179)</f>
        <v>19</v>
      </c>
      <c r="J179" s="3">
        <f t="shared" ref="J179:J239" si="49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0">IF(OR(N179="Auto",O179="Auto"),"YES",IF(OR(N179="Taxi",O179="Taxi"),"YES",IF(OR(N179="Van",O179="Van"),"YES",IF(OR(N179="Truck",O179="Truck"),"YES","NO"))))</f>
        <v>YES</v>
      </c>
      <c r="Q179" t="str">
        <f t="shared" ref="Q179:Q239" si="51">IF(OR(N179="Bicycle",O179="Bicycle"),"YES","NO")</f>
        <v>NO</v>
      </c>
      <c r="R179" t="str">
        <f t="shared" ref="R179:R239" si="52">IF(OR(N179="Pedestrian",O179="Pedestrian"),"YES","NO")</f>
        <v>NO</v>
      </c>
      <c r="S179">
        <v>24</v>
      </c>
      <c r="T179" t="s">
        <v>515</v>
      </c>
      <c r="U179" t="str">
        <f t="shared" si="39"/>
        <v>Newtowne Ct</v>
      </c>
      <c r="W179" t="str">
        <f t="shared" si="40"/>
        <v/>
      </c>
      <c r="X179" t="str">
        <f>IF(ISBLANK(S179),"Intersection","Non-Intersection")</f>
        <v>Non-Intersection</v>
      </c>
      <c r="Y179" t="s">
        <v>516</v>
      </c>
      <c r="Z179" t="str">
        <f t="shared" si="41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2"/>
        <v>40179</v>
      </c>
      <c r="D180" s="4">
        <f t="shared" si="43"/>
        <v>0.14794520547945206</v>
      </c>
      <c r="E180" s="3">
        <f t="shared" si="44"/>
        <v>2010</v>
      </c>
      <c r="F180" s="3">
        <f t="shared" si="45"/>
        <v>2</v>
      </c>
      <c r="G180" s="3">
        <f t="shared" si="46"/>
        <v>24</v>
      </c>
      <c r="H180" s="3">
        <f t="shared" si="47"/>
        <v>9</v>
      </c>
      <c r="I180" s="3">
        <f t="shared" si="48"/>
        <v>30</v>
      </c>
      <c r="J180" s="3">
        <f t="shared" si="49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0"/>
        <v>YES</v>
      </c>
      <c r="Q180" t="str">
        <f t="shared" si="51"/>
        <v>NO</v>
      </c>
      <c r="R180" t="str">
        <f t="shared" si="52"/>
        <v>NO</v>
      </c>
      <c r="T180" t="s">
        <v>198</v>
      </c>
      <c r="U180" t="str">
        <f t="shared" si="39"/>
        <v>Mount Auburn St</v>
      </c>
      <c r="V180" t="s">
        <v>518</v>
      </c>
      <c r="W180" t="str">
        <f t="shared" si="40"/>
        <v>Willard St</v>
      </c>
      <c r="X180" t="str">
        <f>IF(ISBLANK(S180),"Intersection","Non-Intersection")</f>
        <v>Intersection</v>
      </c>
      <c r="Y180" t="s">
        <v>519</v>
      </c>
      <c r="Z180" t="str">
        <f t="shared" si="41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2"/>
        <v>40179</v>
      </c>
      <c r="D181" s="4">
        <f t="shared" si="43"/>
        <v>0.14794520547945206</v>
      </c>
      <c r="E181" s="3">
        <f t="shared" si="44"/>
        <v>2010</v>
      </c>
      <c r="F181" s="3">
        <f t="shared" si="45"/>
        <v>2</v>
      </c>
      <c r="G181" s="3">
        <f t="shared" si="46"/>
        <v>24</v>
      </c>
      <c r="H181" s="3">
        <f t="shared" si="47"/>
        <v>20</v>
      </c>
      <c r="I181" s="3">
        <f t="shared" si="48"/>
        <v>0</v>
      </c>
      <c r="J181" s="3">
        <f t="shared" si="49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0"/>
        <v>YES</v>
      </c>
      <c r="Q181" t="str">
        <f t="shared" si="51"/>
        <v>NO</v>
      </c>
      <c r="R181" t="str">
        <f t="shared" si="52"/>
        <v>NO</v>
      </c>
      <c r="S181">
        <v>277</v>
      </c>
      <c r="T181" t="s">
        <v>521</v>
      </c>
      <c r="U181" t="str">
        <f t="shared" si="39"/>
        <v>Lakeview Ave</v>
      </c>
      <c r="W181" t="str">
        <f t="shared" si="40"/>
        <v/>
      </c>
      <c r="X181" t="str">
        <f>IF(ISBLANK(S181),"Intersection","Non-Intersection")</f>
        <v>Non-Intersection</v>
      </c>
      <c r="Y181" t="s">
        <v>522</v>
      </c>
      <c r="Z181" t="str">
        <f t="shared" si="41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2"/>
        <v>40179</v>
      </c>
      <c r="D182" s="4">
        <f t="shared" si="43"/>
        <v>0.15068493150684931</v>
      </c>
      <c r="E182" s="3">
        <f t="shared" si="44"/>
        <v>2010</v>
      </c>
      <c r="F182" s="3">
        <f t="shared" si="45"/>
        <v>2</v>
      </c>
      <c r="G182" s="3">
        <f t="shared" si="46"/>
        <v>25</v>
      </c>
      <c r="H182" s="3">
        <f t="shared" si="47"/>
        <v>7</v>
      </c>
      <c r="I182" s="3">
        <f t="shared" si="48"/>
        <v>50</v>
      </c>
      <c r="J182" s="3">
        <f t="shared" si="49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0"/>
        <v>YES</v>
      </c>
      <c r="Q182" t="str">
        <f t="shared" si="51"/>
        <v>NO</v>
      </c>
      <c r="R182" t="str">
        <f t="shared" si="52"/>
        <v>NO</v>
      </c>
      <c r="T182" t="s">
        <v>524</v>
      </c>
      <c r="U182" t="str">
        <f t="shared" si="39"/>
        <v>Blake St</v>
      </c>
      <c r="W182" t="str">
        <f t="shared" si="40"/>
        <v/>
      </c>
      <c r="X182" t="str">
        <f>IF(ISBLANK(S182),"Intersection","Non-Intersection")</f>
        <v>Intersection</v>
      </c>
      <c r="Y182" t="s">
        <v>525</v>
      </c>
      <c r="Z182" t="str">
        <f t="shared" si="41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2"/>
        <v>40179</v>
      </c>
      <c r="D183" s="4">
        <f t="shared" si="43"/>
        <v>0.15068493150684931</v>
      </c>
      <c r="E183" s="3">
        <f t="shared" si="44"/>
        <v>2010</v>
      </c>
      <c r="F183" s="3">
        <f t="shared" si="45"/>
        <v>2</v>
      </c>
      <c r="G183" s="3">
        <f t="shared" si="46"/>
        <v>25</v>
      </c>
      <c r="H183" s="3">
        <f t="shared" si="47"/>
        <v>10</v>
      </c>
      <c r="I183" s="3">
        <f t="shared" si="48"/>
        <v>30</v>
      </c>
      <c r="J183" s="3">
        <f t="shared" si="49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0"/>
        <v>YES</v>
      </c>
      <c r="Q183" t="str">
        <f t="shared" si="51"/>
        <v>NO</v>
      </c>
      <c r="R183" t="str">
        <f t="shared" si="52"/>
        <v>NO</v>
      </c>
      <c r="T183" t="s">
        <v>97</v>
      </c>
      <c r="U183" t="str">
        <f t="shared" si="39"/>
        <v>Peabody St</v>
      </c>
      <c r="V183" t="s">
        <v>14</v>
      </c>
      <c r="W183" t="str">
        <f t="shared" si="40"/>
        <v>Massachusetts Ave</v>
      </c>
      <c r="X183" t="str">
        <f>IF(ISBLANK(S183),"Intersection","Non-Intersection")</f>
        <v>Intersection</v>
      </c>
      <c r="Y183" t="s">
        <v>98</v>
      </c>
      <c r="Z183" t="str">
        <f t="shared" si="41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2"/>
        <v>40179</v>
      </c>
      <c r="D184" s="4">
        <f t="shared" si="43"/>
        <v>0.15342465753424658</v>
      </c>
      <c r="E184" s="3">
        <f t="shared" si="44"/>
        <v>2010</v>
      </c>
      <c r="F184" s="3">
        <f t="shared" si="45"/>
        <v>2</v>
      </c>
      <c r="G184" s="3">
        <f t="shared" si="46"/>
        <v>26</v>
      </c>
      <c r="H184" s="3">
        <f t="shared" si="47"/>
        <v>22</v>
      </c>
      <c r="I184" s="3">
        <f t="shared" si="48"/>
        <v>25</v>
      </c>
      <c r="J184" s="3">
        <f t="shared" si="49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0"/>
        <v>YES</v>
      </c>
      <c r="Q184" t="str">
        <f t="shared" si="51"/>
        <v>NO</v>
      </c>
      <c r="R184" t="str">
        <f t="shared" si="52"/>
        <v>NO</v>
      </c>
      <c r="T184" t="s">
        <v>14</v>
      </c>
      <c r="U184" t="str">
        <f t="shared" si="39"/>
        <v>Massachusetts Ave</v>
      </c>
      <c r="W184" t="str">
        <f t="shared" si="40"/>
        <v/>
      </c>
      <c r="X184" t="str">
        <f>IF(ISBLANK(S184),"Intersection","Non-Intersection")</f>
        <v>Intersection</v>
      </c>
      <c r="Y184" t="s">
        <v>137</v>
      </c>
      <c r="Z184" t="str">
        <f t="shared" si="41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2"/>
        <v>40179</v>
      </c>
      <c r="D185" s="4">
        <f t="shared" si="43"/>
        <v>0.15342465753424658</v>
      </c>
      <c r="E185" s="3">
        <f t="shared" si="44"/>
        <v>2010</v>
      </c>
      <c r="F185" s="3">
        <f t="shared" si="45"/>
        <v>2</v>
      </c>
      <c r="G185" s="3">
        <f t="shared" si="46"/>
        <v>26</v>
      </c>
      <c r="H185" s="3">
        <f t="shared" si="47"/>
        <v>6</v>
      </c>
      <c r="I185" s="3">
        <f t="shared" si="48"/>
        <v>24</v>
      </c>
      <c r="J185" s="3">
        <f t="shared" si="49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0"/>
        <v>YES</v>
      </c>
      <c r="Q185" t="str">
        <f t="shared" si="51"/>
        <v>NO</v>
      </c>
      <c r="R185" t="str">
        <f t="shared" si="52"/>
        <v>NO</v>
      </c>
      <c r="T185" t="s">
        <v>19</v>
      </c>
      <c r="U185" t="str">
        <f t="shared" si="39"/>
        <v>Cambridge St</v>
      </c>
      <c r="V185" t="s">
        <v>526</v>
      </c>
      <c r="W185" t="str">
        <f t="shared" si="40"/>
        <v>Springfield St</v>
      </c>
      <c r="X185" t="str">
        <f>IF(ISBLANK(S185),"Intersection","Non-Intersection")</f>
        <v>Intersection</v>
      </c>
      <c r="Y185" t="s">
        <v>527</v>
      </c>
      <c r="Z185" t="str">
        <f t="shared" si="41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2"/>
        <v>40179</v>
      </c>
      <c r="D186" s="4">
        <f t="shared" si="43"/>
        <v>0.15342465753424658</v>
      </c>
      <c r="E186" s="3">
        <f t="shared" si="44"/>
        <v>2010</v>
      </c>
      <c r="F186" s="3">
        <f t="shared" si="45"/>
        <v>2</v>
      </c>
      <c r="G186" s="3">
        <f t="shared" si="46"/>
        <v>26</v>
      </c>
      <c r="H186" s="3">
        <f t="shared" si="47"/>
        <v>6</v>
      </c>
      <c r="I186" s="3">
        <f t="shared" si="48"/>
        <v>59</v>
      </c>
      <c r="J186" s="3">
        <f t="shared" si="49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0"/>
        <v>YES</v>
      </c>
      <c r="Q186" t="str">
        <f t="shared" si="51"/>
        <v>NO</v>
      </c>
      <c r="R186" t="str">
        <f t="shared" si="52"/>
        <v>NO</v>
      </c>
      <c r="T186" t="s">
        <v>14</v>
      </c>
      <c r="U186" t="str">
        <f t="shared" si="39"/>
        <v>Massachusetts Ave</v>
      </c>
      <c r="V186" t="s">
        <v>202</v>
      </c>
      <c r="W186" t="str">
        <f t="shared" si="40"/>
        <v>Vassar St</v>
      </c>
      <c r="X186" t="str">
        <f>IF(ISBLANK(S186),"Intersection","Non-Intersection")</f>
        <v>Intersection</v>
      </c>
      <c r="Y186" t="s">
        <v>361</v>
      </c>
      <c r="Z186" t="str">
        <f t="shared" si="41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2"/>
        <v>40179</v>
      </c>
      <c r="D187" s="4">
        <f t="shared" si="43"/>
        <v>0.15342465753424658</v>
      </c>
      <c r="E187" s="3">
        <f t="shared" si="44"/>
        <v>2010</v>
      </c>
      <c r="F187" s="3">
        <f t="shared" si="45"/>
        <v>2</v>
      </c>
      <c r="G187" s="3">
        <f t="shared" si="46"/>
        <v>26</v>
      </c>
      <c r="H187" s="3">
        <f t="shared" si="47"/>
        <v>7</v>
      </c>
      <c r="I187" s="3">
        <f t="shared" si="48"/>
        <v>44</v>
      </c>
      <c r="J187" s="3">
        <f t="shared" si="49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0"/>
        <v>YES</v>
      </c>
      <c r="Q187" t="str">
        <f t="shared" si="51"/>
        <v>NO</v>
      </c>
      <c r="R187" t="str">
        <f t="shared" si="52"/>
        <v>NO</v>
      </c>
      <c r="S187">
        <v>534</v>
      </c>
      <c r="T187" t="s">
        <v>108</v>
      </c>
      <c r="U187" t="str">
        <f t="shared" si="39"/>
        <v>Franklin St</v>
      </c>
      <c r="W187" t="str">
        <f t="shared" si="40"/>
        <v/>
      </c>
      <c r="X187" t="str">
        <f>IF(ISBLANK(S187),"Intersection","Non-Intersection")</f>
        <v>Non-Intersection</v>
      </c>
      <c r="Y187" t="s">
        <v>529</v>
      </c>
      <c r="Z187" t="str">
        <f t="shared" si="41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2"/>
        <v>40179</v>
      </c>
      <c r="D188" s="4">
        <f t="shared" si="43"/>
        <v>0.15342465753424658</v>
      </c>
      <c r="E188" s="3">
        <f t="shared" si="44"/>
        <v>2010</v>
      </c>
      <c r="F188" s="3">
        <f t="shared" si="45"/>
        <v>2</v>
      </c>
      <c r="G188" s="3">
        <f t="shared" si="46"/>
        <v>26</v>
      </c>
      <c r="H188" s="3">
        <f t="shared" si="47"/>
        <v>8</v>
      </c>
      <c r="I188" s="3">
        <f t="shared" si="48"/>
        <v>45</v>
      </c>
      <c r="J188" s="3">
        <f t="shared" si="49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0"/>
        <v>YES</v>
      </c>
      <c r="Q188" t="str">
        <f t="shared" si="51"/>
        <v>YES</v>
      </c>
      <c r="R188" t="str">
        <f t="shared" si="52"/>
        <v>NO</v>
      </c>
      <c r="T188" t="s">
        <v>209</v>
      </c>
      <c r="U188" t="str">
        <f t="shared" si="39"/>
        <v>Binney St</v>
      </c>
      <c r="V188" t="s">
        <v>260</v>
      </c>
      <c r="W188" t="str">
        <f t="shared" si="40"/>
        <v>Third St</v>
      </c>
      <c r="X188" t="str">
        <f>IF(ISBLANK(S188),"Intersection","Non-Intersection")</f>
        <v>Intersection</v>
      </c>
      <c r="Y188" t="s">
        <v>531</v>
      </c>
      <c r="Z188" t="str">
        <f t="shared" si="41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2"/>
        <v>40179</v>
      </c>
      <c r="D189" s="4">
        <f t="shared" si="43"/>
        <v>0.15342465753424658</v>
      </c>
      <c r="E189" s="3">
        <f t="shared" si="44"/>
        <v>2010</v>
      </c>
      <c r="F189" s="3">
        <f t="shared" si="45"/>
        <v>2</v>
      </c>
      <c r="G189" s="3">
        <f t="shared" si="46"/>
        <v>26</v>
      </c>
      <c r="H189" s="3">
        <f t="shared" si="47"/>
        <v>12</v>
      </c>
      <c r="I189" s="3">
        <f t="shared" si="48"/>
        <v>20</v>
      </c>
      <c r="J189" s="3">
        <f t="shared" si="49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0"/>
        <v>YES</v>
      </c>
      <c r="Q189" t="str">
        <f t="shared" si="51"/>
        <v>NO</v>
      </c>
      <c r="R189" t="str">
        <f t="shared" si="52"/>
        <v>NO</v>
      </c>
      <c r="T189" t="s">
        <v>134</v>
      </c>
      <c r="U189" t="str">
        <f t="shared" si="39"/>
        <v>Quincy St</v>
      </c>
      <c r="V189" t="s">
        <v>19</v>
      </c>
      <c r="W189" t="str">
        <f t="shared" si="40"/>
        <v>Cambridge St</v>
      </c>
      <c r="X189" t="str">
        <f>IF(ISBLANK(S189),"Intersection","Non-Intersection")</f>
        <v>Intersection</v>
      </c>
      <c r="Y189" t="s">
        <v>426</v>
      </c>
      <c r="Z189" t="str">
        <f t="shared" si="41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2"/>
        <v>40179</v>
      </c>
      <c r="D190" s="4">
        <f t="shared" si="43"/>
        <v>0.15342465753424658</v>
      </c>
      <c r="E190" s="3">
        <f t="shared" si="44"/>
        <v>2010</v>
      </c>
      <c r="F190" s="3">
        <f t="shared" si="45"/>
        <v>2</v>
      </c>
      <c r="G190" s="3">
        <f t="shared" si="46"/>
        <v>26</v>
      </c>
      <c r="H190" s="3">
        <f t="shared" si="47"/>
        <v>20</v>
      </c>
      <c r="I190" s="3">
        <f t="shared" si="48"/>
        <v>0</v>
      </c>
      <c r="J190" s="3">
        <f t="shared" si="49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0"/>
        <v>YES</v>
      </c>
      <c r="Q190" t="str">
        <f t="shared" si="51"/>
        <v>NO</v>
      </c>
      <c r="R190" t="str">
        <f t="shared" si="52"/>
        <v>NO</v>
      </c>
      <c r="S190">
        <v>116</v>
      </c>
      <c r="T190" t="s">
        <v>533</v>
      </c>
      <c r="U190" t="str">
        <f t="shared" si="39"/>
        <v>Cherry St</v>
      </c>
      <c r="W190" t="str">
        <f t="shared" si="40"/>
        <v/>
      </c>
      <c r="X190" t="str">
        <f>IF(ISBLANK(S190),"Intersection","Non-Intersection")</f>
        <v>Non-Intersection</v>
      </c>
      <c r="Y190" t="s">
        <v>534</v>
      </c>
      <c r="Z190" t="str">
        <f t="shared" si="41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2"/>
        <v>40179</v>
      </c>
      <c r="D191" s="4">
        <f t="shared" si="43"/>
        <v>0.15342465753424658</v>
      </c>
      <c r="E191" s="3">
        <f t="shared" si="44"/>
        <v>2010</v>
      </c>
      <c r="F191" s="3">
        <f t="shared" si="45"/>
        <v>2</v>
      </c>
      <c r="G191" s="3">
        <f t="shared" si="46"/>
        <v>26</v>
      </c>
      <c r="H191" s="3">
        <f t="shared" si="47"/>
        <v>10</v>
      </c>
      <c r="I191" s="3">
        <f t="shared" si="48"/>
        <v>34</v>
      </c>
      <c r="J191" s="3">
        <f t="shared" si="49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0"/>
        <v>YES</v>
      </c>
      <c r="Q191" t="str">
        <f t="shared" si="51"/>
        <v>NO</v>
      </c>
      <c r="R191" t="str">
        <f t="shared" si="52"/>
        <v>NO</v>
      </c>
      <c r="T191" t="s">
        <v>19</v>
      </c>
      <c r="U191" t="str">
        <f t="shared" si="39"/>
        <v>Cambridge St</v>
      </c>
      <c r="V191" t="s">
        <v>147</v>
      </c>
      <c r="W191" t="str">
        <f t="shared" si="40"/>
        <v>Sixth St</v>
      </c>
      <c r="X191" t="str">
        <f>IF(ISBLANK(S191),"Intersection","Non-Intersection")</f>
        <v>Intersection</v>
      </c>
      <c r="Y191" t="s">
        <v>536</v>
      </c>
      <c r="Z191" t="str">
        <f t="shared" si="41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2"/>
        <v>40179</v>
      </c>
      <c r="D192" s="4">
        <f t="shared" si="43"/>
        <v>0.15342465753424658</v>
      </c>
      <c r="E192" s="3">
        <f t="shared" si="44"/>
        <v>2010</v>
      </c>
      <c r="F192" s="3">
        <f t="shared" si="45"/>
        <v>2</v>
      </c>
      <c r="G192" s="3">
        <f t="shared" si="46"/>
        <v>26</v>
      </c>
      <c r="H192" s="3">
        <f t="shared" si="47"/>
        <v>10</v>
      </c>
      <c r="I192" s="3">
        <f t="shared" si="48"/>
        <v>34</v>
      </c>
      <c r="J192" s="3">
        <f t="shared" si="49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0"/>
        <v>YES</v>
      </c>
      <c r="Q192" t="str">
        <f t="shared" si="51"/>
        <v>NO</v>
      </c>
      <c r="R192" t="str">
        <f t="shared" si="52"/>
        <v>NO</v>
      </c>
      <c r="T192" t="s">
        <v>19</v>
      </c>
      <c r="U192" t="str">
        <f t="shared" si="39"/>
        <v>Cambridge St</v>
      </c>
      <c r="V192" t="s">
        <v>147</v>
      </c>
      <c r="W192" t="str">
        <f t="shared" si="40"/>
        <v>Sixth St</v>
      </c>
      <c r="X192" t="str">
        <f>IF(ISBLANK(S192),"Intersection","Non-Intersection")</f>
        <v>Intersection</v>
      </c>
      <c r="Y192" t="s">
        <v>536</v>
      </c>
      <c r="Z192" t="str">
        <f t="shared" si="41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2"/>
        <v>40179</v>
      </c>
      <c r="D193" s="4">
        <f t="shared" si="43"/>
        <v>0.15616438356164383</v>
      </c>
      <c r="E193" s="3">
        <f t="shared" si="44"/>
        <v>2010</v>
      </c>
      <c r="F193" s="3">
        <f t="shared" si="45"/>
        <v>2</v>
      </c>
      <c r="G193" s="3">
        <f t="shared" si="46"/>
        <v>27</v>
      </c>
      <c r="H193" s="3">
        <f t="shared" si="47"/>
        <v>11</v>
      </c>
      <c r="I193" s="3">
        <f t="shared" si="48"/>
        <v>29</v>
      </c>
      <c r="J193" s="3">
        <f t="shared" si="49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0"/>
        <v>YES</v>
      </c>
      <c r="Q193" t="str">
        <f t="shared" si="51"/>
        <v>NO</v>
      </c>
      <c r="R193" t="str">
        <f t="shared" si="52"/>
        <v>NO</v>
      </c>
      <c r="S193">
        <v>119</v>
      </c>
      <c r="T193" t="s">
        <v>61</v>
      </c>
      <c r="U193" t="str">
        <f t="shared" si="39"/>
        <v>First St</v>
      </c>
      <c r="W193" t="str">
        <f t="shared" si="40"/>
        <v/>
      </c>
      <c r="X193" t="str">
        <f>IF(ISBLANK(S193),"Intersection","Non-Intersection")</f>
        <v>Non-Intersection</v>
      </c>
      <c r="Y193" t="s">
        <v>538</v>
      </c>
      <c r="Z193" t="str">
        <f t="shared" si="41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2"/>
        <v>40179</v>
      </c>
      <c r="D194" s="4">
        <f t="shared" si="43"/>
        <v>0.15616438356164383</v>
      </c>
      <c r="E194" s="3">
        <f t="shared" si="44"/>
        <v>2010</v>
      </c>
      <c r="F194" s="3">
        <f t="shared" si="45"/>
        <v>2</v>
      </c>
      <c r="G194" s="3">
        <f t="shared" si="46"/>
        <v>27</v>
      </c>
      <c r="H194" s="3">
        <f t="shared" si="47"/>
        <v>13</v>
      </c>
      <c r="I194" s="3">
        <f t="shared" si="48"/>
        <v>9</v>
      </c>
      <c r="J194" s="3">
        <f t="shared" si="49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0"/>
        <v>YES</v>
      </c>
      <c r="Q194" t="str">
        <f t="shared" si="51"/>
        <v>NO</v>
      </c>
      <c r="R194" t="str">
        <f t="shared" si="52"/>
        <v>NO</v>
      </c>
      <c r="S194">
        <v>125</v>
      </c>
      <c r="T194" t="s">
        <v>199</v>
      </c>
      <c r="U194" t="str">
        <f t="shared" si="39"/>
        <v>Brattle St</v>
      </c>
      <c r="W194" t="str">
        <f t="shared" si="40"/>
        <v/>
      </c>
      <c r="X194" t="str">
        <f>IF(ISBLANK(S194),"Intersection","Non-Intersection")</f>
        <v>Non-Intersection</v>
      </c>
      <c r="Y194" t="s">
        <v>540</v>
      </c>
      <c r="Z194" t="str">
        <f t="shared" si="41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2"/>
        <v>40179</v>
      </c>
      <c r="D195" s="4">
        <f t="shared" si="43"/>
        <v>0.15616438356164383</v>
      </c>
      <c r="E195" s="3">
        <f t="shared" si="44"/>
        <v>2010</v>
      </c>
      <c r="F195" s="3">
        <f t="shared" si="45"/>
        <v>2</v>
      </c>
      <c r="G195" s="3">
        <f t="shared" si="46"/>
        <v>27</v>
      </c>
      <c r="H195" s="3">
        <f t="shared" si="47"/>
        <v>14</v>
      </c>
      <c r="I195" s="3">
        <f t="shared" si="48"/>
        <v>39</v>
      </c>
      <c r="J195" s="3">
        <f t="shared" si="49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0"/>
        <v>YES</v>
      </c>
      <c r="Q195" t="str">
        <f t="shared" si="51"/>
        <v>NO</v>
      </c>
      <c r="R195" t="str">
        <f t="shared" si="52"/>
        <v>NO</v>
      </c>
      <c r="S195">
        <v>364</v>
      </c>
      <c r="T195" t="s">
        <v>15</v>
      </c>
      <c r="U195" t="str">
        <f t="shared" ref="U195:U258" si="53">TRIM(PROPER(T195))</f>
        <v>Rindge Ave</v>
      </c>
      <c r="W195" t="str">
        <f t="shared" ref="W195:W258" si="54">TRIM(PROPER(V195))</f>
        <v/>
      </c>
      <c r="X195" t="str">
        <f>IF(ISBLANK(S195),"Intersection","Non-Intersection")</f>
        <v>Non-Intersection</v>
      </c>
      <c r="Y195" t="s">
        <v>542</v>
      </c>
      <c r="Z195" t="str">
        <f t="shared" ref="Z195:Z258" si="55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2"/>
        <v>40179</v>
      </c>
      <c r="D196" s="4">
        <f t="shared" si="43"/>
        <v>0.15616438356164383</v>
      </c>
      <c r="E196" s="3">
        <f t="shared" si="44"/>
        <v>2010</v>
      </c>
      <c r="F196" s="3">
        <f t="shared" si="45"/>
        <v>2</v>
      </c>
      <c r="G196" s="3">
        <f t="shared" si="46"/>
        <v>27</v>
      </c>
      <c r="H196" s="3">
        <f t="shared" si="47"/>
        <v>14</v>
      </c>
      <c r="I196" s="3">
        <f t="shared" si="48"/>
        <v>39</v>
      </c>
      <c r="J196" s="3">
        <f t="shared" si="49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0"/>
        <v>YES</v>
      </c>
      <c r="Q196" t="str">
        <f t="shared" si="51"/>
        <v>NO</v>
      </c>
      <c r="R196" t="str">
        <f t="shared" si="52"/>
        <v>NO</v>
      </c>
      <c r="T196" t="s">
        <v>260</v>
      </c>
      <c r="U196" t="str">
        <f t="shared" si="53"/>
        <v>Third St</v>
      </c>
      <c r="V196" t="s">
        <v>146</v>
      </c>
      <c r="W196" t="str">
        <f t="shared" si="54"/>
        <v>Spring St</v>
      </c>
      <c r="X196" t="str">
        <f>IF(ISBLANK(S196),"Intersection","Non-Intersection")</f>
        <v>Intersection</v>
      </c>
      <c r="Y196" t="s">
        <v>544</v>
      </c>
      <c r="Z196" t="str">
        <f t="shared" si="55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2"/>
        <v>40179</v>
      </c>
      <c r="D197" s="4">
        <f t="shared" si="43"/>
        <v>0.15616438356164383</v>
      </c>
      <c r="E197" s="3">
        <f t="shared" si="44"/>
        <v>2010</v>
      </c>
      <c r="F197" s="3">
        <f t="shared" si="45"/>
        <v>2</v>
      </c>
      <c r="G197" s="3">
        <f t="shared" si="46"/>
        <v>27</v>
      </c>
      <c r="H197" s="3">
        <f t="shared" si="47"/>
        <v>23</v>
      </c>
      <c r="I197" s="3">
        <f t="shared" si="48"/>
        <v>29</v>
      </c>
      <c r="J197" s="3">
        <f t="shared" si="49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0"/>
        <v>YES</v>
      </c>
      <c r="Q197" t="str">
        <f t="shared" si="51"/>
        <v>NO</v>
      </c>
      <c r="R197" t="str">
        <f t="shared" si="52"/>
        <v>NO</v>
      </c>
      <c r="T197" t="s">
        <v>326</v>
      </c>
      <c r="U197" t="str">
        <f t="shared" si="53"/>
        <v>Jfk St</v>
      </c>
      <c r="V197" t="s">
        <v>546</v>
      </c>
      <c r="W197" t="str">
        <f t="shared" si="54"/>
        <v>Winthrop St</v>
      </c>
      <c r="X197" t="str">
        <f>IF(ISBLANK(S197),"Intersection","Non-Intersection")</f>
        <v>Intersection</v>
      </c>
      <c r="Y197" t="s">
        <v>547</v>
      </c>
      <c r="Z197" t="str">
        <f t="shared" si="55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2"/>
        <v>40179</v>
      </c>
      <c r="D198" s="4">
        <f t="shared" si="43"/>
        <v>0.15890410958904111</v>
      </c>
      <c r="E198" s="3">
        <f t="shared" si="44"/>
        <v>2010</v>
      </c>
      <c r="F198" s="3">
        <f t="shared" si="45"/>
        <v>2</v>
      </c>
      <c r="G198" s="3">
        <f t="shared" si="46"/>
        <v>28</v>
      </c>
      <c r="H198" s="3">
        <f t="shared" si="47"/>
        <v>12</v>
      </c>
      <c r="I198" s="3">
        <f t="shared" si="48"/>
        <v>4</v>
      </c>
      <c r="J198" s="3">
        <f t="shared" si="49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0"/>
        <v>YES</v>
      </c>
      <c r="Q198" t="str">
        <f t="shared" si="51"/>
        <v>NO</v>
      </c>
      <c r="R198" t="str">
        <f t="shared" si="52"/>
        <v>NO</v>
      </c>
      <c r="T198" t="s">
        <v>14</v>
      </c>
      <c r="U198" t="str">
        <f t="shared" si="53"/>
        <v>Massachusetts Ave</v>
      </c>
      <c r="V198" t="s">
        <v>550</v>
      </c>
      <c r="W198" t="str">
        <f t="shared" si="54"/>
        <v>Upland Rd</v>
      </c>
      <c r="X198" t="str">
        <f>IF(ISBLANK(S198),"Intersection","Non-Intersection")</f>
        <v>Intersection</v>
      </c>
      <c r="Y198" t="s">
        <v>551</v>
      </c>
      <c r="Z198" t="str">
        <f t="shared" si="55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2"/>
        <v>40179</v>
      </c>
      <c r="D199" s="4">
        <f t="shared" si="43"/>
        <v>0.15890410958904111</v>
      </c>
      <c r="E199" s="3">
        <f t="shared" si="44"/>
        <v>2010</v>
      </c>
      <c r="F199" s="3">
        <f t="shared" si="45"/>
        <v>2</v>
      </c>
      <c r="G199" s="3">
        <f t="shared" si="46"/>
        <v>28</v>
      </c>
      <c r="H199" s="3">
        <f t="shared" si="47"/>
        <v>14</v>
      </c>
      <c r="I199" s="3">
        <f t="shared" si="48"/>
        <v>0</v>
      </c>
      <c r="J199" s="3">
        <f t="shared" si="49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0"/>
        <v>YES</v>
      </c>
      <c r="Q199" t="str">
        <f t="shared" si="51"/>
        <v>NO</v>
      </c>
      <c r="R199" t="str">
        <f t="shared" si="52"/>
        <v>NO</v>
      </c>
      <c r="T199" t="s">
        <v>14</v>
      </c>
      <c r="U199" t="str">
        <f t="shared" si="53"/>
        <v>Massachusetts Ave</v>
      </c>
      <c r="V199" t="s">
        <v>553</v>
      </c>
      <c r="W199" t="str">
        <f t="shared" si="54"/>
        <v>Cameron Ave</v>
      </c>
      <c r="X199" t="str">
        <f>IF(ISBLANK(S199),"Intersection","Non-Intersection")</f>
        <v>Intersection</v>
      </c>
      <c r="Y199" t="s">
        <v>554</v>
      </c>
      <c r="Z199" t="str">
        <f t="shared" si="55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2"/>
        <v>40179</v>
      </c>
      <c r="D200" s="4">
        <f t="shared" si="43"/>
        <v>0.16164383561643836</v>
      </c>
      <c r="E200" s="3">
        <f t="shared" si="44"/>
        <v>2010</v>
      </c>
      <c r="F200" s="3">
        <f t="shared" si="45"/>
        <v>3</v>
      </c>
      <c r="G200" s="3">
        <f t="shared" si="46"/>
        <v>1</v>
      </c>
      <c r="H200" s="3">
        <f t="shared" si="47"/>
        <v>8</v>
      </c>
      <c r="I200" s="3">
        <f t="shared" si="48"/>
        <v>42</v>
      </c>
      <c r="J200" s="3">
        <f t="shared" si="49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0"/>
        <v>YES</v>
      </c>
      <c r="Q200" t="str">
        <f t="shared" si="51"/>
        <v>NO</v>
      </c>
      <c r="R200" t="str">
        <f t="shared" si="52"/>
        <v>NO</v>
      </c>
      <c r="T200" t="s">
        <v>209</v>
      </c>
      <c r="U200" t="str">
        <f t="shared" si="53"/>
        <v>Binney St</v>
      </c>
      <c r="V200" t="s">
        <v>260</v>
      </c>
      <c r="W200" t="str">
        <f t="shared" si="54"/>
        <v>Third St</v>
      </c>
      <c r="X200" t="str">
        <f>IF(ISBLANK(S200),"Intersection","Non-Intersection")</f>
        <v>Intersection</v>
      </c>
      <c r="Y200" t="s">
        <v>531</v>
      </c>
      <c r="Z200" t="str">
        <f t="shared" si="55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2"/>
        <v>40179</v>
      </c>
      <c r="D201" s="4">
        <f t="shared" si="43"/>
        <v>0.16164383561643836</v>
      </c>
      <c r="E201" s="3">
        <f t="shared" si="44"/>
        <v>2010</v>
      </c>
      <c r="F201" s="3">
        <f t="shared" si="45"/>
        <v>3</v>
      </c>
      <c r="G201" s="3">
        <f t="shared" si="46"/>
        <v>1</v>
      </c>
      <c r="H201" s="3">
        <f t="shared" si="47"/>
        <v>10</v>
      </c>
      <c r="I201" s="3">
        <f t="shared" si="48"/>
        <v>40</v>
      </c>
      <c r="J201" s="3">
        <f t="shared" si="49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0"/>
        <v>YES</v>
      </c>
      <c r="Q201" t="str">
        <f t="shared" si="51"/>
        <v>NO</v>
      </c>
      <c r="R201" t="str">
        <f t="shared" si="52"/>
        <v>NO</v>
      </c>
      <c r="T201" t="s">
        <v>147</v>
      </c>
      <c r="U201" t="str">
        <f t="shared" si="53"/>
        <v>Sixth St</v>
      </c>
      <c r="V201" t="s">
        <v>556</v>
      </c>
      <c r="W201" t="str">
        <f t="shared" si="54"/>
        <v>Bent St</v>
      </c>
      <c r="X201" t="str">
        <f>IF(ISBLANK(S201),"Intersection","Non-Intersection")</f>
        <v>Intersection</v>
      </c>
      <c r="Y201" t="s">
        <v>557</v>
      </c>
      <c r="Z201" t="str">
        <f t="shared" si="55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2"/>
        <v>40179</v>
      </c>
      <c r="D202" s="4">
        <f t="shared" si="43"/>
        <v>0.16164383561643836</v>
      </c>
      <c r="E202" s="3">
        <f t="shared" si="44"/>
        <v>2010</v>
      </c>
      <c r="F202" s="3">
        <f t="shared" si="45"/>
        <v>3</v>
      </c>
      <c r="G202" s="3">
        <f t="shared" si="46"/>
        <v>1</v>
      </c>
      <c r="H202" s="3">
        <f t="shared" si="47"/>
        <v>7</v>
      </c>
      <c r="I202" s="3">
        <f t="shared" si="48"/>
        <v>12</v>
      </c>
      <c r="J202" s="3">
        <f t="shared" si="49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0"/>
        <v>YES</v>
      </c>
      <c r="Q202" t="str">
        <f t="shared" si="51"/>
        <v>NO</v>
      </c>
      <c r="R202" t="str">
        <f t="shared" si="52"/>
        <v>NO</v>
      </c>
      <c r="T202" t="s">
        <v>550</v>
      </c>
      <c r="U202" t="str">
        <f t="shared" si="53"/>
        <v>Upland Rd</v>
      </c>
      <c r="V202" t="s">
        <v>155</v>
      </c>
      <c r="W202" t="str">
        <f t="shared" si="54"/>
        <v>Richdale Ave</v>
      </c>
      <c r="X202" t="str">
        <f>IF(ISBLANK(S202),"Intersection","Non-Intersection")</f>
        <v>Intersection</v>
      </c>
      <c r="Y202" t="s">
        <v>559</v>
      </c>
      <c r="Z202" t="str">
        <f t="shared" si="55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2"/>
        <v>40179</v>
      </c>
      <c r="D203" s="4">
        <f t="shared" si="43"/>
        <v>0.16164383561643836</v>
      </c>
      <c r="E203" s="3">
        <f t="shared" si="44"/>
        <v>2010</v>
      </c>
      <c r="F203" s="3">
        <f t="shared" si="45"/>
        <v>3</v>
      </c>
      <c r="G203" s="3">
        <f t="shared" si="46"/>
        <v>1</v>
      </c>
      <c r="H203" s="3">
        <f t="shared" si="47"/>
        <v>9</v>
      </c>
      <c r="I203" s="3">
        <f t="shared" si="48"/>
        <v>45</v>
      </c>
      <c r="J203" s="3">
        <f t="shared" si="49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0"/>
        <v>YES</v>
      </c>
      <c r="Q203" t="str">
        <f t="shared" si="51"/>
        <v>NO</v>
      </c>
      <c r="R203" t="str">
        <f t="shared" si="52"/>
        <v>NO</v>
      </c>
      <c r="T203" t="s">
        <v>561</v>
      </c>
      <c r="U203" t="str">
        <f t="shared" si="53"/>
        <v>Sargent St</v>
      </c>
      <c r="V203" t="s">
        <v>562</v>
      </c>
      <c r="W203" t="str">
        <f t="shared" si="54"/>
        <v>Notre Dame Ave</v>
      </c>
      <c r="X203" t="str">
        <f>IF(ISBLANK(S203),"Intersection","Non-Intersection")</f>
        <v>Intersection</v>
      </c>
      <c r="Y203" t="s">
        <v>563</v>
      </c>
      <c r="Z203" t="str">
        <f t="shared" si="55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2"/>
        <v>40179</v>
      </c>
      <c r="D204" s="4">
        <f t="shared" si="43"/>
        <v>0.16164383561643836</v>
      </c>
      <c r="E204" s="3">
        <f t="shared" si="44"/>
        <v>2010</v>
      </c>
      <c r="F204" s="3">
        <f t="shared" si="45"/>
        <v>3</v>
      </c>
      <c r="G204" s="3">
        <f t="shared" si="46"/>
        <v>1</v>
      </c>
      <c r="H204" s="3">
        <f t="shared" si="47"/>
        <v>18</v>
      </c>
      <c r="I204" s="3">
        <f t="shared" si="48"/>
        <v>14</v>
      </c>
      <c r="J204" s="3">
        <f t="shared" si="49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0"/>
        <v>YES</v>
      </c>
      <c r="Q204" t="str">
        <f t="shared" si="51"/>
        <v>NO</v>
      </c>
      <c r="R204" t="str">
        <f t="shared" si="52"/>
        <v>NO</v>
      </c>
      <c r="T204" t="s">
        <v>14</v>
      </c>
      <c r="U204" t="str">
        <f t="shared" si="53"/>
        <v>Massachusetts Ave</v>
      </c>
      <c r="V204" t="s">
        <v>15</v>
      </c>
      <c r="W204" t="str">
        <f t="shared" si="54"/>
        <v>Rindge Ave</v>
      </c>
      <c r="X204" t="str">
        <f>IF(ISBLANK(S204),"Intersection","Non-Intersection")</f>
        <v>Intersection</v>
      </c>
      <c r="Y204" t="s">
        <v>16</v>
      </c>
      <c r="Z204" t="str">
        <f t="shared" si="55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2"/>
        <v>40179</v>
      </c>
      <c r="D205" s="4">
        <f t="shared" si="43"/>
        <v>0.16164383561643836</v>
      </c>
      <c r="E205" s="3">
        <f t="shared" si="44"/>
        <v>2010</v>
      </c>
      <c r="F205" s="3">
        <f t="shared" si="45"/>
        <v>3</v>
      </c>
      <c r="G205" s="3">
        <f t="shared" si="46"/>
        <v>1</v>
      </c>
      <c r="H205" s="3">
        <f t="shared" si="47"/>
        <v>15</v>
      </c>
      <c r="I205" s="3">
        <f t="shared" si="48"/>
        <v>14</v>
      </c>
      <c r="J205" s="3">
        <f t="shared" si="49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0"/>
        <v>YES</v>
      </c>
      <c r="Q205" t="str">
        <f t="shared" si="51"/>
        <v>NO</v>
      </c>
      <c r="R205" t="str">
        <f t="shared" si="52"/>
        <v>NO</v>
      </c>
      <c r="T205" t="s">
        <v>512</v>
      </c>
      <c r="U205" t="str">
        <f t="shared" si="53"/>
        <v>Mount Vernon St</v>
      </c>
      <c r="W205" t="str">
        <f t="shared" si="54"/>
        <v/>
      </c>
      <c r="X205" t="str">
        <f>IF(ISBLANK(S205),"Intersection","Non-Intersection")</f>
        <v>Intersection</v>
      </c>
      <c r="Y205" t="s">
        <v>565</v>
      </c>
      <c r="Z205" t="str">
        <f t="shared" si="55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2"/>
        <v>40179</v>
      </c>
      <c r="D206" s="4">
        <f t="shared" si="43"/>
        <v>0.16438356164383561</v>
      </c>
      <c r="E206" s="3">
        <f t="shared" si="44"/>
        <v>2010</v>
      </c>
      <c r="F206" s="3">
        <f t="shared" si="45"/>
        <v>3</v>
      </c>
      <c r="G206" s="3">
        <f t="shared" si="46"/>
        <v>2</v>
      </c>
      <c r="H206" s="3">
        <f t="shared" si="47"/>
        <v>13</v>
      </c>
      <c r="I206" s="3">
        <f t="shared" si="48"/>
        <v>44</v>
      </c>
      <c r="J206" s="3">
        <f t="shared" si="49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0"/>
        <v>YES</v>
      </c>
      <c r="Q206" t="str">
        <f t="shared" si="51"/>
        <v>NO</v>
      </c>
      <c r="R206" t="str">
        <f t="shared" si="52"/>
        <v>NO</v>
      </c>
      <c r="T206" t="s">
        <v>185</v>
      </c>
      <c r="U206" t="str">
        <f t="shared" si="53"/>
        <v>Garden St</v>
      </c>
      <c r="W206" t="str">
        <f t="shared" si="54"/>
        <v/>
      </c>
      <c r="X206" t="str">
        <f>IF(ISBLANK(S206),"Intersection","Non-Intersection")</f>
        <v>Intersection</v>
      </c>
      <c r="Y206" t="s">
        <v>566</v>
      </c>
      <c r="Z206" t="str">
        <f t="shared" si="55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2"/>
        <v>40179</v>
      </c>
      <c r="D207" s="4">
        <f t="shared" si="43"/>
        <v>0.16712328767123288</v>
      </c>
      <c r="E207" s="3">
        <f t="shared" si="44"/>
        <v>2010</v>
      </c>
      <c r="F207" s="3">
        <f t="shared" si="45"/>
        <v>3</v>
      </c>
      <c r="G207" s="3">
        <f t="shared" si="46"/>
        <v>3</v>
      </c>
      <c r="H207" s="3">
        <f t="shared" si="47"/>
        <v>12</v>
      </c>
      <c r="I207" s="3">
        <f t="shared" si="48"/>
        <v>59</v>
      </c>
      <c r="J207" s="3">
        <f t="shared" si="49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0"/>
        <v>YES</v>
      </c>
      <c r="Q207" t="str">
        <f t="shared" si="51"/>
        <v>NO</v>
      </c>
      <c r="R207" t="str">
        <f t="shared" si="52"/>
        <v>NO</v>
      </c>
      <c r="T207" t="s">
        <v>567</v>
      </c>
      <c r="U207" t="str">
        <f t="shared" si="53"/>
        <v>Davis St</v>
      </c>
      <c r="W207" t="str">
        <f t="shared" si="54"/>
        <v/>
      </c>
      <c r="X207" t="str">
        <f>IF(ISBLANK(S207),"Intersection","Non-Intersection")</f>
        <v>Intersection</v>
      </c>
      <c r="Y207" t="s">
        <v>568</v>
      </c>
      <c r="Z207" t="str">
        <f t="shared" si="55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2"/>
        <v>40179</v>
      </c>
      <c r="D208" s="4">
        <f t="shared" si="43"/>
        <v>0.16712328767123288</v>
      </c>
      <c r="E208" s="3">
        <f t="shared" si="44"/>
        <v>2010</v>
      </c>
      <c r="F208" s="3">
        <f t="shared" si="45"/>
        <v>3</v>
      </c>
      <c r="G208" s="3">
        <f t="shared" si="46"/>
        <v>3</v>
      </c>
      <c r="H208" s="3">
        <f t="shared" si="47"/>
        <v>18</v>
      </c>
      <c r="I208" s="3">
        <f t="shared" si="48"/>
        <v>45</v>
      </c>
      <c r="J208" s="3">
        <f t="shared" si="49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0"/>
        <v>YES</v>
      </c>
      <c r="Q208" t="str">
        <f t="shared" si="51"/>
        <v>YES</v>
      </c>
      <c r="R208" t="str">
        <f t="shared" si="52"/>
        <v>NO</v>
      </c>
      <c r="S208">
        <v>187</v>
      </c>
      <c r="T208" t="s">
        <v>74</v>
      </c>
      <c r="U208" t="str">
        <f t="shared" si="53"/>
        <v>Hampshire St</v>
      </c>
      <c r="W208" t="str">
        <f t="shared" si="54"/>
        <v/>
      </c>
      <c r="X208" t="str">
        <f>IF(ISBLANK(S208),"Intersection","Non-Intersection")</f>
        <v>Non-Intersection</v>
      </c>
      <c r="Y208" t="s">
        <v>569</v>
      </c>
      <c r="Z208" t="str">
        <f t="shared" si="55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2"/>
        <v>40179</v>
      </c>
      <c r="D209" s="4">
        <f t="shared" si="43"/>
        <v>0.16712328767123288</v>
      </c>
      <c r="E209" s="3">
        <f t="shared" si="44"/>
        <v>2010</v>
      </c>
      <c r="F209" s="3">
        <f t="shared" si="45"/>
        <v>3</v>
      </c>
      <c r="G209" s="3">
        <f t="shared" si="46"/>
        <v>3</v>
      </c>
      <c r="H209" s="3">
        <f t="shared" si="47"/>
        <v>17</v>
      </c>
      <c r="I209" s="3">
        <f t="shared" si="48"/>
        <v>45</v>
      </c>
      <c r="J209" s="3">
        <f t="shared" si="49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0"/>
        <v>YES</v>
      </c>
      <c r="Q209" t="str">
        <f t="shared" si="51"/>
        <v>NO</v>
      </c>
      <c r="R209" t="str">
        <f t="shared" si="52"/>
        <v>YES</v>
      </c>
      <c r="T209" t="s">
        <v>27</v>
      </c>
      <c r="U209" t="str">
        <f t="shared" si="53"/>
        <v>Western Ave</v>
      </c>
      <c r="V209" t="s">
        <v>509</v>
      </c>
      <c r="W209" t="str">
        <f t="shared" si="54"/>
        <v>Green St</v>
      </c>
      <c r="X209" t="str">
        <f>IF(ISBLANK(S209),"Intersection","Non-Intersection")</f>
        <v>Intersection</v>
      </c>
      <c r="Y209" t="s">
        <v>571</v>
      </c>
      <c r="Z209" t="str">
        <f t="shared" si="55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2"/>
        <v>40179</v>
      </c>
      <c r="D210" s="4">
        <f t="shared" si="43"/>
        <v>0.16712328767123288</v>
      </c>
      <c r="E210" s="3">
        <f t="shared" si="44"/>
        <v>2010</v>
      </c>
      <c r="F210" s="3">
        <f t="shared" si="45"/>
        <v>3</v>
      </c>
      <c r="G210" s="3">
        <f t="shared" si="46"/>
        <v>3</v>
      </c>
      <c r="H210" s="3">
        <f t="shared" si="47"/>
        <v>20</v>
      </c>
      <c r="I210" s="3">
        <f t="shared" si="48"/>
        <v>29</v>
      </c>
      <c r="J210" s="3">
        <f t="shared" si="49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0"/>
        <v>NO</v>
      </c>
      <c r="Q210" t="str">
        <f t="shared" si="51"/>
        <v>YES</v>
      </c>
      <c r="R210" t="str">
        <f t="shared" si="52"/>
        <v>NO</v>
      </c>
      <c r="T210" t="s">
        <v>199</v>
      </c>
      <c r="U210" t="str">
        <f t="shared" si="53"/>
        <v>Brattle St</v>
      </c>
      <c r="V210" t="s">
        <v>326</v>
      </c>
      <c r="W210" t="str">
        <f t="shared" si="54"/>
        <v>Jfk St</v>
      </c>
      <c r="X210" t="str">
        <f>IF(ISBLANK(S210),"Intersection","Non-Intersection")</f>
        <v>Intersection</v>
      </c>
      <c r="Y210" t="s">
        <v>574</v>
      </c>
      <c r="Z210" t="str">
        <f t="shared" si="55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2"/>
        <v>40179</v>
      </c>
      <c r="D211" s="4">
        <f t="shared" si="43"/>
        <v>0.16712328767123288</v>
      </c>
      <c r="E211" s="3">
        <f t="shared" si="44"/>
        <v>2010</v>
      </c>
      <c r="F211" s="3">
        <f t="shared" si="45"/>
        <v>3</v>
      </c>
      <c r="G211" s="3">
        <f t="shared" si="46"/>
        <v>3</v>
      </c>
      <c r="H211" s="3">
        <f t="shared" si="47"/>
        <v>19</v>
      </c>
      <c r="I211" s="3">
        <f t="shared" si="48"/>
        <v>44</v>
      </c>
      <c r="J211" s="3">
        <f t="shared" si="49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0"/>
        <v>YES</v>
      </c>
      <c r="Q211" t="str">
        <f t="shared" si="51"/>
        <v>NO</v>
      </c>
      <c r="R211" t="str">
        <f t="shared" si="52"/>
        <v>YES</v>
      </c>
      <c r="T211" t="s">
        <v>178</v>
      </c>
      <c r="U211" t="str">
        <f t="shared" si="53"/>
        <v>Pleasant St</v>
      </c>
      <c r="W211" t="str">
        <f t="shared" si="54"/>
        <v/>
      </c>
      <c r="X211" t="str">
        <f>IF(ISBLANK(S211),"Intersection","Non-Intersection")</f>
        <v>Intersection</v>
      </c>
      <c r="Y211" t="s">
        <v>576</v>
      </c>
      <c r="Z211" t="str">
        <f t="shared" si="55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2"/>
        <v>40179</v>
      </c>
      <c r="D212" s="4">
        <f t="shared" si="43"/>
        <v>0.16712328767123288</v>
      </c>
      <c r="E212" s="3">
        <f t="shared" si="44"/>
        <v>2010</v>
      </c>
      <c r="F212" s="3">
        <f t="shared" si="45"/>
        <v>3</v>
      </c>
      <c r="G212" s="3">
        <f t="shared" si="46"/>
        <v>3</v>
      </c>
      <c r="H212" s="3">
        <f t="shared" si="47"/>
        <v>7</v>
      </c>
      <c r="I212" s="3">
        <f t="shared" si="48"/>
        <v>30</v>
      </c>
      <c r="J212" s="3">
        <f t="shared" si="49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0"/>
        <v>YES</v>
      </c>
      <c r="Q212" t="str">
        <f t="shared" si="51"/>
        <v>NO</v>
      </c>
      <c r="R212" t="str">
        <f t="shared" si="52"/>
        <v>NO</v>
      </c>
      <c r="T212" t="s">
        <v>577</v>
      </c>
      <c r="U212" t="str">
        <f t="shared" si="53"/>
        <v>Vassal Ln</v>
      </c>
      <c r="W212" t="str">
        <f t="shared" si="54"/>
        <v/>
      </c>
      <c r="X212" t="str">
        <f>IF(ISBLANK(S212),"Intersection","Non-Intersection")</f>
        <v>Intersection</v>
      </c>
      <c r="Y212" t="s">
        <v>578</v>
      </c>
      <c r="Z212" t="str">
        <f t="shared" si="55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2"/>
        <v>40179</v>
      </c>
      <c r="D213" s="4">
        <f t="shared" si="43"/>
        <v>0.16712328767123288</v>
      </c>
      <c r="E213" s="3">
        <f t="shared" si="44"/>
        <v>2010</v>
      </c>
      <c r="F213" s="3">
        <f t="shared" si="45"/>
        <v>3</v>
      </c>
      <c r="G213" s="3">
        <f t="shared" si="46"/>
        <v>3</v>
      </c>
      <c r="H213" s="3">
        <f t="shared" si="47"/>
        <v>11</v>
      </c>
      <c r="I213" s="3">
        <f t="shared" si="48"/>
        <v>9</v>
      </c>
      <c r="J213" s="3">
        <f t="shared" si="49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0"/>
        <v>YES</v>
      </c>
      <c r="Q213" t="str">
        <f t="shared" si="51"/>
        <v>NO</v>
      </c>
      <c r="R213" t="str">
        <f t="shared" si="52"/>
        <v>NO</v>
      </c>
      <c r="T213" t="s">
        <v>209</v>
      </c>
      <c r="U213" t="str">
        <f t="shared" si="53"/>
        <v>Binney St</v>
      </c>
      <c r="V213" t="s">
        <v>61</v>
      </c>
      <c r="W213" t="str">
        <f t="shared" si="54"/>
        <v>First St</v>
      </c>
      <c r="X213" t="str">
        <f>IF(ISBLANK(S213),"Intersection","Non-Intersection")</f>
        <v>Intersection</v>
      </c>
      <c r="Y213" t="s">
        <v>579</v>
      </c>
      <c r="Z213" t="str">
        <f t="shared" si="55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2"/>
        <v>40179</v>
      </c>
      <c r="D214" s="4">
        <f t="shared" si="43"/>
        <v>0.16986301369863013</v>
      </c>
      <c r="E214" s="3">
        <f t="shared" si="44"/>
        <v>2010</v>
      </c>
      <c r="F214" s="3">
        <f t="shared" si="45"/>
        <v>3</v>
      </c>
      <c r="G214" s="3">
        <f t="shared" si="46"/>
        <v>4</v>
      </c>
      <c r="H214" s="3">
        <f t="shared" si="47"/>
        <v>12</v>
      </c>
      <c r="I214" s="3">
        <f t="shared" si="48"/>
        <v>4</v>
      </c>
      <c r="J214" s="3">
        <f t="shared" si="49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0"/>
        <v>YES</v>
      </c>
      <c r="Q214" t="str">
        <f t="shared" si="51"/>
        <v>NO</v>
      </c>
      <c r="R214" t="str">
        <f t="shared" si="52"/>
        <v>NO</v>
      </c>
      <c r="S214">
        <v>2</v>
      </c>
      <c r="T214" t="s">
        <v>185</v>
      </c>
      <c r="U214" t="str">
        <f t="shared" si="53"/>
        <v>Garden St</v>
      </c>
      <c r="V214" t="s">
        <v>580</v>
      </c>
      <c r="W214" t="str">
        <f t="shared" si="54"/>
        <v>Cambridge Common</v>
      </c>
      <c r="X214" t="str">
        <f>IF(ISBLANK(S214),"Intersection","Non-Intersection")</f>
        <v>Non-Intersection</v>
      </c>
      <c r="Y214" t="s">
        <v>581</v>
      </c>
      <c r="Z214" t="str">
        <f t="shared" si="55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2"/>
        <v>40179</v>
      </c>
      <c r="D215" s="4">
        <f t="shared" si="43"/>
        <v>0.16986301369863013</v>
      </c>
      <c r="E215" s="3">
        <f t="shared" si="44"/>
        <v>2010</v>
      </c>
      <c r="F215" s="3">
        <f t="shared" si="45"/>
        <v>3</v>
      </c>
      <c r="G215" s="3">
        <f t="shared" si="46"/>
        <v>4</v>
      </c>
      <c r="H215" s="3">
        <f t="shared" si="47"/>
        <v>16</v>
      </c>
      <c r="I215" s="3">
        <f t="shared" si="48"/>
        <v>22</v>
      </c>
      <c r="J215" s="3">
        <f t="shared" si="49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0"/>
        <v>YES</v>
      </c>
      <c r="Q215" t="str">
        <f t="shared" si="51"/>
        <v>YES</v>
      </c>
      <c r="R215" t="str">
        <f t="shared" si="52"/>
        <v>NO</v>
      </c>
      <c r="S215">
        <v>1310</v>
      </c>
      <c r="T215" t="s">
        <v>19</v>
      </c>
      <c r="U215" t="str">
        <f t="shared" si="53"/>
        <v>Cambridge St</v>
      </c>
      <c r="W215" t="str">
        <f t="shared" si="54"/>
        <v/>
      </c>
      <c r="X215" t="str">
        <f>IF(ISBLANK(S215),"Intersection","Non-Intersection")</f>
        <v>Non-Intersection</v>
      </c>
      <c r="Y215" t="s">
        <v>583</v>
      </c>
      <c r="Z215" t="str">
        <f t="shared" si="55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2"/>
        <v>40179</v>
      </c>
      <c r="D216" s="4">
        <f t="shared" si="43"/>
        <v>0.16986301369863013</v>
      </c>
      <c r="E216" s="3">
        <f t="shared" si="44"/>
        <v>2010</v>
      </c>
      <c r="F216" s="3">
        <f t="shared" si="45"/>
        <v>3</v>
      </c>
      <c r="G216" s="3">
        <f t="shared" si="46"/>
        <v>4</v>
      </c>
      <c r="H216" s="3">
        <f t="shared" si="47"/>
        <v>7</v>
      </c>
      <c r="I216" s="3">
        <f t="shared" si="48"/>
        <v>38</v>
      </c>
      <c r="J216" s="3">
        <f t="shared" si="49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0"/>
        <v>YES</v>
      </c>
      <c r="Q216" t="str">
        <f t="shared" si="51"/>
        <v>NO</v>
      </c>
      <c r="R216" t="str">
        <f t="shared" si="52"/>
        <v>NO</v>
      </c>
      <c r="S216">
        <v>699</v>
      </c>
      <c r="T216" t="s">
        <v>198</v>
      </c>
      <c r="U216" t="str">
        <f t="shared" si="53"/>
        <v>Mount Auburn St</v>
      </c>
      <c r="W216" t="str">
        <f t="shared" si="54"/>
        <v/>
      </c>
      <c r="X216" t="str">
        <f>IF(ISBLANK(S216),"Intersection","Non-Intersection")</f>
        <v>Non-Intersection</v>
      </c>
      <c r="Y216" t="s">
        <v>585</v>
      </c>
      <c r="Z216" t="str">
        <f t="shared" si="55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2"/>
        <v>40179</v>
      </c>
      <c r="D217" s="4">
        <f t="shared" si="43"/>
        <v>0.16986301369863013</v>
      </c>
      <c r="E217" s="3">
        <f t="shared" si="44"/>
        <v>2010</v>
      </c>
      <c r="F217" s="3">
        <f t="shared" si="45"/>
        <v>3</v>
      </c>
      <c r="G217" s="3">
        <f t="shared" si="46"/>
        <v>4</v>
      </c>
      <c r="H217" s="3">
        <f t="shared" si="47"/>
        <v>20</v>
      </c>
      <c r="I217" s="3">
        <f t="shared" si="48"/>
        <v>55</v>
      </c>
      <c r="J217" s="3">
        <f t="shared" si="49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0"/>
        <v>YES</v>
      </c>
      <c r="Q217" t="str">
        <f t="shared" si="51"/>
        <v>NO</v>
      </c>
      <c r="R217" t="str">
        <f t="shared" si="52"/>
        <v>YES</v>
      </c>
      <c r="S217" s="2">
        <v>42278</v>
      </c>
      <c r="T217" t="s">
        <v>74</v>
      </c>
      <c r="U217" t="str">
        <f t="shared" si="53"/>
        <v>Hampshire St</v>
      </c>
      <c r="V217" t="s">
        <v>587</v>
      </c>
      <c r="W217" t="str">
        <f t="shared" si="54"/>
        <v>Webster Ave</v>
      </c>
      <c r="X217" t="str">
        <f>IF(ISBLANK(S217),"Intersection","Non-Intersection")</f>
        <v>Non-Intersection</v>
      </c>
      <c r="Y217" t="s">
        <v>588</v>
      </c>
      <c r="Z217" t="str">
        <f t="shared" si="55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2"/>
        <v>40179</v>
      </c>
      <c r="D218" s="4">
        <f t="shared" si="43"/>
        <v>0.16986301369863013</v>
      </c>
      <c r="E218" s="3">
        <f t="shared" si="44"/>
        <v>2010</v>
      </c>
      <c r="F218" s="3">
        <f t="shared" si="45"/>
        <v>3</v>
      </c>
      <c r="G218" s="3">
        <f t="shared" si="46"/>
        <v>4</v>
      </c>
      <c r="H218" s="3">
        <f t="shared" si="47"/>
        <v>14</v>
      </c>
      <c r="I218" s="3">
        <f t="shared" si="48"/>
        <v>46</v>
      </c>
      <c r="J218" s="3">
        <f t="shared" si="49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0"/>
        <v>YES</v>
      </c>
      <c r="Q218" t="str">
        <f t="shared" si="51"/>
        <v>NO</v>
      </c>
      <c r="R218" t="str">
        <f t="shared" si="52"/>
        <v>NO</v>
      </c>
      <c r="S218">
        <v>55</v>
      </c>
      <c r="T218" t="s">
        <v>105</v>
      </c>
      <c r="U218" t="str">
        <f t="shared" si="53"/>
        <v>Broadway</v>
      </c>
      <c r="W218" t="str">
        <f t="shared" si="54"/>
        <v/>
      </c>
      <c r="X218" t="str">
        <f>IF(ISBLANK(S218),"Intersection","Non-Intersection")</f>
        <v>Non-Intersection</v>
      </c>
      <c r="Y218" t="s">
        <v>590</v>
      </c>
      <c r="Z218" t="str">
        <f t="shared" si="55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2"/>
        <v>40179</v>
      </c>
      <c r="D219" s="4">
        <f t="shared" si="43"/>
        <v>0.16986301369863013</v>
      </c>
      <c r="E219" s="3">
        <f t="shared" si="44"/>
        <v>2010</v>
      </c>
      <c r="F219" s="3">
        <f t="shared" si="45"/>
        <v>3</v>
      </c>
      <c r="G219" s="3">
        <f t="shared" si="46"/>
        <v>4</v>
      </c>
      <c r="H219" s="3">
        <f t="shared" si="47"/>
        <v>14</v>
      </c>
      <c r="I219" s="3">
        <f t="shared" si="48"/>
        <v>49</v>
      </c>
      <c r="J219" s="3">
        <f t="shared" si="49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0"/>
        <v>YES</v>
      </c>
      <c r="Q219" t="str">
        <f t="shared" si="51"/>
        <v>NO</v>
      </c>
      <c r="R219" t="str">
        <f t="shared" si="52"/>
        <v>NO</v>
      </c>
      <c r="T219" t="s">
        <v>189</v>
      </c>
      <c r="U219" t="str">
        <f t="shared" si="53"/>
        <v>Windsor St</v>
      </c>
      <c r="V219" t="s">
        <v>19</v>
      </c>
      <c r="W219" t="str">
        <f t="shared" si="54"/>
        <v>Cambridge St</v>
      </c>
      <c r="X219" t="str">
        <f>IF(ISBLANK(S219),"Intersection","Non-Intersection")</f>
        <v>Intersection</v>
      </c>
      <c r="Y219" t="s">
        <v>331</v>
      </c>
      <c r="Z219" t="str">
        <f t="shared" si="55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2"/>
        <v>40179</v>
      </c>
      <c r="D220" s="4">
        <f t="shared" si="43"/>
        <v>0.17260273972602741</v>
      </c>
      <c r="E220" s="3">
        <f t="shared" si="44"/>
        <v>2010</v>
      </c>
      <c r="F220" s="3">
        <f t="shared" si="45"/>
        <v>3</v>
      </c>
      <c r="G220" s="3">
        <f t="shared" si="46"/>
        <v>5</v>
      </c>
      <c r="H220" s="3">
        <f t="shared" si="47"/>
        <v>15</v>
      </c>
      <c r="I220" s="3">
        <f t="shared" si="48"/>
        <v>20</v>
      </c>
      <c r="J220" s="3">
        <f t="shared" si="49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0"/>
        <v>YES</v>
      </c>
      <c r="Q220" t="str">
        <f t="shared" si="51"/>
        <v>NO</v>
      </c>
      <c r="R220" t="str">
        <f t="shared" si="52"/>
        <v>NO</v>
      </c>
      <c r="S220">
        <v>125</v>
      </c>
      <c r="T220" t="s">
        <v>147</v>
      </c>
      <c r="U220" t="str">
        <f t="shared" si="53"/>
        <v>Sixth St</v>
      </c>
      <c r="W220" t="str">
        <f t="shared" si="54"/>
        <v/>
      </c>
      <c r="X220" t="str">
        <f>IF(ISBLANK(S220),"Intersection","Non-Intersection")</f>
        <v>Non-Intersection</v>
      </c>
      <c r="Y220" t="s">
        <v>592</v>
      </c>
      <c r="Z220" t="str">
        <f t="shared" si="55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2"/>
        <v>40179</v>
      </c>
      <c r="D221" s="4">
        <f t="shared" si="43"/>
        <v>0.17260273972602741</v>
      </c>
      <c r="E221" s="3">
        <f t="shared" si="44"/>
        <v>2010</v>
      </c>
      <c r="F221" s="3">
        <f t="shared" si="45"/>
        <v>3</v>
      </c>
      <c r="G221" s="3">
        <f t="shared" si="46"/>
        <v>5</v>
      </c>
      <c r="H221" s="3">
        <f t="shared" si="47"/>
        <v>3</v>
      </c>
      <c r="I221" s="3">
        <f t="shared" si="48"/>
        <v>0</v>
      </c>
      <c r="J221" s="3">
        <f t="shared" si="49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0"/>
        <v>YES</v>
      </c>
      <c r="Q221" t="str">
        <f t="shared" si="51"/>
        <v>NO</v>
      </c>
      <c r="R221" t="str">
        <f t="shared" si="52"/>
        <v>NO</v>
      </c>
      <c r="T221" t="s">
        <v>288</v>
      </c>
      <c r="U221" t="str">
        <f t="shared" si="53"/>
        <v>Galileo Galilei Way</v>
      </c>
      <c r="V221" t="s">
        <v>105</v>
      </c>
      <c r="W221" t="str">
        <f t="shared" si="54"/>
        <v>Broadway</v>
      </c>
      <c r="X221" t="str">
        <f>IF(ISBLANK(S221),"Intersection","Non-Intersection")</f>
        <v>Intersection</v>
      </c>
      <c r="Y221" t="s">
        <v>307</v>
      </c>
      <c r="Z221" t="str">
        <f t="shared" si="55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2"/>
        <v>40179</v>
      </c>
      <c r="D222" s="4">
        <f t="shared" si="43"/>
        <v>0.17260273972602741</v>
      </c>
      <c r="E222" s="3">
        <f t="shared" si="44"/>
        <v>2010</v>
      </c>
      <c r="F222" s="3">
        <f t="shared" si="45"/>
        <v>3</v>
      </c>
      <c r="G222" s="3">
        <f t="shared" si="46"/>
        <v>5</v>
      </c>
      <c r="H222" s="3">
        <f t="shared" si="47"/>
        <v>11</v>
      </c>
      <c r="I222" s="3">
        <f t="shared" si="48"/>
        <v>0</v>
      </c>
      <c r="J222" s="3">
        <f t="shared" si="49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0"/>
        <v>YES</v>
      </c>
      <c r="Q222" t="str">
        <f t="shared" si="51"/>
        <v>NO</v>
      </c>
      <c r="R222" t="str">
        <f t="shared" si="52"/>
        <v>NO</v>
      </c>
      <c r="T222" t="s">
        <v>185</v>
      </c>
      <c r="U222" t="str">
        <f t="shared" si="53"/>
        <v>Garden St</v>
      </c>
      <c r="V222" t="s">
        <v>296</v>
      </c>
      <c r="W222" t="str">
        <f t="shared" si="54"/>
        <v>Mason St</v>
      </c>
      <c r="X222" t="str">
        <f>IF(ISBLANK(S222),"Intersection","Non-Intersection")</f>
        <v>Intersection</v>
      </c>
      <c r="Y222" t="s">
        <v>594</v>
      </c>
      <c r="Z222" t="str">
        <f t="shared" si="55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2"/>
        <v>40179</v>
      </c>
      <c r="D223" s="4">
        <f t="shared" si="43"/>
        <v>0.17260273972602741</v>
      </c>
      <c r="E223" s="3">
        <f t="shared" si="44"/>
        <v>2010</v>
      </c>
      <c r="F223" s="3">
        <f t="shared" si="45"/>
        <v>3</v>
      </c>
      <c r="G223" s="3">
        <f t="shared" si="46"/>
        <v>5</v>
      </c>
      <c r="H223" s="3">
        <f t="shared" si="47"/>
        <v>15</v>
      </c>
      <c r="I223" s="3">
        <f t="shared" si="48"/>
        <v>55</v>
      </c>
      <c r="J223" s="3">
        <f t="shared" si="49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0"/>
        <v>YES</v>
      </c>
      <c r="Q223" t="str">
        <f t="shared" si="51"/>
        <v>NO</v>
      </c>
      <c r="R223" t="str">
        <f t="shared" si="52"/>
        <v>NO</v>
      </c>
      <c r="T223" t="s">
        <v>14</v>
      </c>
      <c r="U223" t="str">
        <f t="shared" si="53"/>
        <v>Massachusetts Ave</v>
      </c>
      <c r="V223" t="s">
        <v>189</v>
      </c>
      <c r="W223" t="str">
        <f t="shared" si="54"/>
        <v>Windsor St</v>
      </c>
      <c r="X223" t="str">
        <f>IF(ISBLANK(S223),"Intersection","Non-Intersection")</f>
        <v>Intersection</v>
      </c>
      <c r="Y223" t="s">
        <v>595</v>
      </c>
      <c r="Z223" t="str">
        <f t="shared" si="55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2"/>
        <v>40179</v>
      </c>
      <c r="D224" s="4">
        <f t="shared" si="43"/>
        <v>0.17260273972602741</v>
      </c>
      <c r="E224" s="3">
        <f t="shared" si="44"/>
        <v>2010</v>
      </c>
      <c r="F224" s="3">
        <f t="shared" si="45"/>
        <v>3</v>
      </c>
      <c r="G224" s="3">
        <f t="shared" si="46"/>
        <v>5</v>
      </c>
      <c r="H224" s="3">
        <f t="shared" si="47"/>
        <v>19</v>
      </c>
      <c r="I224" s="3">
        <f t="shared" si="48"/>
        <v>14</v>
      </c>
      <c r="J224" s="3">
        <f t="shared" si="49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0"/>
        <v>YES</v>
      </c>
      <c r="Q224" t="str">
        <f t="shared" si="51"/>
        <v>NO</v>
      </c>
      <c r="R224" t="str">
        <f t="shared" si="52"/>
        <v>NO</v>
      </c>
      <c r="T224" t="s">
        <v>587</v>
      </c>
      <c r="U224" t="str">
        <f t="shared" si="53"/>
        <v>Webster Ave</v>
      </c>
      <c r="V224" t="s">
        <v>75</v>
      </c>
      <c r="W224" t="str">
        <f t="shared" si="54"/>
        <v>Elm St</v>
      </c>
      <c r="X224" t="str">
        <f>IF(ISBLANK(S224),"Intersection","Non-Intersection")</f>
        <v>Intersection</v>
      </c>
      <c r="Y224" t="s">
        <v>597</v>
      </c>
      <c r="Z224" t="str">
        <f t="shared" si="55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2"/>
        <v>40179</v>
      </c>
      <c r="D225" s="4">
        <f t="shared" si="43"/>
        <v>0.17260273972602741</v>
      </c>
      <c r="E225" s="3">
        <f t="shared" si="44"/>
        <v>2010</v>
      </c>
      <c r="F225" s="3">
        <f t="shared" si="45"/>
        <v>3</v>
      </c>
      <c r="G225" s="3">
        <f t="shared" si="46"/>
        <v>5</v>
      </c>
      <c r="H225" s="3">
        <f t="shared" si="47"/>
        <v>21</v>
      </c>
      <c r="I225" s="3">
        <f t="shared" si="48"/>
        <v>34</v>
      </c>
      <c r="J225" s="3">
        <f t="shared" si="49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0"/>
        <v>YES</v>
      </c>
      <c r="Q225" t="str">
        <f t="shared" si="51"/>
        <v>NO</v>
      </c>
      <c r="R225" t="str">
        <f t="shared" si="52"/>
        <v>NO</v>
      </c>
      <c r="S225">
        <v>567</v>
      </c>
      <c r="T225" t="s">
        <v>14</v>
      </c>
      <c r="U225" t="str">
        <f t="shared" si="53"/>
        <v>Massachusetts Ave</v>
      </c>
      <c r="W225" t="str">
        <f t="shared" si="54"/>
        <v/>
      </c>
      <c r="X225" t="str">
        <f>IF(ISBLANK(S225),"Intersection","Non-Intersection")</f>
        <v>Non-Intersection</v>
      </c>
      <c r="Y225" t="s">
        <v>599</v>
      </c>
      <c r="Z225" t="str">
        <f t="shared" si="55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2"/>
        <v>40179</v>
      </c>
      <c r="D226" s="4">
        <f t="shared" si="43"/>
        <v>0.17260273972602741</v>
      </c>
      <c r="E226" s="3">
        <f t="shared" si="44"/>
        <v>2010</v>
      </c>
      <c r="F226" s="3">
        <f t="shared" si="45"/>
        <v>3</v>
      </c>
      <c r="G226" s="3">
        <f t="shared" si="46"/>
        <v>5</v>
      </c>
      <c r="H226" s="3">
        <f t="shared" si="47"/>
        <v>22</v>
      </c>
      <c r="I226" s="3">
        <f t="shared" si="48"/>
        <v>57</v>
      </c>
      <c r="J226" s="3">
        <f t="shared" si="49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0"/>
        <v>YES</v>
      </c>
      <c r="Q226" t="str">
        <f t="shared" si="51"/>
        <v>NO</v>
      </c>
      <c r="R226" t="str">
        <f t="shared" si="52"/>
        <v>NO</v>
      </c>
      <c r="T226" t="s">
        <v>14</v>
      </c>
      <c r="U226" t="str">
        <f t="shared" si="53"/>
        <v>Massachusetts Ave</v>
      </c>
      <c r="V226" t="s">
        <v>601</v>
      </c>
      <c r="W226" t="str">
        <f t="shared" si="54"/>
        <v>Cedar St</v>
      </c>
      <c r="X226" t="str">
        <f>IF(ISBLANK(S226),"Intersection","Non-Intersection")</f>
        <v>Intersection</v>
      </c>
      <c r="Y226" t="s">
        <v>602</v>
      </c>
      <c r="Z226" t="str">
        <f t="shared" si="55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2"/>
        <v>40179</v>
      </c>
      <c r="D227" s="4">
        <f t="shared" si="43"/>
        <v>0.17534246575342466</v>
      </c>
      <c r="E227" s="3">
        <f t="shared" si="44"/>
        <v>2010</v>
      </c>
      <c r="F227" s="3">
        <f t="shared" si="45"/>
        <v>3</v>
      </c>
      <c r="G227" s="3">
        <f t="shared" si="46"/>
        <v>6</v>
      </c>
      <c r="H227" s="3">
        <f t="shared" si="47"/>
        <v>11</v>
      </c>
      <c r="I227" s="3">
        <f t="shared" si="48"/>
        <v>0</v>
      </c>
      <c r="J227" s="3">
        <f t="shared" si="49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0"/>
        <v>YES</v>
      </c>
      <c r="Q227" t="str">
        <f t="shared" si="51"/>
        <v>NO</v>
      </c>
      <c r="R227" t="str">
        <f t="shared" si="52"/>
        <v>NO</v>
      </c>
      <c r="T227" t="s">
        <v>170</v>
      </c>
      <c r="U227" t="str">
        <f t="shared" si="53"/>
        <v>Alewife Brook Pky</v>
      </c>
      <c r="W227" t="str">
        <f t="shared" si="54"/>
        <v/>
      </c>
      <c r="X227" t="str">
        <f>IF(ISBLANK(S227),"Intersection","Non-Intersection")</f>
        <v>Intersection</v>
      </c>
      <c r="Y227" t="s">
        <v>604</v>
      </c>
      <c r="Z227" t="str">
        <f t="shared" si="55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2"/>
        <v>40179</v>
      </c>
      <c r="D228" s="4">
        <f t="shared" si="43"/>
        <v>0.17534246575342466</v>
      </c>
      <c r="E228" s="3">
        <f t="shared" si="44"/>
        <v>2010</v>
      </c>
      <c r="F228" s="3">
        <f t="shared" si="45"/>
        <v>3</v>
      </c>
      <c r="G228" s="3">
        <f t="shared" si="46"/>
        <v>6</v>
      </c>
      <c r="H228" s="3">
        <f t="shared" si="47"/>
        <v>14</v>
      </c>
      <c r="I228" s="3">
        <f t="shared" si="48"/>
        <v>13</v>
      </c>
      <c r="J228" s="3">
        <f t="shared" si="49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0"/>
        <v>YES</v>
      </c>
      <c r="Q228" t="str">
        <f t="shared" si="51"/>
        <v>NO</v>
      </c>
      <c r="R228" t="str">
        <f t="shared" si="52"/>
        <v>NO</v>
      </c>
      <c r="S228">
        <v>1010</v>
      </c>
      <c r="T228" t="s">
        <v>14</v>
      </c>
      <c r="U228" t="str">
        <f t="shared" si="53"/>
        <v>Massachusetts Ave</v>
      </c>
      <c r="W228" t="str">
        <f t="shared" si="54"/>
        <v/>
      </c>
      <c r="X228" t="str">
        <f>IF(ISBLANK(S228),"Intersection","Non-Intersection")</f>
        <v>Non-Intersection</v>
      </c>
      <c r="Y228" t="s">
        <v>605</v>
      </c>
      <c r="Z228" t="str">
        <f t="shared" si="55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2"/>
        <v>40179</v>
      </c>
      <c r="D229" s="4">
        <f t="shared" si="43"/>
        <v>0.17534246575342466</v>
      </c>
      <c r="E229" s="3">
        <f t="shared" si="44"/>
        <v>2010</v>
      </c>
      <c r="F229" s="3">
        <f t="shared" si="45"/>
        <v>3</v>
      </c>
      <c r="G229" s="3">
        <f t="shared" si="46"/>
        <v>6</v>
      </c>
      <c r="H229" s="3">
        <f t="shared" si="47"/>
        <v>21</v>
      </c>
      <c r="I229" s="3">
        <f t="shared" si="48"/>
        <v>20</v>
      </c>
      <c r="J229" s="3">
        <f t="shared" si="49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0"/>
        <v>YES</v>
      </c>
      <c r="Q229" t="str">
        <f t="shared" si="51"/>
        <v>NO</v>
      </c>
      <c r="R229" t="str">
        <f t="shared" si="52"/>
        <v>NO</v>
      </c>
      <c r="S229">
        <v>1105</v>
      </c>
      <c r="T229" t="s">
        <v>14</v>
      </c>
      <c r="U229" t="str">
        <f t="shared" si="53"/>
        <v>Massachusetts Ave</v>
      </c>
      <c r="W229" t="str">
        <f t="shared" si="54"/>
        <v/>
      </c>
      <c r="X229" t="str">
        <f>IF(ISBLANK(S229),"Intersection","Non-Intersection")</f>
        <v>Non-Intersection</v>
      </c>
      <c r="Y229" t="s">
        <v>607</v>
      </c>
      <c r="Z229" t="str">
        <f t="shared" si="55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2"/>
        <v>40179</v>
      </c>
      <c r="D230" s="4">
        <f t="shared" si="43"/>
        <v>0.17534246575342466</v>
      </c>
      <c r="E230" s="3">
        <f t="shared" si="44"/>
        <v>2010</v>
      </c>
      <c r="F230" s="3">
        <f t="shared" si="45"/>
        <v>3</v>
      </c>
      <c r="G230" s="3">
        <f t="shared" si="46"/>
        <v>6</v>
      </c>
      <c r="H230" s="3">
        <f t="shared" si="47"/>
        <v>14</v>
      </c>
      <c r="I230" s="3">
        <f t="shared" si="48"/>
        <v>0</v>
      </c>
      <c r="J230" s="3">
        <f t="shared" si="49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0"/>
        <v>YES</v>
      </c>
      <c r="Q230" t="str">
        <f t="shared" si="51"/>
        <v>NO</v>
      </c>
      <c r="R230" t="str">
        <f t="shared" si="52"/>
        <v>NO</v>
      </c>
      <c r="S230">
        <v>10</v>
      </c>
      <c r="T230" t="s">
        <v>116</v>
      </c>
      <c r="U230" t="str">
        <f t="shared" si="53"/>
        <v>Chestnut St</v>
      </c>
      <c r="W230" t="str">
        <f t="shared" si="54"/>
        <v/>
      </c>
      <c r="X230" t="str">
        <f>IF(ISBLANK(S230),"Intersection","Non-Intersection")</f>
        <v>Non-Intersection</v>
      </c>
      <c r="Y230" t="s">
        <v>609</v>
      </c>
      <c r="Z230" t="str">
        <f t="shared" si="55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2"/>
        <v>40179</v>
      </c>
      <c r="D231" s="4">
        <f t="shared" si="43"/>
        <v>0.17808219178082191</v>
      </c>
      <c r="E231" s="3">
        <f t="shared" si="44"/>
        <v>2010</v>
      </c>
      <c r="F231" s="3">
        <f t="shared" si="45"/>
        <v>3</v>
      </c>
      <c r="G231" s="3">
        <f t="shared" si="46"/>
        <v>7</v>
      </c>
      <c r="H231" s="3">
        <f t="shared" si="47"/>
        <v>9</v>
      </c>
      <c r="I231" s="3">
        <f t="shared" si="48"/>
        <v>14</v>
      </c>
      <c r="J231" s="3">
        <f t="shared" si="49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0"/>
        <v>YES</v>
      </c>
      <c r="Q231" t="str">
        <f t="shared" si="51"/>
        <v>NO</v>
      </c>
      <c r="R231" t="str">
        <f t="shared" si="52"/>
        <v>YES</v>
      </c>
      <c r="S231">
        <v>91</v>
      </c>
      <c r="T231" t="s">
        <v>195</v>
      </c>
      <c r="U231" t="str">
        <f t="shared" si="53"/>
        <v>Sidney St</v>
      </c>
      <c r="W231" t="str">
        <f t="shared" si="54"/>
        <v/>
      </c>
      <c r="X231" t="str">
        <f>IF(ISBLANK(S231),"Intersection","Non-Intersection")</f>
        <v>Non-Intersection</v>
      </c>
      <c r="Y231" t="s">
        <v>613</v>
      </c>
      <c r="Z231" t="str">
        <f t="shared" si="55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2"/>
        <v>40179</v>
      </c>
      <c r="D232" s="4">
        <f t="shared" si="43"/>
        <v>0.18082191780821918</v>
      </c>
      <c r="E232" s="3">
        <f t="shared" si="44"/>
        <v>2010</v>
      </c>
      <c r="F232" s="3">
        <f t="shared" si="45"/>
        <v>3</v>
      </c>
      <c r="G232" s="3">
        <f t="shared" si="46"/>
        <v>8</v>
      </c>
      <c r="H232" s="3">
        <f t="shared" si="47"/>
        <v>7</v>
      </c>
      <c r="I232" s="3">
        <f t="shared" si="48"/>
        <v>28</v>
      </c>
      <c r="J232" s="3">
        <f t="shared" si="49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0"/>
        <v>YES</v>
      </c>
      <c r="Q232" t="str">
        <f t="shared" si="51"/>
        <v>NO</v>
      </c>
      <c r="R232" t="str">
        <f t="shared" si="52"/>
        <v>YES</v>
      </c>
      <c r="T232" t="s">
        <v>105</v>
      </c>
      <c r="U232" t="str">
        <f t="shared" si="53"/>
        <v>Broadway</v>
      </c>
      <c r="V232" t="s">
        <v>342</v>
      </c>
      <c r="W232" t="str">
        <f t="shared" si="54"/>
        <v>Prospect St</v>
      </c>
      <c r="X232" t="str">
        <f>IF(ISBLANK(S232),"Intersection","Non-Intersection")</f>
        <v>Intersection</v>
      </c>
      <c r="Y232" t="s">
        <v>343</v>
      </c>
      <c r="Z232" t="str">
        <f t="shared" si="55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2"/>
        <v>40179</v>
      </c>
      <c r="D233" s="4">
        <f t="shared" si="43"/>
        <v>0.18082191780821918</v>
      </c>
      <c r="E233" s="3">
        <f t="shared" si="44"/>
        <v>2010</v>
      </c>
      <c r="F233" s="3">
        <f t="shared" si="45"/>
        <v>3</v>
      </c>
      <c r="G233" s="3">
        <f t="shared" si="46"/>
        <v>8</v>
      </c>
      <c r="H233" s="3">
        <f t="shared" si="47"/>
        <v>12</v>
      </c>
      <c r="I233" s="3">
        <f t="shared" si="48"/>
        <v>0</v>
      </c>
      <c r="J233" s="3">
        <f t="shared" si="49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0"/>
        <v>YES</v>
      </c>
      <c r="Q233" t="str">
        <f t="shared" si="51"/>
        <v>YES</v>
      </c>
      <c r="R233" t="str">
        <f t="shared" si="52"/>
        <v>NO</v>
      </c>
      <c r="T233" t="s">
        <v>185</v>
      </c>
      <c r="U233" t="str">
        <f t="shared" si="53"/>
        <v>Garden St</v>
      </c>
      <c r="V233" t="s">
        <v>296</v>
      </c>
      <c r="W233" t="str">
        <f t="shared" si="54"/>
        <v>Mason St</v>
      </c>
      <c r="X233" t="str">
        <f>IF(ISBLANK(S233),"Intersection","Non-Intersection")</f>
        <v>Intersection</v>
      </c>
      <c r="Y233" t="s">
        <v>594</v>
      </c>
      <c r="Z233" t="str">
        <f t="shared" si="55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2"/>
        <v>40179</v>
      </c>
      <c r="D234" s="4">
        <f t="shared" si="43"/>
        <v>0.18356164383561643</v>
      </c>
      <c r="E234" s="3">
        <f t="shared" si="44"/>
        <v>2010</v>
      </c>
      <c r="F234" s="3">
        <f t="shared" si="45"/>
        <v>3</v>
      </c>
      <c r="G234" s="3">
        <f t="shared" si="46"/>
        <v>9</v>
      </c>
      <c r="H234" s="3">
        <f t="shared" si="47"/>
        <v>16</v>
      </c>
      <c r="I234" s="3">
        <f t="shared" si="48"/>
        <v>45</v>
      </c>
      <c r="J234" s="3">
        <f t="shared" si="49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0"/>
        <v>YES</v>
      </c>
      <c r="Q234" t="str">
        <f t="shared" si="51"/>
        <v>NO</v>
      </c>
      <c r="R234" t="str">
        <f t="shared" si="52"/>
        <v>NO</v>
      </c>
      <c r="S234">
        <v>195</v>
      </c>
      <c r="T234" t="s">
        <v>74</v>
      </c>
      <c r="U234" t="str">
        <f t="shared" si="53"/>
        <v>Hampshire St</v>
      </c>
      <c r="W234" t="str">
        <f t="shared" si="54"/>
        <v/>
      </c>
      <c r="X234" t="str">
        <f>IF(ISBLANK(S234),"Intersection","Non-Intersection")</f>
        <v>Non-Intersection</v>
      </c>
      <c r="Y234" t="s">
        <v>615</v>
      </c>
      <c r="Z234" t="str">
        <f t="shared" si="55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2"/>
        <v>40179</v>
      </c>
      <c r="D235" s="4">
        <f t="shared" si="43"/>
        <v>0.18356164383561643</v>
      </c>
      <c r="E235" s="3">
        <f t="shared" si="44"/>
        <v>2010</v>
      </c>
      <c r="F235" s="3">
        <f t="shared" si="45"/>
        <v>3</v>
      </c>
      <c r="G235" s="3">
        <f t="shared" si="46"/>
        <v>9</v>
      </c>
      <c r="H235" s="3">
        <f t="shared" si="47"/>
        <v>11</v>
      </c>
      <c r="I235" s="3">
        <f t="shared" si="48"/>
        <v>6</v>
      </c>
      <c r="J235" s="3">
        <f t="shared" si="49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0"/>
        <v>YES</v>
      </c>
      <c r="Q235" t="str">
        <f t="shared" si="51"/>
        <v>NO</v>
      </c>
      <c r="R235" t="str">
        <f t="shared" si="52"/>
        <v>NO</v>
      </c>
      <c r="S235">
        <v>725</v>
      </c>
      <c r="T235" t="s">
        <v>186</v>
      </c>
      <c r="U235" t="str">
        <f t="shared" si="53"/>
        <v>Concord Ave</v>
      </c>
      <c r="W235" t="str">
        <f t="shared" si="54"/>
        <v/>
      </c>
      <c r="X235" t="str">
        <f>IF(ISBLANK(S235),"Intersection","Non-Intersection")</f>
        <v>Non-Intersection</v>
      </c>
      <c r="Y235" t="s">
        <v>617</v>
      </c>
      <c r="Z235" t="str">
        <f t="shared" si="55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2"/>
        <v>40179</v>
      </c>
      <c r="D236" s="4">
        <f t="shared" si="43"/>
        <v>0.18630136986301371</v>
      </c>
      <c r="E236" s="3">
        <f t="shared" si="44"/>
        <v>2010</v>
      </c>
      <c r="F236" s="3">
        <f t="shared" si="45"/>
        <v>3</v>
      </c>
      <c r="G236" s="3">
        <f t="shared" si="46"/>
        <v>10</v>
      </c>
      <c r="H236" s="3">
        <f t="shared" si="47"/>
        <v>17</v>
      </c>
      <c r="I236" s="3">
        <f t="shared" si="48"/>
        <v>16</v>
      </c>
      <c r="J236" s="3">
        <f t="shared" si="49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0"/>
        <v>YES</v>
      </c>
      <c r="Q236" t="str">
        <f t="shared" si="51"/>
        <v>NO</v>
      </c>
      <c r="R236" t="str">
        <f t="shared" si="52"/>
        <v>NO</v>
      </c>
      <c r="S236">
        <v>842</v>
      </c>
      <c r="T236" t="s">
        <v>14</v>
      </c>
      <c r="U236" t="str">
        <f t="shared" si="53"/>
        <v>Massachusetts Ave</v>
      </c>
      <c r="W236" t="str">
        <f t="shared" si="54"/>
        <v/>
      </c>
      <c r="X236" t="str">
        <f>IF(ISBLANK(S236),"Intersection","Non-Intersection")</f>
        <v>Non-Intersection</v>
      </c>
      <c r="Y236" t="s">
        <v>620</v>
      </c>
      <c r="Z236" t="str">
        <f t="shared" si="55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2"/>
        <v>40179</v>
      </c>
      <c r="D237" s="4">
        <f t="shared" si="43"/>
        <v>0.18630136986301371</v>
      </c>
      <c r="E237" s="3">
        <f t="shared" si="44"/>
        <v>2010</v>
      </c>
      <c r="F237" s="3">
        <f t="shared" si="45"/>
        <v>3</v>
      </c>
      <c r="G237" s="3">
        <f t="shared" si="46"/>
        <v>10</v>
      </c>
      <c r="H237" s="3">
        <f t="shared" si="47"/>
        <v>9</v>
      </c>
      <c r="I237" s="3">
        <f t="shared" si="48"/>
        <v>4</v>
      </c>
      <c r="J237" s="3">
        <f t="shared" si="49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0"/>
        <v>YES</v>
      </c>
      <c r="Q237" t="str">
        <f t="shared" si="51"/>
        <v>NO</v>
      </c>
      <c r="R237" t="str">
        <f t="shared" si="52"/>
        <v>NO</v>
      </c>
      <c r="S237">
        <v>625</v>
      </c>
      <c r="T237" t="s">
        <v>186</v>
      </c>
      <c r="U237" t="str">
        <f t="shared" si="53"/>
        <v>Concord Ave</v>
      </c>
      <c r="W237" t="str">
        <f t="shared" si="54"/>
        <v/>
      </c>
      <c r="X237" t="str">
        <f>IF(ISBLANK(S237),"Intersection","Non-Intersection")</f>
        <v>Non-Intersection</v>
      </c>
      <c r="Y237" t="s">
        <v>622</v>
      </c>
      <c r="Z237" t="str">
        <f t="shared" si="55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2"/>
        <v>40179</v>
      </c>
      <c r="D238" s="4">
        <f t="shared" si="43"/>
        <v>0.18630136986301371</v>
      </c>
      <c r="E238" s="3">
        <f t="shared" si="44"/>
        <v>2010</v>
      </c>
      <c r="F238" s="3">
        <f t="shared" si="45"/>
        <v>3</v>
      </c>
      <c r="G238" s="3">
        <f t="shared" si="46"/>
        <v>10</v>
      </c>
      <c r="H238" s="3">
        <f t="shared" si="47"/>
        <v>13</v>
      </c>
      <c r="I238" s="3">
        <f t="shared" si="48"/>
        <v>50</v>
      </c>
      <c r="J238" s="3">
        <f t="shared" si="49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0"/>
        <v>YES</v>
      </c>
      <c r="Q238" t="str">
        <f t="shared" si="51"/>
        <v>NO</v>
      </c>
      <c r="R238" t="str">
        <f t="shared" si="52"/>
        <v>NO</v>
      </c>
      <c r="T238" t="s">
        <v>202</v>
      </c>
      <c r="U238" t="str">
        <f t="shared" si="53"/>
        <v>Vassar St</v>
      </c>
      <c r="V238" t="s">
        <v>32</v>
      </c>
      <c r="W238" t="str">
        <f t="shared" si="54"/>
        <v>Main St</v>
      </c>
      <c r="X238" t="str">
        <f>IF(ISBLANK(S238),"Intersection","Non-Intersection")</f>
        <v>Intersection</v>
      </c>
      <c r="Y238" t="s">
        <v>624</v>
      </c>
      <c r="Z238" t="str">
        <f t="shared" si="55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2"/>
        <v>40179</v>
      </c>
      <c r="D239" s="4">
        <f t="shared" si="43"/>
        <v>0.18630136986301371</v>
      </c>
      <c r="E239" s="3">
        <f t="shared" si="44"/>
        <v>2010</v>
      </c>
      <c r="F239" s="3">
        <f t="shared" si="45"/>
        <v>3</v>
      </c>
      <c r="G239" s="3">
        <f t="shared" si="46"/>
        <v>10</v>
      </c>
      <c r="H239" s="3">
        <f t="shared" si="47"/>
        <v>22</v>
      </c>
      <c r="I239" s="3">
        <f t="shared" si="48"/>
        <v>35</v>
      </c>
      <c r="J239" s="3">
        <f t="shared" si="49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0"/>
        <v>YES</v>
      </c>
      <c r="Q239" t="str">
        <f t="shared" si="51"/>
        <v>NO</v>
      </c>
      <c r="R239" t="str">
        <f t="shared" si="52"/>
        <v>NO</v>
      </c>
      <c r="S239">
        <v>2383</v>
      </c>
      <c r="T239" t="s">
        <v>14</v>
      </c>
      <c r="U239" t="str">
        <f t="shared" si="53"/>
        <v>Massachusetts Ave</v>
      </c>
      <c r="W239" t="str">
        <f t="shared" si="54"/>
        <v/>
      </c>
      <c r="X239" t="str">
        <f>IF(ISBLANK(S239),"Intersection","Non-Intersection")</f>
        <v>Non-Intersection</v>
      </c>
      <c r="Y239" t="s">
        <v>626</v>
      </c>
      <c r="Z239" t="str">
        <f t="shared" si="55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56">EOMONTH(B240,MONTH(B240)*-1)+1</f>
        <v>40179</v>
      </c>
      <c r="D240" s="4">
        <f t="shared" ref="D240:D303" si="57">YEARFRAC(C240,B240,1)</f>
        <v>0.18904109589041096</v>
      </c>
      <c r="E240" s="3">
        <f t="shared" ref="E240:E303" si="58">YEAR(B240)</f>
        <v>2010</v>
      </c>
      <c r="F240" s="3">
        <f t="shared" ref="F240:F303" si="59">MONTH(B240)</f>
        <v>3</v>
      </c>
      <c r="G240" s="3">
        <f t="shared" ref="G240:G303" si="60">DAY(B240)</f>
        <v>11</v>
      </c>
      <c r="H240" s="3">
        <f t="shared" ref="H240:H303" si="61">HOUR(B240)</f>
        <v>23</v>
      </c>
      <c r="I240" s="3">
        <f t="shared" ref="I240:I303" si="62">MINUTE(B240)</f>
        <v>0</v>
      </c>
      <c r="J240" s="3">
        <f t="shared" ref="J240:J303" si="63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4">IF(OR(N240="Auto",O240="Auto"),"YES",IF(OR(N240="Taxi",O240="Taxi"),"YES",IF(OR(N240="Van",O240="Van"),"YES",IF(OR(N240="Truck",O240="Truck"),"YES","NO"))))</f>
        <v>YES</v>
      </c>
      <c r="Q240" t="str">
        <f t="shared" ref="Q240:Q303" si="65">IF(OR(N240="Bicycle",O240="Bicycle"),"YES","NO")</f>
        <v>NO</v>
      </c>
      <c r="R240" t="str">
        <f t="shared" ref="R240:R303" si="66">IF(OR(N240="Pedestrian",O240="Pedestrian"),"YES","NO")</f>
        <v>NO</v>
      </c>
      <c r="S240">
        <v>20</v>
      </c>
      <c r="T240" t="s">
        <v>479</v>
      </c>
      <c r="U240" t="str">
        <f t="shared" si="53"/>
        <v>Callender St</v>
      </c>
      <c r="W240" t="str">
        <f t="shared" si="54"/>
        <v/>
      </c>
      <c r="X240" t="str">
        <f>IF(ISBLANK(S240),"Intersection","Non-Intersection")</f>
        <v>Non-Intersection</v>
      </c>
      <c r="Y240" t="s">
        <v>628</v>
      </c>
      <c r="Z240" t="str">
        <f t="shared" si="55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56"/>
        <v>40179</v>
      </c>
      <c r="D241" s="4">
        <f t="shared" si="57"/>
        <v>0.18904109589041096</v>
      </c>
      <c r="E241" s="3">
        <f t="shared" si="58"/>
        <v>2010</v>
      </c>
      <c r="F241" s="3">
        <f t="shared" si="59"/>
        <v>3</v>
      </c>
      <c r="G241" s="3">
        <f t="shared" si="60"/>
        <v>11</v>
      </c>
      <c r="H241" s="3">
        <f t="shared" si="61"/>
        <v>9</v>
      </c>
      <c r="I241" s="3">
        <f t="shared" si="62"/>
        <v>30</v>
      </c>
      <c r="J241" s="3">
        <f t="shared" si="63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4"/>
        <v>YES</v>
      </c>
      <c r="Q241" t="str">
        <f t="shared" si="65"/>
        <v>NO</v>
      </c>
      <c r="R241" t="str">
        <f t="shared" si="66"/>
        <v>NO</v>
      </c>
      <c r="S241">
        <v>197</v>
      </c>
      <c r="T241" t="s">
        <v>577</v>
      </c>
      <c r="U241" t="str">
        <f t="shared" si="53"/>
        <v>Vassal Ln</v>
      </c>
      <c r="W241" t="str">
        <f t="shared" si="54"/>
        <v/>
      </c>
      <c r="X241" t="str">
        <f>IF(ISBLANK(S241),"Intersection","Non-Intersection")</f>
        <v>Non-Intersection</v>
      </c>
      <c r="Y241" t="s">
        <v>630</v>
      </c>
      <c r="Z241" t="str">
        <f t="shared" si="55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56"/>
        <v>40179</v>
      </c>
      <c r="D242" s="4">
        <f t="shared" si="57"/>
        <v>0.18904109589041096</v>
      </c>
      <c r="E242" s="3">
        <f t="shared" si="58"/>
        <v>2010</v>
      </c>
      <c r="F242" s="3">
        <f t="shared" si="59"/>
        <v>3</v>
      </c>
      <c r="G242" s="3">
        <f t="shared" si="60"/>
        <v>11</v>
      </c>
      <c r="H242" s="3">
        <f t="shared" si="61"/>
        <v>18</v>
      </c>
      <c r="I242" s="3">
        <f t="shared" si="62"/>
        <v>20</v>
      </c>
      <c r="J242" s="3">
        <f t="shared" si="63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4"/>
        <v>YES</v>
      </c>
      <c r="Q242" t="str">
        <f t="shared" si="65"/>
        <v>NO</v>
      </c>
      <c r="R242" t="str">
        <f t="shared" si="66"/>
        <v>NO</v>
      </c>
      <c r="S242">
        <v>1819</v>
      </c>
      <c r="T242" t="s">
        <v>14</v>
      </c>
      <c r="U242" t="str">
        <f t="shared" si="53"/>
        <v>Massachusetts Ave</v>
      </c>
      <c r="W242" t="str">
        <f t="shared" si="54"/>
        <v/>
      </c>
      <c r="X242" t="str">
        <f>IF(ISBLANK(S242),"Intersection","Non-Intersection")</f>
        <v>Non-Intersection</v>
      </c>
      <c r="Y242" t="s">
        <v>632</v>
      </c>
      <c r="Z242" t="str">
        <f t="shared" si="55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56"/>
        <v>40179</v>
      </c>
      <c r="D243" s="4">
        <f t="shared" si="57"/>
        <v>0.18904109589041096</v>
      </c>
      <c r="E243" s="3">
        <f t="shared" si="58"/>
        <v>2010</v>
      </c>
      <c r="F243" s="3">
        <f t="shared" si="59"/>
        <v>3</v>
      </c>
      <c r="G243" s="3">
        <f t="shared" si="60"/>
        <v>11</v>
      </c>
      <c r="H243" s="3">
        <f t="shared" si="61"/>
        <v>10</v>
      </c>
      <c r="I243" s="3">
        <f t="shared" si="62"/>
        <v>30</v>
      </c>
      <c r="J243" s="3">
        <f t="shared" si="63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4"/>
        <v>YES</v>
      </c>
      <c r="Q243" t="str">
        <f t="shared" si="65"/>
        <v>NO</v>
      </c>
      <c r="R243" t="str">
        <f t="shared" si="66"/>
        <v>NO</v>
      </c>
      <c r="S243">
        <v>730</v>
      </c>
      <c r="T243" t="s">
        <v>203</v>
      </c>
      <c r="U243" t="str">
        <f t="shared" si="53"/>
        <v>Memorial Dr</v>
      </c>
      <c r="W243" t="str">
        <f t="shared" si="54"/>
        <v/>
      </c>
      <c r="X243" t="str">
        <f>IF(ISBLANK(S243),"Intersection","Non-Intersection")</f>
        <v>Non-Intersection</v>
      </c>
      <c r="Y243" t="s">
        <v>236</v>
      </c>
      <c r="Z243" t="str">
        <f t="shared" si="55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56"/>
        <v>40179</v>
      </c>
      <c r="D244" s="4">
        <f t="shared" si="57"/>
        <v>0.19178082191780821</v>
      </c>
      <c r="E244" s="3">
        <f t="shared" si="58"/>
        <v>2010</v>
      </c>
      <c r="F244" s="3">
        <f t="shared" si="59"/>
        <v>3</v>
      </c>
      <c r="G244" s="3">
        <f t="shared" si="60"/>
        <v>12</v>
      </c>
      <c r="H244" s="3">
        <f t="shared" si="61"/>
        <v>18</v>
      </c>
      <c r="I244" s="3">
        <f t="shared" si="62"/>
        <v>17</v>
      </c>
      <c r="J244" s="3">
        <f t="shared" si="63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4"/>
        <v>YES</v>
      </c>
      <c r="Q244" t="str">
        <f t="shared" si="65"/>
        <v>NO</v>
      </c>
      <c r="R244" t="str">
        <f t="shared" si="66"/>
        <v>YES</v>
      </c>
      <c r="S244">
        <v>5</v>
      </c>
      <c r="T244" t="s">
        <v>634</v>
      </c>
      <c r="U244" t="str">
        <f t="shared" si="53"/>
        <v>Chauncy St</v>
      </c>
      <c r="W244" t="str">
        <f t="shared" si="54"/>
        <v/>
      </c>
      <c r="X244" t="str">
        <f>IF(ISBLANK(S244),"Intersection","Non-Intersection")</f>
        <v>Non-Intersection</v>
      </c>
      <c r="Y244" t="s">
        <v>635</v>
      </c>
      <c r="Z244" t="str">
        <f t="shared" si="55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56"/>
        <v>40179</v>
      </c>
      <c r="D245" s="4">
        <f t="shared" si="57"/>
        <v>0.19452054794520549</v>
      </c>
      <c r="E245" s="3">
        <f t="shared" si="58"/>
        <v>2010</v>
      </c>
      <c r="F245" s="3">
        <f t="shared" si="59"/>
        <v>3</v>
      </c>
      <c r="G245" s="3">
        <f t="shared" si="60"/>
        <v>13</v>
      </c>
      <c r="H245" s="3">
        <f t="shared" si="61"/>
        <v>23</v>
      </c>
      <c r="I245" s="3">
        <f t="shared" si="62"/>
        <v>35</v>
      </c>
      <c r="J245" s="3">
        <f t="shared" si="63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4"/>
        <v>NO</v>
      </c>
      <c r="Q245" t="str">
        <f t="shared" si="65"/>
        <v>NO</v>
      </c>
      <c r="R245" t="str">
        <f t="shared" si="66"/>
        <v>YES</v>
      </c>
      <c r="T245" t="s">
        <v>14</v>
      </c>
      <c r="U245" t="str">
        <f t="shared" si="53"/>
        <v>Massachusetts Ave</v>
      </c>
      <c r="V245" t="s">
        <v>119</v>
      </c>
      <c r="W245" t="str">
        <f t="shared" si="54"/>
        <v>Albany St</v>
      </c>
      <c r="X245" t="str">
        <f>IF(ISBLANK(S245),"Intersection","Non-Intersection")</f>
        <v>Intersection</v>
      </c>
      <c r="Y245" t="s">
        <v>247</v>
      </c>
      <c r="Z245" t="str">
        <f t="shared" si="55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56"/>
        <v>40179</v>
      </c>
      <c r="D246" s="4">
        <f t="shared" si="57"/>
        <v>0.19452054794520549</v>
      </c>
      <c r="E246" s="3">
        <f t="shared" si="58"/>
        <v>2010</v>
      </c>
      <c r="F246" s="3">
        <f t="shared" si="59"/>
        <v>3</v>
      </c>
      <c r="G246" s="3">
        <f t="shared" si="60"/>
        <v>13</v>
      </c>
      <c r="H246" s="3">
        <f t="shared" si="61"/>
        <v>17</v>
      </c>
      <c r="I246" s="3">
        <f t="shared" si="62"/>
        <v>39</v>
      </c>
      <c r="J246" s="3">
        <f t="shared" si="63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4"/>
        <v>YES</v>
      </c>
      <c r="Q246" t="str">
        <f t="shared" si="65"/>
        <v>NO</v>
      </c>
      <c r="R246" t="str">
        <f t="shared" si="66"/>
        <v>NO</v>
      </c>
      <c r="T246" t="s">
        <v>74</v>
      </c>
      <c r="U246" t="str">
        <f t="shared" si="53"/>
        <v>Hampshire St</v>
      </c>
      <c r="V246" t="s">
        <v>342</v>
      </c>
      <c r="W246" t="str">
        <f t="shared" si="54"/>
        <v>Prospect St</v>
      </c>
      <c r="X246" t="str">
        <f>IF(ISBLANK(S246),"Intersection","Non-Intersection")</f>
        <v>Intersection</v>
      </c>
      <c r="Y246" t="s">
        <v>462</v>
      </c>
      <c r="Z246" t="str">
        <f t="shared" si="55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56"/>
        <v>40179</v>
      </c>
      <c r="D247" s="4">
        <f t="shared" si="57"/>
        <v>0.19726027397260273</v>
      </c>
      <c r="E247" s="3">
        <f t="shared" si="58"/>
        <v>2010</v>
      </c>
      <c r="F247" s="3">
        <f t="shared" si="59"/>
        <v>3</v>
      </c>
      <c r="G247" s="3">
        <f t="shared" si="60"/>
        <v>14</v>
      </c>
      <c r="H247" s="3">
        <f t="shared" si="61"/>
        <v>0</v>
      </c>
      <c r="I247" s="3">
        <f t="shared" si="62"/>
        <v>4</v>
      </c>
      <c r="J247" s="3">
        <f t="shared" si="63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4"/>
        <v>YES</v>
      </c>
      <c r="Q247" t="str">
        <f t="shared" si="65"/>
        <v>NO</v>
      </c>
      <c r="R247" t="str">
        <f t="shared" si="66"/>
        <v>NO</v>
      </c>
      <c r="S247" t="s">
        <v>637</v>
      </c>
      <c r="T247" t="s">
        <v>14</v>
      </c>
      <c r="U247" t="str">
        <f t="shared" si="53"/>
        <v>Massachusetts Ave</v>
      </c>
      <c r="W247" t="str">
        <f t="shared" si="54"/>
        <v/>
      </c>
      <c r="X247" t="str">
        <f>IF(ISBLANK(S247),"Intersection","Non-Intersection")</f>
        <v>Non-Intersection</v>
      </c>
      <c r="Y247" t="s">
        <v>638</v>
      </c>
      <c r="Z247" t="str">
        <f t="shared" si="55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56"/>
        <v>40179</v>
      </c>
      <c r="D248" s="4">
        <f t="shared" si="57"/>
        <v>0.19726027397260273</v>
      </c>
      <c r="E248" s="3">
        <f t="shared" si="58"/>
        <v>2010</v>
      </c>
      <c r="F248" s="3">
        <f t="shared" si="59"/>
        <v>3</v>
      </c>
      <c r="G248" s="3">
        <f t="shared" si="60"/>
        <v>14</v>
      </c>
      <c r="H248" s="3">
        <f t="shared" si="61"/>
        <v>17</v>
      </c>
      <c r="I248" s="3">
        <f t="shared" si="62"/>
        <v>0</v>
      </c>
      <c r="J248" s="3">
        <f t="shared" si="63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4"/>
        <v>YES</v>
      </c>
      <c r="Q248" t="str">
        <f t="shared" si="65"/>
        <v>NO</v>
      </c>
      <c r="R248" t="str">
        <f t="shared" si="66"/>
        <v>NO</v>
      </c>
      <c r="T248" t="s">
        <v>19</v>
      </c>
      <c r="U248" t="str">
        <f t="shared" si="53"/>
        <v>Cambridge St</v>
      </c>
      <c r="V248" t="s">
        <v>260</v>
      </c>
      <c r="W248" t="str">
        <f t="shared" si="54"/>
        <v>Third St</v>
      </c>
      <c r="X248" t="str">
        <f>IF(ISBLANK(S248),"Intersection","Non-Intersection")</f>
        <v>Intersection</v>
      </c>
      <c r="Y248" t="s">
        <v>640</v>
      </c>
      <c r="Z248" t="str">
        <f t="shared" si="55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56"/>
        <v>40179</v>
      </c>
      <c r="D249" s="4">
        <f t="shared" si="57"/>
        <v>0.19726027397260273</v>
      </c>
      <c r="E249" s="3">
        <f t="shared" si="58"/>
        <v>2010</v>
      </c>
      <c r="F249" s="3">
        <f t="shared" si="59"/>
        <v>3</v>
      </c>
      <c r="G249" s="3">
        <f t="shared" si="60"/>
        <v>14</v>
      </c>
      <c r="H249" s="3">
        <f t="shared" si="61"/>
        <v>18</v>
      </c>
      <c r="I249" s="3">
        <f t="shared" si="62"/>
        <v>45</v>
      </c>
      <c r="J249" s="3">
        <f t="shared" si="63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4"/>
        <v>YES</v>
      </c>
      <c r="Q249" t="str">
        <f t="shared" si="65"/>
        <v>NO</v>
      </c>
      <c r="R249" t="str">
        <f t="shared" si="66"/>
        <v>YES</v>
      </c>
      <c r="T249" t="s">
        <v>316</v>
      </c>
      <c r="U249" t="str">
        <f t="shared" si="53"/>
        <v>Bishop Allen Dr</v>
      </c>
      <c r="V249" t="s">
        <v>342</v>
      </c>
      <c r="W249" t="str">
        <f t="shared" si="54"/>
        <v>Prospect St</v>
      </c>
      <c r="X249" t="str">
        <f>IF(ISBLANK(S249),"Intersection","Non-Intersection")</f>
        <v>Intersection</v>
      </c>
      <c r="Y249" t="s">
        <v>642</v>
      </c>
      <c r="Z249" t="str">
        <f t="shared" si="55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56"/>
        <v>40179</v>
      </c>
      <c r="D250" s="4">
        <f t="shared" si="57"/>
        <v>0.19726027397260273</v>
      </c>
      <c r="E250" s="3">
        <f t="shared" si="58"/>
        <v>2010</v>
      </c>
      <c r="F250" s="3">
        <f t="shared" si="59"/>
        <v>3</v>
      </c>
      <c r="G250" s="3">
        <f t="shared" si="60"/>
        <v>14</v>
      </c>
      <c r="H250" s="3">
        <f t="shared" si="61"/>
        <v>7</v>
      </c>
      <c r="I250" s="3">
        <f t="shared" si="62"/>
        <v>9</v>
      </c>
      <c r="J250" s="3">
        <f t="shared" si="63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4"/>
        <v>YES</v>
      </c>
      <c r="Q250" t="str">
        <f t="shared" si="65"/>
        <v>NO</v>
      </c>
      <c r="R250" t="str">
        <f t="shared" si="66"/>
        <v>YES</v>
      </c>
      <c r="T250" t="s">
        <v>198</v>
      </c>
      <c r="U250" t="str">
        <f t="shared" si="53"/>
        <v>Mount Auburn St</v>
      </c>
      <c r="V250" t="s">
        <v>326</v>
      </c>
      <c r="W250" t="str">
        <f t="shared" si="54"/>
        <v>Jfk St</v>
      </c>
      <c r="X250" t="str">
        <f>IF(ISBLANK(S250),"Intersection","Non-Intersection")</f>
        <v>Intersection</v>
      </c>
      <c r="Y250" t="s">
        <v>644</v>
      </c>
      <c r="Z250" t="str">
        <f t="shared" si="55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56"/>
        <v>40179</v>
      </c>
      <c r="D251" s="4">
        <f t="shared" si="57"/>
        <v>0.2</v>
      </c>
      <c r="E251" s="3">
        <f t="shared" si="58"/>
        <v>2010</v>
      </c>
      <c r="F251" s="3">
        <f t="shared" si="59"/>
        <v>3</v>
      </c>
      <c r="G251" s="3">
        <f t="shared" si="60"/>
        <v>15</v>
      </c>
      <c r="H251" s="3">
        <f t="shared" si="61"/>
        <v>8</v>
      </c>
      <c r="I251" s="3">
        <f t="shared" si="62"/>
        <v>0</v>
      </c>
      <c r="J251" s="3">
        <f t="shared" si="63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4"/>
        <v>YES</v>
      </c>
      <c r="Q251" t="str">
        <f t="shared" si="65"/>
        <v>NO</v>
      </c>
      <c r="R251" t="str">
        <f t="shared" si="66"/>
        <v>NO</v>
      </c>
      <c r="T251" t="s">
        <v>108</v>
      </c>
      <c r="U251" t="str">
        <f t="shared" si="53"/>
        <v>Franklin St</v>
      </c>
      <c r="V251" t="s">
        <v>70</v>
      </c>
      <c r="W251" t="str">
        <f t="shared" si="54"/>
        <v>Pearl St</v>
      </c>
      <c r="X251" t="str">
        <f>IF(ISBLANK(S251),"Intersection","Non-Intersection")</f>
        <v>Intersection</v>
      </c>
      <c r="Y251" t="s">
        <v>645</v>
      </c>
      <c r="Z251" t="str">
        <f t="shared" si="55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56"/>
        <v>40179</v>
      </c>
      <c r="D252" s="4">
        <f t="shared" si="57"/>
        <v>0.2</v>
      </c>
      <c r="E252" s="3">
        <f t="shared" si="58"/>
        <v>2010</v>
      </c>
      <c r="F252" s="3">
        <f t="shared" si="59"/>
        <v>3</v>
      </c>
      <c r="G252" s="3">
        <f t="shared" si="60"/>
        <v>15</v>
      </c>
      <c r="H252" s="3">
        <f t="shared" si="61"/>
        <v>8</v>
      </c>
      <c r="I252" s="3">
        <f t="shared" si="62"/>
        <v>29</v>
      </c>
      <c r="J252" s="3">
        <f t="shared" si="63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4"/>
        <v>NO</v>
      </c>
      <c r="Q252" t="str">
        <f t="shared" si="65"/>
        <v>NO</v>
      </c>
      <c r="R252" t="str">
        <f t="shared" si="66"/>
        <v>YES</v>
      </c>
      <c r="T252" t="s">
        <v>129</v>
      </c>
      <c r="U252" t="str">
        <f t="shared" si="53"/>
        <v>Cardinal Medeiros Ave</v>
      </c>
      <c r="V252" t="s">
        <v>209</v>
      </c>
      <c r="W252" t="str">
        <f t="shared" si="54"/>
        <v>Binney St</v>
      </c>
      <c r="X252" t="str">
        <f>IF(ISBLANK(S252),"Intersection","Non-Intersection")</f>
        <v>Intersection</v>
      </c>
      <c r="Y252" t="s">
        <v>646</v>
      </c>
      <c r="Z252" t="str">
        <f t="shared" si="55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56"/>
        <v>40179</v>
      </c>
      <c r="D253" s="4">
        <f t="shared" si="57"/>
        <v>0.2</v>
      </c>
      <c r="E253" s="3">
        <f t="shared" si="58"/>
        <v>2010</v>
      </c>
      <c r="F253" s="3">
        <f t="shared" si="59"/>
        <v>3</v>
      </c>
      <c r="G253" s="3">
        <f t="shared" si="60"/>
        <v>15</v>
      </c>
      <c r="H253" s="3">
        <f t="shared" si="61"/>
        <v>10</v>
      </c>
      <c r="I253" s="3">
        <f t="shared" si="62"/>
        <v>30</v>
      </c>
      <c r="J253" s="3">
        <f t="shared" si="63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4"/>
        <v>YES</v>
      </c>
      <c r="Q253" t="str">
        <f t="shared" si="65"/>
        <v>NO</v>
      </c>
      <c r="R253" t="str">
        <f t="shared" si="66"/>
        <v>NO</v>
      </c>
      <c r="T253" t="s">
        <v>518</v>
      </c>
      <c r="U253" t="str">
        <f t="shared" si="53"/>
        <v>Willard St</v>
      </c>
      <c r="V253" t="s">
        <v>198</v>
      </c>
      <c r="W253" t="str">
        <f t="shared" si="54"/>
        <v>Mount Auburn St</v>
      </c>
      <c r="X253" t="str">
        <f>IF(ISBLANK(S253),"Intersection","Non-Intersection")</f>
        <v>Intersection</v>
      </c>
      <c r="Y253" t="s">
        <v>648</v>
      </c>
      <c r="Z253" t="str">
        <f t="shared" si="55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56"/>
        <v>40179</v>
      </c>
      <c r="D254" s="4">
        <f t="shared" si="57"/>
        <v>0.2</v>
      </c>
      <c r="E254" s="3">
        <f t="shared" si="58"/>
        <v>2010</v>
      </c>
      <c r="F254" s="3">
        <f t="shared" si="59"/>
        <v>3</v>
      </c>
      <c r="G254" s="3">
        <f t="shared" si="60"/>
        <v>15</v>
      </c>
      <c r="H254" s="3">
        <f t="shared" si="61"/>
        <v>11</v>
      </c>
      <c r="I254" s="3">
        <f t="shared" si="62"/>
        <v>10</v>
      </c>
      <c r="J254" s="3">
        <f t="shared" si="63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4"/>
        <v>YES</v>
      </c>
      <c r="Q254" t="str">
        <f t="shared" si="65"/>
        <v>NO</v>
      </c>
      <c r="R254" t="str">
        <f t="shared" si="66"/>
        <v>NO</v>
      </c>
      <c r="S254">
        <v>66</v>
      </c>
      <c r="T254" t="s">
        <v>146</v>
      </c>
      <c r="U254" t="str">
        <f t="shared" si="53"/>
        <v>Spring St</v>
      </c>
      <c r="W254" t="str">
        <f t="shared" si="54"/>
        <v/>
      </c>
      <c r="X254" t="str">
        <f>IF(ISBLANK(S254),"Intersection","Non-Intersection")</f>
        <v>Non-Intersection</v>
      </c>
      <c r="Y254" t="s">
        <v>649</v>
      </c>
      <c r="Z254" t="str">
        <f t="shared" si="55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56"/>
        <v>40179</v>
      </c>
      <c r="D255" s="4">
        <f t="shared" si="57"/>
        <v>0.2</v>
      </c>
      <c r="E255" s="3">
        <f t="shared" si="58"/>
        <v>2010</v>
      </c>
      <c r="F255" s="3">
        <f t="shared" si="59"/>
        <v>3</v>
      </c>
      <c r="G255" s="3">
        <f t="shared" si="60"/>
        <v>15</v>
      </c>
      <c r="H255" s="3">
        <f t="shared" si="61"/>
        <v>13</v>
      </c>
      <c r="I255" s="3">
        <f t="shared" si="62"/>
        <v>44</v>
      </c>
      <c r="J255" s="3">
        <f t="shared" si="63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4"/>
        <v>YES</v>
      </c>
      <c r="Q255" t="str">
        <f t="shared" si="65"/>
        <v>NO</v>
      </c>
      <c r="R255" t="str">
        <f t="shared" si="66"/>
        <v>NO</v>
      </c>
      <c r="T255" t="s">
        <v>651</v>
      </c>
      <c r="U255" t="str">
        <f t="shared" si="53"/>
        <v>Surrey St</v>
      </c>
      <c r="V255" t="s">
        <v>42</v>
      </c>
      <c r="W255" t="str">
        <f t="shared" si="54"/>
        <v>Putnam Ave</v>
      </c>
      <c r="X255" t="str">
        <f>IF(ISBLANK(S255),"Intersection","Non-Intersection")</f>
        <v>Intersection</v>
      </c>
      <c r="Y255" t="s">
        <v>652</v>
      </c>
      <c r="Z255" t="str">
        <f t="shared" si="55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56"/>
        <v>40179</v>
      </c>
      <c r="D256" s="4">
        <f t="shared" si="57"/>
        <v>0.2</v>
      </c>
      <c r="E256" s="3">
        <f t="shared" si="58"/>
        <v>2010</v>
      </c>
      <c r="F256" s="3">
        <f t="shared" si="59"/>
        <v>3</v>
      </c>
      <c r="G256" s="3">
        <f t="shared" si="60"/>
        <v>15</v>
      </c>
      <c r="H256" s="3">
        <f t="shared" si="61"/>
        <v>16</v>
      </c>
      <c r="I256" s="3">
        <f t="shared" si="62"/>
        <v>30</v>
      </c>
      <c r="J256" s="3">
        <f t="shared" si="63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4"/>
        <v>NO</v>
      </c>
      <c r="Q256" t="str">
        <f t="shared" si="65"/>
        <v>NO</v>
      </c>
      <c r="R256" t="str">
        <f t="shared" si="66"/>
        <v>NO</v>
      </c>
      <c r="S256" t="s">
        <v>654</v>
      </c>
      <c r="T256" t="s">
        <v>105</v>
      </c>
      <c r="U256" t="str">
        <f t="shared" si="53"/>
        <v>Broadway</v>
      </c>
      <c r="V256" t="s">
        <v>209</v>
      </c>
      <c r="W256" t="str">
        <f t="shared" si="54"/>
        <v>Binney St</v>
      </c>
      <c r="X256" t="str">
        <f>IF(ISBLANK(S256),"Intersection","Non-Intersection")</f>
        <v>Non-Intersection</v>
      </c>
      <c r="Y256" t="s">
        <v>655</v>
      </c>
      <c r="Z256" t="str">
        <f t="shared" si="55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56"/>
        <v>40179</v>
      </c>
      <c r="D257" s="4">
        <f t="shared" si="57"/>
        <v>0.2</v>
      </c>
      <c r="E257" s="3">
        <f t="shared" si="58"/>
        <v>2010</v>
      </c>
      <c r="F257" s="3">
        <f t="shared" si="59"/>
        <v>3</v>
      </c>
      <c r="G257" s="3">
        <f t="shared" si="60"/>
        <v>15</v>
      </c>
      <c r="H257" s="3">
        <f t="shared" si="61"/>
        <v>20</v>
      </c>
      <c r="I257" s="3">
        <f t="shared" si="62"/>
        <v>0</v>
      </c>
      <c r="J257" s="3">
        <f t="shared" si="63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4"/>
        <v>YES</v>
      </c>
      <c r="Q257" t="str">
        <f t="shared" si="65"/>
        <v>NO</v>
      </c>
      <c r="R257" t="str">
        <f t="shared" si="66"/>
        <v>NO</v>
      </c>
      <c r="S257">
        <v>75</v>
      </c>
      <c r="T257" t="s">
        <v>501</v>
      </c>
      <c r="U257" t="str">
        <f t="shared" si="53"/>
        <v>Garfield St</v>
      </c>
      <c r="W257" t="str">
        <f t="shared" si="54"/>
        <v/>
      </c>
      <c r="X257" t="str">
        <f>IF(ISBLANK(S257),"Intersection","Non-Intersection")</f>
        <v>Non-Intersection</v>
      </c>
      <c r="Y257" t="s">
        <v>656</v>
      </c>
      <c r="Z257" t="str">
        <f t="shared" si="55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56"/>
        <v>40179</v>
      </c>
      <c r="D258" s="4">
        <f t="shared" si="57"/>
        <v>0.2</v>
      </c>
      <c r="E258" s="3">
        <f t="shared" si="58"/>
        <v>2010</v>
      </c>
      <c r="F258" s="3">
        <f t="shared" si="59"/>
        <v>3</v>
      </c>
      <c r="G258" s="3">
        <f t="shared" si="60"/>
        <v>15</v>
      </c>
      <c r="H258" s="3">
        <f t="shared" si="61"/>
        <v>8</v>
      </c>
      <c r="I258" s="3">
        <f t="shared" si="62"/>
        <v>29</v>
      </c>
      <c r="J258" s="3">
        <f t="shared" si="63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4"/>
        <v>YES</v>
      </c>
      <c r="Q258" t="str">
        <f t="shared" si="65"/>
        <v>NO</v>
      </c>
      <c r="R258" t="str">
        <f t="shared" si="66"/>
        <v>NO</v>
      </c>
      <c r="S258">
        <v>20</v>
      </c>
      <c r="T258" t="s">
        <v>658</v>
      </c>
      <c r="U258" t="str">
        <f t="shared" si="53"/>
        <v>Mooney St</v>
      </c>
      <c r="W258" t="str">
        <f t="shared" si="54"/>
        <v/>
      </c>
      <c r="X258" t="str">
        <f>IF(ISBLANK(S258),"Intersection","Non-Intersection")</f>
        <v>Non-Intersection</v>
      </c>
      <c r="Y258" t="s">
        <v>659</v>
      </c>
      <c r="Z258" t="str">
        <f t="shared" si="55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56"/>
        <v>40179</v>
      </c>
      <c r="D259" s="4">
        <f t="shared" si="57"/>
        <v>0.20273972602739726</v>
      </c>
      <c r="E259" s="3">
        <f t="shared" si="58"/>
        <v>2010</v>
      </c>
      <c r="F259" s="3">
        <f t="shared" si="59"/>
        <v>3</v>
      </c>
      <c r="G259" s="3">
        <f t="shared" si="60"/>
        <v>16</v>
      </c>
      <c r="H259" s="3">
        <f t="shared" si="61"/>
        <v>13</v>
      </c>
      <c r="I259" s="3">
        <f t="shared" si="62"/>
        <v>50</v>
      </c>
      <c r="J259" s="3">
        <f t="shared" si="63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4"/>
        <v>YES</v>
      </c>
      <c r="Q259" t="str">
        <f t="shared" si="65"/>
        <v>YES</v>
      </c>
      <c r="R259" t="str">
        <f t="shared" si="66"/>
        <v>NO</v>
      </c>
      <c r="S259">
        <v>1</v>
      </c>
      <c r="T259" t="s">
        <v>74</v>
      </c>
      <c r="U259" t="str">
        <f t="shared" ref="U259:U322" si="67">TRIM(PROPER(T259))</f>
        <v>Hampshire St</v>
      </c>
      <c r="V259" t="s">
        <v>105</v>
      </c>
      <c r="W259" t="str">
        <f t="shared" ref="W259:W322" si="68">TRIM(PROPER(V259))</f>
        <v>Broadway</v>
      </c>
      <c r="X259" t="str">
        <f>IF(ISBLANK(S259),"Intersection","Non-Intersection")</f>
        <v>Non-Intersection</v>
      </c>
      <c r="Y259" t="s">
        <v>240</v>
      </c>
      <c r="Z259" t="str">
        <f t="shared" ref="Z259:Z322" si="69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56"/>
        <v>40179</v>
      </c>
      <c r="D260" s="4">
        <f t="shared" si="57"/>
        <v>0.20273972602739726</v>
      </c>
      <c r="E260" s="3">
        <f t="shared" si="58"/>
        <v>2010</v>
      </c>
      <c r="F260" s="3">
        <f t="shared" si="59"/>
        <v>3</v>
      </c>
      <c r="G260" s="3">
        <f t="shared" si="60"/>
        <v>16</v>
      </c>
      <c r="H260" s="3">
        <f t="shared" si="61"/>
        <v>16</v>
      </c>
      <c r="I260" s="3">
        <f t="shared" si="62"/>
        <v>19</v>
      </c>
      <c r="J260" s="3">
        <f t="shared" si="63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4"/>
        <v>YES</v>
      </c>
      <c r="Q260" t="str">
        <f t="shared" si="65"/>
        <v>NO</v>
      </c>
      <c r="R260" t="str">
        <f t="shared" si="66"/>
        <v>NO</v>
      </c>
      <c r="T260" t="s">
        <v>19</v>
      </c>
      <c r="U260" t="str">
        <f t="shared" si="67"/>
        <v>Cambridge St</v>
      </c>
      <c r="V260" t="s">
        <v>189</v>
      </c>
      <c r="W260" t="str">
        <f t="shared" si="68"/>
        <v>Windsor St</v>
      </c>
      <c r="X260" t="str">
        <f>IF(ISBLANK(S260),"Intersection","Non-Intersection")</f>
        <v>Intersection</v>
      </c>
      <c r="Y260" t="s">
        <v>244</v>
      </c>
      <c r="Z260" t="str">
        <f t="shared" si="69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56"/>
        <v>40179</v>
      </c>
      <c r="D261" s="4">
        <f t="shared" si="57"/>
        <v>0.20273972602739726</v>
      </c>
      <c r="E261" s="3">
        <f t="shared" si="58"/>
        <v>2010</v>
      </c>
      <c r="F261" s="3">
        <f t="shared" si="59"/>
        <v>3</v>
      </c>
      <c r="G261" s="3">
        <f t="shared" si="60"/>
        <v>16</v>
      </c>
      <c r="H261" s="3">
        <f t="shared" si="61"/>
        <v>18</v>
      </c>
      <c r="I261" s="3">
        <f t="shared" si="62"/>
        <v>0</v>
      </c>
      <c r="J261" s="3">
        <f t="shared" si="63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4"/>
        <v>YES</v>
      </c>
      <c r="Q261" t="str">
        <f t="shared" si="65"/>
        <v>NO</v>
      </c>
      <c r="R261" t="str">
        <f t="shared" si="66"/>
        <v>NO</v>
      </c>
      <c r="S261">
        <v>238</v>
      </c>
      <c r="T261" t="s">
        <v>101</v>
      </c>
      <c r="U261" t="str">
        <f t="shared" si="67"/>
        <v>Columbia St</v>
      </c>
      <c r="W261" t="str">
        <f t="shared" si="68"/>
        <v/>
      </c>
      <c r="X261" t="str">
        <f>IF(ISBLANK(S261),"Intersection","Non-Intersection")</f>
        <v>Non-Intersection</v>
      </c>
      <c r="Y261" t="s">
        <v>661</v>
      </c>
      <c r="Z261" t="str">
        <f t="shared" si="69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56"/>
        <v>40179</v>
      </c>
      <c r="D262" s="4">
        <f t="shared" si="57"/>
        <v>0.20547945205479451</v>
      </c>
      <c r="E262" s="3">
        <f t="shared" si="58"/>
        <v>2010</v>
      </c>
      <c r="F262" s="3">
        <f t="shared" si="59"/>
        <v>3</v>
      </c>
      <c r="G262" s="3">
        <f t="shared" si="60"/>
        <v>17</v>
      </c>
      <c r="H262" s="3">
        <f t="shared" si="61"/>
        <v>8</v>
      </c>
      <c r="I262" s="3">
        <f t="shared" si="62"/>
        <v>0</v>
      </c>
      <c r="J262" s="3">
        <f t="shared" si="63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4"/>
        <v>YES</v>
      </c>
      <c r="Q262" t="str">
        <f t="shared" si="65"/>
        <v>NO</v>
      </c>
      <c r="R262" t="str">
        <f t="shared" si="66"/>
        <v>NO</v>
      </c>
      <c r="S262">
        <v>307</v>
      </c>
      <c r="T262" t="s">
        <v>129</v>
      </c>
      <c r="U262" t="str">
        <f t="shared" si="67"/>
        <v>Cardinal Medeiros Ave</v>
      </c>
      <c r="W262" t="str">
        <f t="shared" si="68"/>
        <v/>
      </c>
      <c r="X262" t="str">
        <f>IF(ISBLANK(S262),"Intersection","Non-Intersection")</f>
        <v>Non-Intersection</v>
      </c>
      <c r="Y262" t="s">
        <v>663</v>
      </c>
      <c r="Z262" t="str">
        <f t="shared" si="69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56"/>
        <v>40179</v>
      </c>
      <c r="D263" s="4">
        <f t="shared" si="57"/>
        <v>0.20547945205479451</v>
      </c>
      <c r="E263" s="3">
        <f t="shared" si="58"/>
        <v>2010</v>
      </c>
      <c r="F263" s="3">
        <f t="shared" si="59"/>
        <v>3</v>
      </c>
      <c r="G263" s="3">
        <f t="shared" si="60"/>
        <v>17</v>
      </c>
      <c r="H263" s="3">
        <f t="shared" si="61"/>
        <v>19</v>
      </c>
      <c r="I263" s="3">
        <f t="shared" si="62"/>
        <v>25</v>
      </c>
      <c r="J263" s="3">
        <f t="shared" si="63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4"/>
        <v>YES</v>
      </c>
      <c r="Q263" t="str">
        <f t="shared" si="65"/>
        <v>NO</v>
      </c>
      <c r="R263" t="str">
        <f t="shared" si="66"/>
        <v>NO</v>
      </c>
      <c r="T263" t="s">
        <v>198</v>
      </c>
      <c r="U263" t="str">
        <f t="shared" si="67"/>
        <v>Mount Auburn St</v>
      </c>
      <c r="V263" t="s">
        <v>518</v>
      </c>
      <c r="W263" t="str">
        <f t="shared" si="68"/>
        <v>Willard St</v>
      </c>
      <c r="X263" t="str">
        <f>IF(ISBLANK(S263),"Intersection","Non-Intersection")</f>
        <v>Intersection</v>
      </c>
      <c r="Y263" t="s">
        <v>519</v>
      </c>
      <c r="Z263" t="str">
        <f t="shared" si="69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56"/>
        <v>40179</v>
      </c>
      <c r="D264" s="4">
        <f t="shared" si="57"/>
        <v>0.20547945205479451</v>
      </c>
      <c r="E264" s="3">
        <f t="shared" si="58"/>
        <v>2010</v>
      </c>
      <c r="F264" s="3">
        <f t="shared" si="59"/>
        <v>3</v>
      </c>
      <c r="G264" s="3">
        <f t="shared" si="60"/>
        <v>17</v>
      </c>
      <c r="H264" s="3">
        <f t="shared" si="61"/>
        <v>7</v>
      </c>
      <c r="I264" s="3">
        <f t="shared" si="62"/>
        <v>30</v>
      </c>
      <c r="J264" s="3">
        <f t="shared" si="63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4"/>
        <v>YES</v>
      </c>
      <c r="Q264" t="str">
        <f t="shared" si="65"/>
        <v>NO</v>
      </c>
      <c r="R264" t="str">
        <f t="shared" si="66"/>
        <v>NO</v>
      </c>
      <c r="T264" t="s">
        <v>665</v>
      </c>
      <c r="U264" t="str">
        <f t="shared" si="67"/>
        <v>New St</v>
      </c>
      <c r="W264" t="str">
        <f t="shared" si="68"/>
        <v/>
      </c>
      <c r="X264" t="str">
        <f>IF(ISBLANK(S264),"Intersection","Non-Intersection")</f>
        <v>Intersection</v>
      </c>
      <c r="Y264" t="s">
        <v>666</v>
      </c>
      <c r="Z264" t="str">
        <f t="shared" si="69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56"/>
        <v>40179</v>
      </c>
      <c r="D265" s="4">
        <f t="shared" si="57"/>
        <v>0.20821917808219179</v>
      </c>
      <c r="E265" s="3">
        <f t="shared" si="58"/>
        <v>2010</v>
      </c>
      <c r="F265" s="3">
        <f t="shared" si="59"/>
        <v>3</v>
      </c>
      <c r="G265" s="3">
        <f t="shared" si="60"/>
        <v>18</v>
      </c>
      <c r="H265" s="3">
        <f t="shared" si="61"/>
        <v>9</v>
      </c>
      <c r="I265" s="3">
        <f t="shared" si="62"/>
        <v>14</v>
      </c>
      <c r="J265" s="3">
        <f t="shared" si="63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4"/>
        <v>YES</v>
      </c>
      <c r="Q265" t="str">
        <f t="shared" si="65"/>
        <v>NO</v>
      </c>
      <c r="R265" t="str">
        <f t="shared" si="66"/>
        <v>NO</v>
      </c>
      <c r="T265" t="s">
        <v>74</v>
      </c>
      <c r="U265" t="str">
        <f t="shared" si="67"/>
        <v>Hampshire St</v>
      </c>
      <c r="V265" t="s">
        <v>667</v>
      </c>
      <c r="W265" t="str">
        <f t="shared" si="68"/>
        <v>Tremont St</v>
      </c>
      <c r="X265" t="str">
        <f>IF(ISBLANK(S265),"Intersection","Non-Intersection")</f>
        <v>Intersection</v>
      </c>
      <c r="Y265" t="s">
        <v>668</v>
      </c>
      <c r="Z265" t="str">
        <f t="shared" si="69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56"/>
        <v>40179</v>
      </c>
      <c r="D266" s="4">
        <f t="shared" si="57"/>
        <v>0.20821917808219179</v>
      </c>
      <c r="E266" s="3">
        <f t="shared" si="58"/>
        <v>2010</v>
      </c>
      <c r="F266" s="3">
        <f t="shared" si="59"/>
        <v>3</v>
      </c>
      <c r="G266" s="3">
        <f t="shared" si="60"/>
        <v>18</v>
      </c>
      <c r="H266" s="3">
        <f t="shared" si="61"/>
        <v>9</v>
      </c>
      <c r="I266" s="3">
        <f t="shared" si="62"/>
        <v>14</v>
      </c>
      <c r="J266" s="3">
        <f t="shared" si="63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4"/>
        <v>YES</v>
      </c>
      <c r="Q266" t="str">
        <f t="shared" si="65"/>
        <v>NO</v>
      </c>
      <c r="R266" t="str">
        <f t="shared" si="66"/>
        <v>NO</v>
      </c>
      <c r="S266">
        <v>301</v>
      </c>
      <c r="T266" t="s">
        <v>209</v>
      </c>
      <c r="U266" t="str">
        <f t="shared" si="67"/>
        <v>Binney St</v>
      </c>
      <c r="W266" t="str">
        <f t="shared" si="68"/>
        <v/>
      </c>
      <c r="X266" t="str">
        <f>IF(ISBLANK(S266),"Intersection","Non-Intersection")</f>
        <v>Non-Intersection</v>
      </c>
      <c r="Y266" t="s">
        <v>670</v>
      </c>
      <c r="Z266" t="str">
        <f t="shared" si="69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56"/>
        <v>40179</v>
      </c>
      <c r="D267" s="4">
        <f t="shared" si="57"/>
        <v>0.20821917808219179</v>
      </c>
      <c r="E267" s="3">
        <f t="shared" si="58"/>
        <v>2010</v>
      </c>
      <c r="F267" s="3">
        <f t="shared" si="59"/>
        <v>3</v>
      </c>
      <c r="G267" s="3">
        <f t="shared" si="60"/>
        <v>18</v>
      </c>
      <c r="H267" s="3">
        <f t="shared" si="61"/>
        <v>17</v>
      </c>
      <c r="I267" s="3">
        <f t="shared" si="62"/>
        <v>15</v>
      </c>
      <c r="J267" s="3">
        <f t="shared" si="63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4"/>
        <v>YES</v>
      </c>
      <c r="Q267" t="str">
        <f t="shared" si="65"/>
        <v>NO</v>
      </c>
      <c r="R267" t="str">
        <f t="shared" si="66"/>
        <v>NO</v>
      </c>
      <c r="S267">
        <v>651</v>
      </c>
      <c r="T267" t="s">
        <v>198</v>
      </c>
      <c r="U267" t="str">
        <f t="shared" si="67"/>
        <v>Mount Auburn St</v>
      </c>
      <c r="W267" t="str">
        <f t="shared" si="68"/>
        <v/>
      </c>
      <c r="X267" t="str">
        <f>IF(ISBLANK(S267),"Intersection","Non-Intersection")</f>
        <v>Non-Intersection</v>
      </c>
      <c r="Y267" t="s">
        <v>672</v>
      </c>
      <c r="Z267" t="str">
        <f t="shared" si="69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56"/>
        <v>40179</v>
      </c>
      <c r="D268" s="4">
        <f t="shared" si="57"/>
        <v>0.20821917808219179</v>
      </c>
      <c r="E268" s="3">
        <f t="shared" si="58"/>
        <v>2010</v>
      </c>
      <c r="F268" s="3">
        <f t="shared" si="59"/>
        <v>3</v>
      </c>
      <c r="G268" s="3">
        <f t="shared" si="60"/>
        <v>18</v>
      </c>
      <c r="H268" s="3">
        <f t="shared" si="61"/>
        <v>16</v>
      </c>
      <c r="I268" s="3">
        <f t="shared" si="62"/>
        <v>50</v>
      </c>
      <c r="J268" s="3">
        <f t="shared" si="63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4"/>
        <v>YES</v>
      </c>
      <c r="Q268" t="str">
        <f t="shared" si="65"/>
        <v>YES</v>
      </c>
      <c r="R268" t="str">
        <f t="shared" si="66"/>
        <v>NO</v>
      </c>
      <c r="T268" t="s">
        <v>601</v>
      </c>
      <c r="U268" t="str">
        <f t="shared" si="67"/>
        <v>Cedar St</v>
      </c>
      <c r="V268" t="s">
        <v>14</v>
      </c>
      <c r="W268" t="str">
        <f t="shared" si="68"/>
        <v>Massachusetts Ave</v>
      </c>
      <c r="X268" t="str">
        <f>IF(ISBLANK(S268),"Intersection","Non-Intersection")</f>
        <v>Intersection</v>
      </c>
      <c r="Y268" t="s">
        <v>674</v>
      </c>
      <c r="Z268" t="str">
        <f t="shared" si="69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56"/>
        <v>40179</v>
      </c>
      <c r="D269" s="4">
        <f t="shared" si="57"/>
        <v>0.20821917808219179</v>
      </c>
      <c r="E269" s="3">
        <f t="shared" si="58"/>
        <v>2010</v>
      </c>
      <c r="F269" s="3">
        <f t="shared" si="59"/>
        <v>3</v>
      </c>
      <c r="G269" s="3">
        <f t="shared" si="60"/>
        <v>18</v>
      </c>
      <c r="H269" s="3">
        <f t="shared" si="61"/>
        <v>15</v>
      </c>
      <c r="I269" s="3">
        <f t="shared" si="62"/>
        <v>30</v>
      </c>
      <c r="J269" s="3">
        <f t="shared" si="63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4"/>
        <v>YES</v>
      </c>
      <c r="Q269" t="str">
        <f t="shared" si="65"/>
        <v>NO</v>
      </c>
      <c r="R269" t="str">
        <f t="shared" si="66"/>
        <v>NO</v>
      </c>
      <c r="S269">
        <v>49</v>
      </c>
      <c r="T269" t="s">
        <v>675</v>
      </c>
      <c r="U269" t="str">
        <f t="shared" si="67"/>
        <v>Roseland St</v>
      </c>
      <c r="W269" t="str">
        <f t="shared" si="68"/>
        <v/>
      </c>
      <c r="X269" t="str">
        <f>IF(ISBLANK(S269),"Intersection","Non-Intersection")</f>
        <v>Non-Intersection</v>
      </c>
      <c r="Y269" t="s">
        <v>676</v>
      </c>
      <c r="Z269" t="str">
        <f t="shared" si="69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56"/>
        <v>40179</v>
      </c>
      <c r="D270" s="4">
        <f t="shared" si="57"/>
        <v>0.21095890410958903</v>
      </c>
      <c r="E270" s="3">
        <f t="shared" si="58"/>
        <v>2010</v>
      </c>
      <c r="F270" s="3">
        <f t="shared" si="59"/>
        <v>3</v>
      </c>
      <c r="G270" s="3">
        <f t="shared" si="60"/>
        <v>19</v>
      </c>
      <c r="H270" s="3">
        <f t="shared" si="61"/>
        <v>8</v>
      </c>
      <c r="I270" s="3">
        <f t="shared" si="62"/>
        <v>29</v>
      </c>
      <c r="J270" s="3">
        <f t="shared" si="63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4"/>
        <v>YES</v>
      </c>
      <c r="Q270" t="str">
        <f t="shared" si="65"/>
        <v>NO</v>
      </c>
      <c r="R270" t="str">
        <f t="shared" si="66"/>
        <v>NO</v>
      </c>
      <c r="S270">
        <v>7</v>
      </c>
      <c r="T270" t="s">
        <v>678</v>
      </c>
      <c r="U270" t="str">
        <f t="shared" si="67"/>
        <v>Athens St</v>
      </c>
      <c r="W270" t="str">
        <f t="shared" si="68"/>
        <v/>
      </c>
      <c r="X270" t="str">
        <f>IF(ISBLANK(S270),"Intersection","Non-Intersection")</f>
        <v>Non-Intersection</v>
      </c>
      <c r="Y270" t="s">
        <v>679</v>
      </c>
      <c r="Z270" t="str">
        <f t="shared" si="69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56"/>
        <v>40179</v>
      </c>
      <c r="D271" s="4">
        <f t="shared" si="57"/>
        <v>0.21095890410958903</v>
      </c>
      <c r="E271" s="3">
        <f t="shared" si="58"/>
        <v>2010</v>
      </c>
      <c r="F271" s="3">
        <f t="shared" si="59"/>
        <v>3</v>
      </c>
      <c r="G271" s="3">
        <f t="shared" si="60"/>
        <v>19</v>
      </c>
      <c r="H271" s="3">
        <f t="shared" si="61"/>
        <v>8</v>
      </c>
      <c r="I271" s="3">
        <f t="shared" si="62"/>
        <v>49</v>
      </c>
      <c r="J271" s="3">
        <f t="shared" si="63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4"/>
        <v>YES</v>
      </c>
      <c r="Q271" t="str">
        <f t="shared" si="65"/>
        <v>NO</v>
      </c>
      <c r="R271" t="str">
        <f t="shared" si="66"/>
        <v>YES</v>
      </c>
      <c r="T271" t="s">
        <v>326</v>
      </c>
      <c r="U271" t="str">
        <f t="shared" si="67"/>
        <v>Jfk St</v>
      </c>
      <c r="V271" t="s">
        <v>199</v>
      </c>
      <c r="W271" t="str">
        <f t="shared" si="68"/>
        <v>Brattle St</v>
      </c>
      <c r="X271" t="str">
        <f>IF(ISBLANK(S271),"Intersection","Non-Intersection")</f>
        <v>Intersection</v>
      </c>
      <c r="Y271" t="s">
        <v>681</v>
      </c>
      <c r="Z271" t="str">
        <f t="shared" si="69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56"/>
        <v>40179</v>
      </c>
      <c r="D272" s="4">
        <f t="shared" si="57"/>
        <v>0.21095890410958903</v>
      </c>
      <c r="E272" s="3">
        <f t="shared" si="58"/>
        <v>2010</v>
      </c>
      <c r="F272" s="3">
        <f t="shared" si="59"/>
        <v>3</v>
      </c>
      <c r="G272" s="3">
        <f t="shared" si="60"/>
        <v>19</v>
      </c>
      <c r="H272" s="3">
        <f t="shared" si="61"/>
        <v>18</v>
      </c>
      <c r="I272" s="3">
        <f t="shared" si="62"/>
        <v>40</v>
      </c>
      <c r="J272" s="3">
        <f t="shared" si="63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4"/>
        <v>YES</v>
      </c>
      <c r="Q272" t="str">
        <f t="shared" si="65"/>
        <v>NO</v>
      </c>
      <c r="R272" t="str">
        <f t="shared" si="66"/>
        <v>NO</v>
      </c>
      <c r="T272" t="s">
        <v>186</v>
      </c>
      <c r="U272" t="str">
        <f t="shared" si="67"/>
        <v>Concord Ave</v>
      </c>
      <c r="V272" t="s">
        <v>170</v>
      </c>
      <c r="W272" t="str">
        <f t="shared" si="68"/>
        <v>Alewife Brook Pky</v>
      </c>
      <c r="X272" t="str">
        <f>IF(ISBLANK(S272),"Intersection","Non-Intersection")</f>
        <v>Intersection</v>
      </c>
      <c r="Y272" t="s">
        <v>683</v>
      </c>
      <c r="Z272" t="str">
        <f t="shared" si="69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56"/>
        <v>40179</v>
      </c>
      <c r="D273" s="4">
        <f t="shared" si="57"/>
        <v>0.21095890410958903</v>
      </c>
      <c r="E273" s="3">
        <f t="shared" si="58"/>
        <v>2010</v>
      </c>
      <c r="F273" s="3">
        <f t="shared" si="59"/>
        <v>3</v>
      </c>
      <c r="G273" s="3">
        <f t="shared" si="60"/>
        <v>19</v>
      </c>
      <c r="H273" s="3">
        <f t="shared" si="61"/>
        <v>20</v>
      </c>
      <c r="I273" s="3">
        <f t="shared" si="62"/>
        <v>0</v>
      </c>
      <c r="J273" s="3">
        <f t="shared" si="63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4"/>
        <v>YES</v>
      </c>
      <c r="Q273" t="str">
        <f t="shared" si="65"/>
        <v>NO</v>
      </c>
      <c r="R273" t="str">
        <f t="shared" si="66"/>
        <v>NO</v>
      </c>
      <c r="S273">
        <v>10</v>
      </c>
      <c r="T273" t="s">
        <v>685</v>
      </c>
      <c r="U273" t="str">
        <f t="shared" si="67"/>
        <v>Warren St</v>
      </c>
      <c r="W273" t="str">
        <f t="shared" si="68"/>
        <v/>
      </c>
      <c r="X273" t="str">
        <f>IF(ISBLANK(S273),"Intersection","Non-Intersection")</f>
        <v>Non-Intersection</v>
      </c>
      <c r="Y273" t="s">
        <v>686</v>
      </c>
      <c r="Z273" t="str">
        <f t="shared" si="69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56"/>
        <v>40179</v>
      </c>
      <c r="D274" s="4">
        <f t="shared" si="57"/>
        <v>0.21369863013698631</v>
      </c>
      <c r="E274" s="3">
        <f t="shared" si="58"/>
        <v>2010</v>
      </c>
      <c r="F274" s="3">
        <f t="shared" si="59"/>
        <v>3</v>
      </c>
      <c r="G274" s="3">
        <f t="shared" si="60"/>
        <v>20</v>
      </c>
      <c r="H274" s="3">
        <f t="shared" si="61"/>
        <v>14</v>
      </c>
      <c r="I274" s="3">
        <f t="shared" si="62"/>
        <v>45</v>
      </c>
      <c r="J274" s="3">
        <f t="shared" si="63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4"/>
        <v>YES</v>
      </c>
      <c r="Q274" t="str">
        <f t="shared" si="65"/>
        <v>NO</v>
      </c>
      <c r="R274" t="str">
        <f t="shared" si="66"/>
        <v>NO</v>
      </c>
      <c r="T274" t="s">
        <v>19</v>
      </c>
      <c r="U274" t="str">
        <f t="shared" si="67"/>
        <v>Cambridge St</v>
      </c>
      <c r="V274" t="s">
        <v>101</v>
      </c>
      <c r="W274" t="str">
        <f t="shared" si="68"/>
        <v>Columbia St</v>
      </c>
      <c r="X274" t="str">
        <f>IF(ISBLANK(S274),"Intersection","Non-Intersection")</f>
        <v>Intersection</v>
      </c>
      <c r="Y274" t="s">
        <v>438</v>
      </c>
      <c r="Z274" t="str">
        <f t="shared" si="69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56"/>
        <v>40179</v>
      </c>
      <c r="D275" s="4">
        <f t="shared" si="57"/>
        <v>0.21369863013698631</v>
      </c>
      <c r="E275" s="3">
        <f t="shared" si="58"/>
        <v>2010</v>
      </c>
      <c r="F275" s="3">
        <f t="shared" si="59"/>
        <v>3</v>
      </c>
      <c r="G275" s="3">
        <f t="shared" si="60"/>
        <v>20</v>
      </c>
      <c r="H275" s="3">
        <f t="shared" si="61"/>
        <v>15</v>
      </c>
      <c r="I275" s="3">
        <f t="shared" si="62"/>
        <v>45</v>
      </c>
      <c r="J275" s="3">
        <f t="shared" si="63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4"/>
        <v>YES</v>
      </c>
      <c r="Q275" t="str">
        <f t="shared" si="65"/>
        <v>NO</v>
      </c>
      <c r="R275" t="str">
        <f t="shared" si="66"/>
        <v>NO</v>
      </c>
      <c r="T275" t="s">
        <v>316</v>
      </c>
      <c r="U275" t="str">
        <f t="shared" si="67"/>
        <v>Bishop Allen Dr</v>
      </c>
      <c r="V275" t="s">
        <v>101</v>
      </c>
      <c r="W275" t="str">
        <f t="shared" si="68"/>
        <v>Columbia St</v>
      </c>
      <c r="X275" t="str">
        <f>IF(ISBLANK(S275),"Intersection","Non-Intersection")</f>
        <v>Intersection</v>
      </c>
      <c r="Y275" t="s">
        <v>688</v>
      </c>
      <c r="Z275" t="str">
        <f t="shared" si="69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56"/>
        <v>40179</v>
      </c>
      <c r="D276" s="4">
        <f t="shared" si="57"/>
        <v>0.21369863013698631</v>
      </c>
      <c r="E276" s="3">
        <f t="shared" si="58"/>
        <v>2010</v>
      </c>
      <c r="F276" s="3">
        <f t="shared" si="59"/>
        <v>3</v>
      </c>
      <c r="G276" s="3">
        <f t="shared" si="60"/>
        <v>20</v>
      </c>
      <c r="H276" s="3">
        <f t="shared" si="61"/>
        <v>20</v>
      </c>
      <c r="I276" s="3">
        <f t="shared" si="62"/>
        <v>19</v>
      </c>
      <c r="J276" s="3">
        <f t="shared" si="63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4"/>
        <v>YES</v>
      </c>
      <c r="Q276" t="str">
        <f t="shared" si="65"/>
        <v>NO</v>
      </c>
      <c r="R276" t="str">
        <f t="shared" si="66"/>
        <v>NO</v>
      </c>
      <c r="S276">
        <v>312</v>
      </c>
      <c r="T276" t="s">
        <v>690</v>
      </c>
      <c r="U276" t="str">
        <f t="shared" si="67"/>
        <v>Evereteze Way</v>
      </c>
      <c r="W276" t="str">
        <f t="shared" si="68"/>
        <v/>
      </c>
      <c r="X276" t="str">
        <f>IF(ISBLANK(S276),"Intersection","Non-Intersection")</f>
        <v>Non-Intersection</v>
      </c>
      <c r="Y276" t="s">
        <v>691</v>
      </c>
      <c r="Z276" t="str">
        <f t="shared" si="69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56"/>
        <v>40179</v>
      </c>
      <c r="D277" s="4">
        <f t="shared" si="57"/>
        <v>0.21369863013698631</v>
      </c>
      <c r="E277" s="3">
        <f t="shared" si="58"/>
        <v>2010</v>
      </c>
      <c r="F277" s="3">
        <f t="shared" si="59"/>
        <v>3</v>
      </c>
      <c r="G277" s="3">
        <f t="shared" si="60"/>
        <v>20</v>
      </c>
      <c r="H277" s="3">
        <f t="shared" si="61"/>
        <v>12</v>
      </c>
      <c r="I277" s="3">
        <f t="shared" si="62"/>
        <v>59</v>
      </c>
      <c r="J277" s="3">
        <f t="shared" si="63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4"/>
        <v>YES</v>
      </c>
      <c r="Q277" t="str">
        <f t="shared" si="65"/>
        <v>NO</v>
      </c>
      <c r="R277" t="str">
        <f t="shared" si="66"/>
        <v>NO</v>
      </c>
      <c r="S277">
        <v>304</v>
      </c>
      <c r="T277" t="s">
        <v>252</v>
      </c>
      <c r="U277" t="str">
        <f t="shared" si="67"/>
        <v>Walden St</v>
      </c>
      <c r="W277" t="str">
        <f t="shared" si="68"/>
        <v/>
      </c>
      <c r="X277" t="str">
        <f>IF(ISBLANK(S277),"Intersection","Non-Intersection")</f>
        <v>Non-Intersection</v>
      </c>
      <c r="Y277" t="s">
        <v>693</v>
      </c>
      <c r="Z277" t="str">
        <f t="shared" si="69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56"/>
        <v>40179</v>
      </c>
      <c r="D278" s="4">
        <f t="shared" si="57"/>
        <v>0.21369863013698631</v>
      </c>
      <c r="E278" s="3">
        <f t="shared" si="58"/>
        <v>2010</v>
      </c>
      <c r="F278" s="3">
        <f t="shared" si="59"/>
        <v>3</v>
      </c>
      <c r="G278" s="3">
        <f t="shared" si="60"/>
        <v>20</v>
      </c>
      <c r="H278" s="3">
        <f t="shared" si="61"/>
        <v>15</v>
      </c>
      <c r="I278" s="3">
        <f t="shared" si="62"/>
        <v>10</v>
      </c>
      <c r="J278" s="3">
        <f t="shared" si="63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4"/>
        <v>YES</v>
      </c>
      <c r="Q278" t="str">
        <f t="shared" si="65"/>
        <v>NO</v>
      </c>
      <c r="R278" t="str">
        <f t="shared" si="66"/>
        <v>NO</v>
      </c>
      <c r="S278">
        <v>221</v>
      </c>
      <c r="T278" t="s">
        <v>198</v>
      </c>
      <c r="U278" t="str">
        <f t="shared" si="67"/>
        <v>Mount Auburn St</v>
      </c>
      <c r="W278" t="str">
        <f t="shared" si="68"/>
        <v/>
      </c>
      <c r="X278" t="str">
        <f>IF(ISBLANK(S278),"Intersection","Non-Intersection")</f>
        <v>Non-Intersection</v>
      </c>
      <c r="Y278" t="s">
        <v>374</v>
      </c>
      <c r="Z278" t="str">
        <f t="shared" si="69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56"/>
        <v>40179</v>
      </c>
      <c r="D279" s="4">
        <f t="shared" si="57"/>
        <v>0.21369863013698631</v>
      </c>
      <c r="E279" s="3">
        <f t="shared" si="58"/>
        <v>2010</v>
      </c>
      <c r="F279" s="3">
        <f t="shared" si="59"/>
        <v>3</v>
      </c>
      <c r="G279" s="3">
        <f t="shared" si="60"/>
        <v>20</v>
      </c>
      <c r="H279" s="3">
        <f t="shared" si="61"/>
        <v>15</v>
      </c>
      <c r="I279" s="3">
        <f t="shared" si="62"/>
        <v>53</v>
      </c>
      <c r="J279" s="3">
        <f t="shared" si="63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4"/>
        <v>YES</v>
      </c>
      <c r="Q279" t="str">
        <f t="shared" si="65"/>
        <v>YES</v>
      </c>
      <c r="R279" t="str">
        <f t="shared" si="66"/>
        <v>NO</v>
      </c>
      <c r="S279">
        <v>1820</v>
      </c>
      <c r="T279" t="s">
        <v>14</v>
      </c>
      <c r="U279" t="str">
        <f t="shared" si="67"/>
        <v>Massachusetts Ave</v>
      </c>
      <c r="V279" t="s">
        <v>675</v>
      </c>
      <c r="W279" t="str">
        <f t="shared" si="68"/>
        <v>Roseland St</v>
      </c>
      <c r="X279" t="str">
        <f>IF(ISBLANK(S279),"Intersection","Non-Intersection")</f>
        <v>Non-Intersection</v>
      </c>
      <c r="Y279" t="s">
        <v>695</v>
      </c>
      <c r="Z279" t="str">
        <f t="shared" si="69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56"/>
        <v>40179</v>
      </c>
      <c r="D280" s="4">
        <f t="shared" si="57"/>
        <v>0.21643835616438356</v>
      </c>
      <c r="E280" s="3">
        <f t="shared" si="58"/>
        <v>2010</v>
      </c>
      <c r="F280" s="3">
        <f t="shared" si="59"/>
        <v>3</v>
      </c>
      <c r="G280" s="3">
        <f t="shared" si="60"/>
        <v>21</v>
      </c>
      <c r="H280" s="3">
        <f t="shared" si="61"/>
        <v>14</v>
      </c>
      <c r="I280" s="3">
        <f t="shared" si="62"/>
        <v>39</v>
      </c>
      <c r="J280" s="3">
        <f t="shared" si="63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4"/>
        <v>YES</v>
      </c>
      <c r="Q280" t="str">
        <f t="shared" si="65"/>
        <v>NO</v>
      </c>
      <c r="R280" t="str">
        <f t="shared" si="66"/>
        <v>NO</v>
      </c>
      <c r="S280">
        <v>340</v>
      </c>
      <c r="T280" t="s">
        <v>41</v>
      </c>
      <c r="U280" t="str">
        <f t="shared" si="67"/>
        <v>River St</v>
      </c>
      <c r="W280" t="str">
        <f t="shared" si="68"/>
        <v/>
      </c>
      <c r="X280" t="str">
        <f>IF(ISBLANK(S280),"Intersection","Non-Intersection")</f>
        <v>Non-Intersection</v>
      </c>
      <c r="Y280" t="s">
        <v>696</v>
      </c>
      <c r="Z280" t="str">
        <f t="shared" si="69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56"/>
        <v>40179</v>
      </c>
      <c r="D281" s="4">
        <f t="shared" si="57"/>
        <v>0.21643835616438356</v>
      </c>
      <c r="E281" s="3">
        <f t="shared" si="58"/>
        <v>2010</v>
      </c>
      <c r="F281" s="3">
        <f t="shared" si="59"/>
        <v>3</v>
      </c>
      <c r="G281" s="3">
        <f t="shared" si="60"/>
        <v>21</v>
      </c>
      <c r="H281" s="3">
        <f t="shared" si="61"/>
        <v>20</v>
      </c>
      <c r="I281" s="3">
        <f t="shared" si="62"/>
        <v>29</v>
      </c>
      <c r="J281" s="3">
        <f t="shared" si="63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4"/>
        <v>YES</v>
      </c>
      <c r="Q281" t="str">
        <f t="shared" si="65"/>
        <v>NO</v>
      </c>
      <c r="R281" t="str">
        <f t="shared" si="66"/>
        <v>NO</v>
      </c>
      <c r="T281" t="s">
        <v>20</v>
      </c>
      <c r="U281" t="str">
        <f t="shared" si="67"/>
        <v>Sciarappa St</v>
      </c>
      <c r="V281" t="s">
        <v>698</v>
      </c>
      <c r="W281" t="str">
        <f t="shared" si="68"/>
        <v>Thorndike St</v>
      </c>
      <c r="X281" t="str">
        <f>IF(ISBLANK(S281),"Intersection","Non-Intersection")</f>
        <v>Intersection</v>
      </c>
      <c r="Y281" t="s">
        <v>699</v>
      </c>
      <c r="Z281" t="str">
        <f t="shared" si="69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56"/>
        <v>40179</v>
      </c>
      <c r="D282" s="4">
        <f t="shared" si="57"/>
        <v>0.21643835616438356</v>
      </c>
      <c r="E282" s="3">
        <f t="shared" si="58"/>
        <v>2010</v>
      </c>
      <c r="F282" s="3">
        <f t="shared" si="59"/>
        <v>3</v>
      </c>
      <c r="G282" s="3">
        <f t="shared" si="60"/>
        <v>21</v>
      </c>
      <c r="H282" s="3">
        <f t="shared" si="61"/>
        <v>9</v>
      </c>
      <c r="I282" s="3">
        <f t="shared" si="62"/>
        <v>11</v>
      </c>
      <c r="J282" s="3">
        <f t="shared" si="63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4"/>
        <v>YES</v>
      </c>
      <c r="Q282" t="str">
        <f t="shared" si="65"/>
        <v>NO</v>
      </c>
      <c r="R282" t="str">
        <f t="shared" si="66"/>
        <v>YES</v>
      </c>
      <c r="S282">
        <v>1692</v>
      </c>
      <c r="T282" t="s">
        <v>14</v>
      </c>
      <c r="U282" t="str">
        <f t="shared" si="67"/>
        <v>Massachusetts Ave</v>
      </c>
      <c r="W282" t="str">
        <f t="shared" si="68"/>
        <v/>
      </c>
      <c r="X282" t="str">
        <f>IF(ISBLANK(S282),"Intersection","Non-Intersection")</f>
        <v>Non-Intersection</v>
      </c>
      <c r="Y282" t="s">
        <v>701</v>
      </c>
      <c r="Z282" t="str">
        <f t="shared" si="69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56"/>
        <v>40179</v>
      </c>
      <c r="D283" s="4">
        <f t="shared" si="57"/>
        <v>0.21917808219178081</v>
      </c>
      <c r="E283" s="3">
        <f t="shared" si="58"/>
        <v>2010</v>
      </c>
      <c r="F283" s="3">
        <f t="shared" si="59"/>
        <v>3</v>
      </c>
      <c r="G283" s="3">
        <f t="shared" si="60"/>
        <v>22</v>
      </c>
      <c r="H283" s="3">
        <f t="shared" si="61"/>
        <v>13</v>
      </c>
      <c r="I283" s="3">
        <f t="shared" si="62"/>
        <v>40</v>
      </c>
      <c r="J283" s="3">
        <f t="shared" si="63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4"/>
        <v>YES</v>
      </c>
      <c r="Q283" t="str">
        <f t="shared" si="65"/>
        <v>NO</v>
      </c>
      <c r="R283" t="str">
        <f t="shared" si="66"/>
        <v>NO</v>
      </c>
      <c r="T283" t="s">
        <v>104</v>
      </c>
      <c r="U283" t="str">
        <f t="shared" si="67"/>
        <v>Inman St</v>
      </c>
      <c r="V283" t="s">
        <v>703</v>
      </c>
      <c r="W283" t="str">
        <f t="shared" si="68"/>
        <v>Doyle Way</v>
      </c>
      <c r="X283" t="str">
        <f>IF(ISBLANK(S283),"Intersection","Non-Intersection")</f>
        <v>Intersection</v>
      </c>
      <c r="Y283" t="s">
        <v>704</v>
      </c>
      <c r="Z283" t="str">
        <f t="shared" si="69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56"/>
        <v>40179</v>
      </c>
      <c r="D284" s="4">
        <f t="shared" si="57"/>
        <v>0.21917808219178081</v>
      </c>
      <c r="E284" s="3">
        <f t="shared" si="58"/>
        <v>2010</v>
      </c>
      <c r="F284" s="3">
        <f t="shared" si="59"/>
        <v>3</v>
      </c>
      <c r="G284" s="3">
        <f t="shared" si="60"/>
        <v>22</v>
      </c>
      <c r="H284" s="3">
        <f t="shared" si="61"/>
        <v>17</v>
      </c>
      <c r="I284" s="3">
        <f t="shared" si="62"/>
        <v>44</v>
      </c>
      <c r="J284" s="3">
        <f t="shared" si="63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4"/>
        <v>YES</v>
      </c>
      <c r="Q284" t="str">
        <f t="shared" si="65"/>
        <v>NO</v>
      </c>
      <c r="R284" t="str">
        <f t="shared" si="66"/>
        <v>NO</v>
      </c>
      <c r="S284">
        <v>334</v>
      </c>
      <c r="T284" t="s">
        <v>105</v>
      </c>
      <c r="U284" t="str">
        <f t="shared" si="67"/>
        <v>Broadway</v>
      </c>
      <c r="W284" t="str">
        <f t="shared" si="68"/>
        <v/>
      </c>
      <c r="X284" t="str">
        <f>IF(ISBLANK(S284),"Intersection","Non-Intersection")</f>
        <v>Non-Intersection</v>
      </c>
      <c r="Y284" t="s">
        <v>706</v>
      </c>
      <c r="Z284" t="str">
        <f t="shared" si="69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56"/>
        <v>40179</v>
      </c>
      <c r="D285" s="4">
        <f t="shared" si="57"/>
        <v>0.21917808219178081</v>
      </c>
      <c r="E285" s="3">
        <f t="shared" si="58"/>
        <v>2010</v>
      </c>
      <c r="F285" s="3">
        <f t="shared" si="59"/>
        <v>3</v>
      </c>
      <c r="G285" s="3">
        <f t="shared" si="60"/>
        <v>22</v>
      </c>
      <c r="H285" s="3">
        <f t="shared" si="61"/>
        <v>19</v>
      </c>
      <c r="I285" s="3">
        <f t="shared" si="62"/>
        <v>30</v>
      </c>
      <c r="J285" s="3">
        <f t="shared" si="63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4"/>
        <v>YES</v>
      </c>
      <c r="Q285" t="str">
        <f t="shared" si="65"/>
        <v>NO</v>
      </c>
      <c r="R285" t="str">
        <f t="shared" si="66"/>
        <v>NO</v>
      </c>
      <c r="S285">
        <v>161</v>
      </c>
      <c r="T285" t="s">
        <v>192</v>
      </c>
      <c r="U285" t="str">
        <f t="shared" si="67"/>
        <v>Hancock St</v>
      </c>
      <c r="W285" t="str">
        <f t="shared" si="68"/>
        <v/>
      </c>
      <c r="X285" t="str">
        <f>IF(ISBLANK(S285),"Intersection","Non-Intersection")</f>
        <v>Non-Intersection</v>
      </c>
      <c r="Y285" t="s">
        <v>708</v>
      </c>
      <c r="Z285" t="str">
        <f t="shared" si="69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56"/>
        <v>40179</v>
      </c>
      <c r="D286" s="4">
        <f t="shared" si="57"/>
        <v>0.22191780821917809</v>
      </c>
      <c r="E286" s="3">
        <f t="shared" si="58"/>
        <v>2010</v>
      </c>
      <c r="F286" s="3">
        <f t="shared" si="59"/>
        <v>3</v>
      </c>
      <c r="G286" s="3">
        <f t="shared" si="60"/>
        <v>23</v>
      </c>
      <c r="H286" s="3">
        <f t="shared" si="61"/>
        <v>8</v>
      </c>
      <c r="I286" s="3">
        <f t="shared" si="62"/>
        <v>46</v>
      </c>
      <c r="J286" s="3">
        <f t="shared" si="63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4"/>
        <v>YES</v>
      </c>
      <c r="Q286" t="str">
        <f t="shared" si="65"/>
        <v>NO</v>
      </c>
      <c r="R286" t="str">
        <f t="shared" si="66"/>
        <v>NO</v>
      </c>
      <c r="T286" t="s">
        <v>185</v>
      </c>
      <c r="U286" t="str">
        <f t="shared" si="67"/>
        <v>Garden St</v>
      </c>
      <c r="V286" t="s">
        <v>296</v>
      </c>
      <c r="W286" t="str">
        <f t="shared" si="68"/>
        <v>Mason St</v>
      </c>
      <c r="X286" t="str">
        <f>IF(ISBLANK(S286),"Intersection","Non-Intersection")</f>
        <v>Intersection</v>
      </c>
      <c r="Y286" t="s">
        <v>594</v>
      </c>
      <c r="Z286" t="str">
        <f t="shared" si="69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56"/>
        <v>40179</v>
      </c>
      <c r="D287" s="4">
        <f t="shared" si="57"/>
        <v>0.22191780821917809</v>
      </c>
      <c r="E287" s="3">
        <f t="shared" si="58"/>
        <v>2010</v>
      </c>
      <c r="F287" s="3">
        <f t="shared" si="59"/>
        <v>3</v>
      </c>
      <c r="G287" s="3">
        <f t="shared" si="60"/>
        <v>23</v>
      </c>
      <c r="H287" s="3">
        <f t="shared" si="61"/>
        <v>14</v>
      </c>
      <c r="I287" s="3">
        <f t="shared" si="62"/>
        <v>19</v>
      </c>
      <c r="J287" s="3">
        <f t="shared" si="63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4"/>
        <v>YES</v>
      </c>
      <c r="Q287" t="str">
        <f t="shared" si="65"/>
        <v>NO</v>
      </c>
      <c r="R287" t="str">
        <f t="shared" si="66"/>
        <v>NO</v>
      </c>
      <c r="T287" t="s">
        <v>209</v>
      </c>
      <c r="U287" t="str">
        <f t="shared" si="67"/>
        <v>Binney St</v>
      </c>
      <c r="V287" t="s">
        <v>61</v>
      </c>
      <c r="W287" t="str">
        <f t="shared" si="68"/>
        <v>First St</v>
      </c>
      <c r="X287" t="str">
        <f>IF(ISBLANK(S287),"Intersection","Non-Intersection")</f>
        <v>Intersection</v>
      </c>
      <c r="Y287" t="s">
        <v>579</v>
      </c>
      <c r="Z287" t="str">
        <f t="shared" si="69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56"/>
        <v>40179</v>
      </c>
      <c r="D288" s="4">
        <f t="shared" si="57"/>
        <v>0.22191780821917809</v>
      </c>
      <c r="E288" s="3">
        <f t="shared" si="58"/>
        <v>2010</v>
      </c>
      <c r="F288" s="3">
        <f t="shared" si="59"/>
        <v>3</v>
      </c>
      <c r="G288" s="3">
        <f t="shared" si="60"/>
        <v>23</v>
      </c>
      <c r="H288" s="3">
        <f t="shared" si="61"/>
        <v>18</v>
      </c>
      <c r="I288" s="3">
        <f t="shared" si="62"/>
        <v>30</v>
      </c>
      <c r="J288" s="3">
        <f t="shared" si="63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4"/>
        <v>YES</v>
      </c>
      <c r="Q288" t="str">
        <f t="shared" si="65"/>
        <v>NO</v>
      </c>
      <c r="R288" t="str">
        <f t="shared" si="66"/>
        <v>NO</v>
      </c>
      <c r="T288" t="s">
        <v>710</v>
      </c>
      <c r="U288" t="str">
        <f t="shared" si="67"/>
        <v>Fresh Pond Pky</v>
      </c>
      <c r="V288" t="s">
        <v>199</v>
      </c>
      <c r="W288" t="str">
        <f t="shared" si="68"/>
        <v>Brattle St</v>
      </c>
      <c r="X288" t="str">
        <f>IF(ISBLANK(S288),"Intersection","Non-Intersection")</f>
        <v>Intersection</v>
      </c>
      <c r="Y288" t="s">
        <v>711</v>
      </c>
      <c r="Z288" t="str">
        <f t="shared" si="69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56"/>
        <v>40179</v>
      </c>
      <c r="D289" s="4">
        <f t="shared" si="57"/>
        <v>0.22191780821917809</v>
      </c>
      <c r="E289" s="3">
        <f t="shared" si="58"/>
        <v>2010</v>
      </c>
      <c r="F289" s="3">
        <f t="shared" si="59"/>
        <v>3</v>
      </c>
      <c r="G289" s="3">
        <f t="shared" si="60"/>
        <v>23</v>
      </c>
      <c r="H289" s="3">
        <f t="shared" si="61"/>
        <v>17</v>
      </c>
      <c r="I289" s="3">
        <f t="shared" si="62"/>
        <v>10</v>
      </c>
      <c r="J289" s="3">
        <f t="shared" si="63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4"/>
        <v>YES</v>
      </c>
      <c r="Q289" t="str">
        <f t="shared" si="65"/>
        <v>NO</v>
      </c>
      <c r="R289" t="str">
        <f t="shared" si="66"/>
        <v>NO</v>
      </c>
      <c r="S289">
        <v>315</v>
      </c>
      <c r="T289" t="s">
        <v>75</v>
      </c>
      <c r="U289" t="str">
        <f t="shared" si="67"/>
        <v>Elm St</v>
      </c>
      <c r="V289" t="s">
        <v>587</v>
      </c>
      <c r="W289" t="str">
        <f t="shared" si="68"/>
        <v>Webster Ave</v>
      </c>
      <c r="X289" t="str">
        <f>IF(ISBLANK(S289),"Intersection","Non-Intersection")</f>
        <v>Non-Intersection</v>
      </c>
      <c r="Y289" t="s">
        <v>713</v>
      </c>
      <c r="Z289" t="str">
        <f t="shared" si="69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56"/>
        <v>40179</v>
      </c>
      <c r="D290" s="4">
        <f t="shared" si="57"/>
        <v>0.22191780821917809</v>
      </c>
      <c r="E290" s="3">
        <f t="shared" si="58"/>
        <v>2010</v>
      </c>
      <c r="F290" s="3">
        <f t="shared" si="59"/>
        <v>3</v>
      </c>
      <c r="G290" s="3">
        <f t="shared" si="60"/>
        <v>23</v>
      </c>
      <c r="H290" s="3">
        <f t="shared" si="61"/>
        <v>12</v>
      </c>
      <c r="I290" s="3">
        <f t="shared" si="62"/>
        <v>14</v>
      </c>
      <c r="J290" s="3">
        <f t="shared" si="63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4"/>
        <v>YES</v>
      </c>
      <c r="Q290" t="str">
        <f t="shared" si="65"/>
        <v>NO</v>
      </c>
      <c r="R290" t="str">
        <f t="shared" si="66"/>
        <v>NO</v>
      </c>
      <c r="T290" t="s">
        <v>326</v>
      </c>
      <c r="U290" t="str">
        <f t="shared" si="67"/>
        <v>Jfk St</v>
      </c>
      <c r="V290" t="s">
        <v>133</v>
      </c>
      <c r="W290" t="str">
        <f t="shared" si="68"/>
        <v>Harvard St</v>
      </c>
      <c r="X290" t="str">
        <f>IF(ISBLANK(S290),"Intersection","Non-Intersection")</f>
        <v>Intersection</v>
      </c>
      <c r="Y290" t="s">
        <v>715</v>
      </c>
      <c r="Z290" t="str">
        <f t="shared" si="69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56"/>
        <v>40179</v>
      </c>
      <c r="D291" s="4">
        <f t="shared" si="57"/>
        <v>0.22191780821917809</v>
      </c>
      <c r="E291" s="3">
        <f t="shared" si="58"/>
        <v>2010</v>
      </c>
      <c r="F291" s="3">
        <f t="shared" si="59"/>
        <v>3</v>
      </c>
      <c r="G291" s="3">
        <f t="shared" si="60"/>
        <v>23</v>
      </c>
      <c r="H291" s="3">
        <f t="shared" si="61"/>
        <v>8</v>
      </c>
      <c r="I291" s="3">
        <f t="shared" si="62"/>
        <v>15</v>
      </c>
      <c r="J291" s="3">
        <f t="shared" si="63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4"/>
        <v>YES</v>
      </c>
      <c r="Q291" t="str">
        <f t="shared" si="65"/>
        <v>NO</v>
      </c>
      <c r="R291" t="str">
        <f t="shared" si="66"/>
        <v>NO</v>
      </c>
      <c r="U291" t="str">
        <f t="shared" si="67"/>
        <v/>
      </c>
      <c r="W291" t="str">
        <f t="shared" si="68"/>
        <v/>
      </c>
      <c r="X291" t="str">
        <f>IF(ISBLANK(S291),"Intersection","Non-Intersection")</f>
        <v>Intersection</v>
      </c>
      <c r="Y291" t="s">
        <v>717</v>
      </c>
      <c r="Z291" t="str">
        <f t="shared" si="69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56"/>
        <v>40179</v>
      </c>
      <c r="D292" s="4">
        <f t="shared" si="57"/>
        <v>0.22465753424657534</v>
      </c>
      <c r="E292" s="3">
        <f t="shared" si="58"/>
        <v>2010</v>
      </c>
      <c r="F292" s="3">
        <f t="shared" si="59"/>
        <v>3</v>
      </c>
      <c r="G292" s="3">
        <f t="shared" si="60"/>
        <v>24</v>
      </c>
      <c r="H292" s="3">
        <f t="shared" si="61"/>
        <v>0</v>
      </c>
      <c r="I292" s="3">
        <f t="shared" si="62"/>
        <v>4</v>
      </c>
      <c r="J292" s="3">
        <f t="shared" si="63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4"/>
        <v>YES</v>
      </c>
      <c r="Q292" t="str">
        <f t="shared" si="65"/>
        <v>NO</v>
      </c>
      <c r="R292" t="str">
        <f t="shared" si="66"/>
        <v>NO</v>
      </c>
      <c r="S292">
        <v>23</v>
      </c>
      <c r="T292" t="s">
        <v>195</v>
      </c>
      <c r="U292" t="str">
        <f t="shared" si="67"/>
        <v>Sidney St</v>
      </c>
      <c r="W292" t="str">
        <f t="shared" si="68"/>
        <v/>
      </c>
      <c r="X292" t="str">
        <f>IF(ISBLANK(S292),"Intersection","Non-Intersection")</f>
        <v>Non-Intersection</v>
      </c>
      <c r="Y292" t="s">
        <v>718</v>
      </c>
      <c r="Z292" t="str">
        <f t="shared" si="69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56"/>
        <v>40179</v>
      </c>
      <c r="D293" s="4">
        <f t="shared" si="57"/>
        <v>0.22465753424657534</v>
      </c>
      <c r="E293" s="3">
        <f t="shared" si="58"/>
        <v>2010</v>
      </c>
      <c r="F293" s="3">
        <f t="shared" si="59"/>
        <v>3</v>
      </c>
      <c r="G293" s="3">
        <f t="shared" si="60"/>
        <v>24</v>
      </c>
      <c r="H293" s="3">
        <f t="shared" si="61"/>
        <v>19</v>
      </c>
      <c r="I293" s="3">
        <f t="shared" si="62"/>
        <v>18</v>
      </c>
      <c r="J293" s="3">
        <f t="shared" si="63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4"/>
        <v>YES</v>
      </c>
      <c r="Q293" t="str">
        <f t="shared" si="65"/>
        <v>NO</v>
      </c>
      <c r="R293" t="str">
        <f t="shared" si="66"/>
        <v>NO</v>
      </c>
      <c r="S293">
        <v>149</v>
      </c>
      <c r="T293" t="s">
        <v>170</v>
      </c>
      <c r="U293" t="str">
        <f t="shared" si="67"/>
        <v>Alewife Brook Pky</v>
      </c>
      <c r="W293" t="str">
        <f t="shared" si="68"/>
        <v/>
      </c>
      <c r="X293" t="str">
        <f>IF(ISBLANK(S293),"Intersection","Non-Intersection")</f>
        <v>Non-Intersection</v>
      </c>
      <c r="Y293" t="s">
        <v>720</v>
      </c>
      <c r="Z293" t="str">
        <f t="shared" si="69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56"/>
        <v>40179</v>
      </c>
      <c r="D294" s="4">
        <f t="shared" si="57"/>
        <v>0.22465753424657534</v>
      </c>
      <c r="E294" s="3">
        <f t="shared" si="58"/>
        <v>2010</v>
      </c>
      <c r="F294" s="3">
        <f t="shared" si="59"/>
        <v>3</v>
      </c>
      <c r="G294" s="3">
        <f t="shared" si="60"/>
        <v>24</v>
      </c>
      <c r="H294" s="3">
        <f t="shared" si="61"/>
        <v>15</v>
      </c>
      <c r="I294" s="3">
        <f t="shared" si="62"/>
        <v>14</v>
      </c>
      <c r="J294" s="3">
        <f t="shared" si="63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4"/>
        <v>YES</v>
      </c>
      <c r="Q294" t="str">
        <f t="shared" si="65"/>
        <v>NO</v>
      </c>
      <c r="R294" t="str">
        <f t="shared" si="66"/>
        <v>NO</v>
      </c>
      <c r="S294">
        <v>27</v>
      </c>
      <c r="T294" t="s">
        <v>177</v>
      </c>
      <c r="U294" t="str">
        <f t="shared" si="67"/>
        <v>Holworthy St</v>
      </c>
      <c r="V294" t="s">
        <v>722</v>
      </c>
      <c r="W294" t="str">
        <f t="shared" si="68"/>
        <v>Spruce Ave</v>
      </c>
      <c r="X294" t="str">
        <f>IF(ISBLANK(S294),"Intersection","Non-Intersection")</f>
        <v>Non-Intersection</v>
      </c>
      <c r="Y294" t="s">
        <v>723</v>
      </c>
      <c r="Z294" t="str">
        <f t="shared" si="69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56"/>
        <v>40179</v>
      </c>
      <c r="D295" s="4">
        <f t="shared" si="57"/>
        <v>0.22465753424657534</v>
      </c>
      <c r="E295" s="3">
        <f t="shared" si="58"/>
        <v>2010</v>
      </c>
      <c r="F295" s="3">
        <f t="shared" si="59"/>
        <v>3</v>
      </c>
      <c r="G295" s="3">
        <f t="shared" si="60"/>
        <v>24</v>
      </c>
      <c r="H295" s="3">
        <f t="shared" si="61"/>
        <v>10</v>
      </c>
      <c r="I295" s="3">
        <f t="shared" si="62"/>
        <v>30</v>
      </c>
      <c r="J295" s="3">
        <f t="shared" si="63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4"/>
        <v>YES</v>
      </c>
      <c r="Q295" t="str">
        <f t="shared" si="65"/>
        <v>NO</v>
      </c>
      <c r="R295" t="str">
        <f t="shared" si="66"/>
        <v>NO</v>
      </c>
      <c r="T295" t="s">
        <v>342</v>
      </c>
      <c r="U295" t="str">
        <f t="shared" si="67"/>
        <v>Prospect St</v>
      </c>
      <c r="V295" t="s">
        <v>105</v>
      </c>
      <c r="W295" t="str">
        <f t="shared" si="68"/>
        <v>Broadway</v>
      </c>
      <c r="X295" t="str">
        <f>IF(ISBLANK(S295),"Intersection","Non-Intersection")</f>
        <v>Intersection</v>
      </c>
      <c r="Y295" t="s">
        <v>725</v>
      </c>
      <c r="Z295" t="str">
        <f t="shared" si="69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56"/>
        <v>40179</v>
      </c>
      <c r="D296" s="4">
        <f t="shared" si="57"/>
        <v>0.22739726027397261</v>
      </c>
      <c r="E296" s="3">
        <f t="shared" si="58"/>
        <v>2010</v>
      </c>
      <c r="F296" s="3">
        <f t="shared" si="59"/>
        <v>3</v>
      </c>
      <c r="G296" s="3">
        <f t="shared" si="60"/>
        <v>25</v>
      </c>
      <c r="H296" s="3">
        <f t="shared" si="61"/>
        <v>8</v>
      </c>
      <c r="I296" s="3">
        <f t="shared" si="62"/>
        <v>45</v>
      </c>
      <c r="J296" s="3">
        <f t="shared" si="63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4"/>
        <v>YES</v>
      </c>
      <c r="Q296" t="str">
        <f t="shared" si="65"/>
        <v>YES</v>
      </c>
      <c r="R296" t="str">
        <f t="shared" si="66"/>
        <v>NO</v>
      </c>
      <c r="T296" t="s">
        <v>325</v>
      </c>
      <c r="U296" t="str">
        <f t="shared" si="67"/>
        <v>Eliot St</v>
      </c>
      <c r="V296" t="s">
        <v>326</v>
      </c>
      <c r="W296" t="str">
        <f t="shared" si="68"/>
        <v>Jfk St</v>
      </c>
      <c r="X296" t="str">
        <f>IF(ISBLANK(S296),"Intersection","Non-Intersection")</f>
        <v>Intersection</v>
      </c>
      <c r="Y296" t="s">
        <v>327</v>
      </c>
      <c r="Z296" t="str">
        <f t="shared" si="69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56"/>
        <v>40179</v>
      </c>
      <c r="D297" s="4">
        <f t="shared" si="57"/>
        <v>0.22739726027397261</v>
      </c>
      <c r="E297" s="3">
        <f t="shared" si="58"/>
        <v>2010</v>
      </c>
      <c r="F297" s="3">
        <f t="shared" si="59"/>
        <v>3</v>
      </c>
      <c r="G297" s="3">
        <f t="shared" si="60"/>
        <v>25</v>
      </c>
      <c r="H297" s="3">
        <f t="shared" si="61"/>
        <v>11</v>
      </c>
      <c r="I297" s="3">
        <f t="shared" si="62"/>
        <v>45</v>
      </c>
      <c r="J297" s="3">
        <f t="shared" si="63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4"/>
        <v>YES</v>
      </c>
      <c r="Q297" t="str">
        <f t="shared" si="65"/>
        <v>NO</v>
      </c>
      <c r="R297" t="str">
        <f t="shared" si="66"/>
        <v>NO</v>
      </c>
      <c r="T297" t="s">
        <v>710</v>
      </c>
      <c r="U297" t="str">
        <f t="shared" si="67"/>
        <v>Fresh Pond Pky</v>
      </c>
      <c r="W297" t="str">
        <f t="shared" si="68"/>
        <v/>
      </c>
      <c r="X297" t="str">
        <f>IF(ISBLANK(S297),"Intersection","Non-Intersection")</f>
        <v>Intersection</v>
      </c>
      <c r="Y297" t="s">
        <v>726</v>
      </c>
      <c r="Z297" t="str">
        <f t="shared" si="69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56"/>
        <v>40179</v>
      </c>
      <c r="D298" s="4">
        <f t="shared" si="57"/>
        <v>0.22739726027397261</v>
      </c>
      <c r="E298" s="3">
        <f t="shared" si="58"/>
        <v>2010</v>
      </c>
      <c r="F298" s="3">
        <f t="shared" si="59"/>
        <v>3</v>
      </c>
      <c r="G298" s="3">
        <f t="shared" si="60"/>
        <v>25</v>
      </c>
      <c r="H298" s="3">
        <f t="shared" si="61"/>
        <v>12</v>
      </c>
      <c r="I298" s="3">
        <f t="shared" si="62"/>
        <v>30</v>
      </c>
      <c r="J298" s="3">
        <f t="shared" si="63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4"/>
        <v>YES</v>
      </c>
      <c r="Q298" t="str">
        <f t="shared" si="65"/>
        <v>NO</v>
      </c>
      <c r="R298" t="str">
        <f t="shared" si="66"/>
        <v>NO</v>
      </c>
      <c r="S298">
        <v>1691</v>
      </c>
      <c r="T298" t="s">
        <v>19</v>
      </c>
      <c r="U298" t="str">
        <f t="shared" si="67"/>
        <v>Cambridge St</v>
      </c>
      <c r="W298" t="str">
        <f t="shared" si="68"/>
        <v/>
      </c>
      <c r="X298" t="str">
        <f>IF(ISBLANK(S298),"Intersection","Non-Intersection")</f>
        <v>Non-Intersection</v>
      </c>
      <c r="Y298" t="s">
        <v>727</v>
      </c>
      <c r="Z298" t="str">
        <f t="shared" si="69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56"/>
        <v>40179</v>
      </c>
      <c r="D299" s="4">
        <f t="shared" si="57"/>
        <v>0.22739726027397261</v>
      </c>
      <c r="E299" s="3">
        <f t="shared" si="58"/>
        <v>2010</v>
      </c>
      <c r="F299" s="3">
        <f t="shared" si="59"/>
        <v>3</v>
      </c>
      <c r="G299" s="3">
        <f t="shared" si="60"/>
        <v>25</v>
      </c>
      <c r="H299" s="3">
        <f t="shared" si="61"/>
        <v>15</v>
      </c>
      <c r="I299" s="3">
        <f t="shared" si="62"/>
        <v>30</v>
      </c>
      <c r="J299" s="3">
        <f t="shared" si="63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4"/>
        <v>YES</v>
      </c>
      <c r="Q299" t="str">
        <f t="shared" si="65"/>
        <v>YES</v>
      </c>
      <c r="R299" t="str">
        <f t="shared" si="66"/>
        <v>NO</v>
      </c>
      <c r="T299" t="s">
        <v>185</v>
      </c>
      <c r="U299" t="str">
        <f t="shared" si="67"/>
        <v>Garden St</v>
      </c>
      <c r="V299" t="s">
        <v>449</v>
      </c>
      <c r="W299" t="str">
        <f t="shared" si="68"/>
        <v>Appian Way</v>
      </c>
      <c r="X299" t="str">
        <f>IF(ISBLANK(S299),"Intersection","Non-Intersection")</f>
        <v>Intersection</v>
      </c>
      <c r="Y299" t="s">
        <v>729</v>
      </c>
      <c r="Z299" t="str">
        <f t="shared" si="69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56"/>
        <v>40179</v>
      </c>
      <c r="D300" s="4">
        <f t="shared" si="57"/>
        <v>0.22739726027397261</v>
      </c>
      <c r="E300" s="3">
        <f t="shared" si="58"/>
        <v>2010</v>
      </c>
      <c r="F300" s="3">
        <f t="shared" si="59"/>
        <v>3</v>
      </c>
      <c r="G300" s="3">
        <f t="shared" si="60"/>
        <v>25</v>
      </c>
      <c r="H300" s="3">
        <f t="shared" si="61"/>
        <v>16</v>
      </c>
      <c r="I300" s="3">
        <f t="shared" si="62"/>
        <v>21</v>
      </c>
      <c r="J300" s="3">
        <f t="shared" si="63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4"/>
        <v>YES</v>
      </c>
      <c r="Q300" t="str">
        <f t="shared" si="65"/>
        <v>NO</v>
      </c>
      <c r="R300" t="str">
        <f t="shared" si="66"/>
        <v>NO</v>
      </c>
      <c r="S300">
        <v>130</v>
      </c>
      <c r="T300" t="s">
        <v>316</v>
      </c>
      <c r="U300" t="str">
        <f t="shared" si="67"/>
        <v>Bishop Allen Dr</v>
      </c>
      <c r="W300" t="str">
        <f t="shared" si="68"/>
        <v/>
      </c>
      <c r="X300" t="str">
        <f>IF(ISBLANK(S300),"Intersection","Non-Intersection")</f>
        <v>Non-Intersection</v>
      </c>
      <c r="Y300" t="s">
        <v>731</v>
      </c>
      <c r="Z300" t="str">
        <f t="shared" si="69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56"/>
        <v>40179</v>
      </c>
      <c r="D301" s="4">
        <f t="shared" si="57"/>
        <v>0.22739726027397261</v>
      </c>
      <c r="E301" s="3">
        <f t="shared" si="58"/>
        <v>2010</v>
      </c>
      <c r="F301" s="3">
        <f t="shared" si="59"/>
        <v>3</v>
      </c>
      <c r="G301" s="3">
        <f t="shared" si="60"/>
        <v>25</v>
      </c>
      <c r="H301" s="3">
        <f t="shared" si="61"/>
        <v>16</v>
      </c>
      <c r="I301" s="3">
        <f t="shared" si="62"/>
        <v>30</v>
      </c>
      <c r="J301" s="3">
        <f t="shared" si="63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4"/>
        <v>YES</v>
      </c>
      <c r="Q301" t="str">
        <f t="shared" si="65"/>
        <v>NO</v>
      </c>
      <c r="R301" t="str">
        <f t="shared" si="66"/>
        <v>NO</v>
      </c>
      <c r="S301">
        <v>8</v>
      </c>
      <c r="T301" t="s">
        <v>104</v>
      </c>
      <c r="U301" t="str">
        <f t="shared" si="67"/>
        <v>Inman St</v>
      </c>
      <c r="W301" t="str">
        <f t="shared" si="68"/>
        <v/>
      </c>
      <c r="X301" t="str">
        <f>IF(ISBLANK(S301),"Intersection","Non-Intersection")</f>
        <v>Non-Intersection</v>
      </c>
      <c r="Y301" t="s">
        <v>733</v>
      </c>
      <c r="Z301" t="str">
        <f t="shared" si="69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56"/>
        <v>40179</v>
      </c>
      <c r="D302" s="4">
        <f t="shared" si="57"/>
        <v>0.22739726027397261</v>
      </c>
      <c r="E302" s="3">
        <f t="shared" si="58"/>
        <v>2010</v>
      </c>
      <c r="F302" s="3">
        <f t="shared" si="59"/>
        <v>3</v>
      </c>
      <c r="G302" s="3">
        <f t="shared" si="60"/>
        <v>25</v>
      </c>
      <c r="H302" s="3">
        <f t="shared" si="61"/>
        <v>17</v>
      </c>
      <c r="I302" s="3">
        <f t="shared" si="62"/>
        <v>35</v>
      </c>
      <c r="J302" s="3">
        <f t="shared" si="63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4"/>
        <v>NO</v>
      </c>
      <c r="Q302" t="str">
        <f t="shared" si="65"/>
        <v>YES</v>
      </c>
      <c r="R302" t="str">
        <f t="shared" si="66"/>
        <v>YES</v>
      </c>
      <c r="S302">
        <v>28</v>
      </c>
      <c r="T302" t="s">
        <v>229</v>
      </c>
      <c r="U302" t="str">
        <f t="shared" si="67"/>
        <v>Dewolfe St</v>
      </c>
      <c r="W302" t="str">
        <f t="shared" si="68"/>
        <v/>
      </c>
      <c r="X302" t="str">
        <f>IF(ISBLANK(S302),"Intersection","Non-Intersection")</f>
        <v>Non-Intersection</v>
      </c>
      <c r="Y302" t="s">
        <v>735</v>
      </c>
      <c r="Z302" t="str">
        <f t="shared" si="69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56"/>
        <v>40179</v>
      </c>
      <c r="D303" s="4">
        <f t="shared" si="57"/>
        <v>0.22739726027397261</v>
      </c>
      <c r="E303" s="3">
        <f t="shared" si="58"/>
        <v>2010</v>
      </c>
      <c r="F303" s="3">
        <f t="shared" si="59"/>
        <v>3</v>
      </c>
      <c r="G303" s="3">
        <f t="shared" si="60"/>
        <v>25</v>
      </c>
      <c r="H303" s="3">
        <f t="shared" si="61"/>
        <v>18</v>
      </c>
      <c r="I303" s="3">
        <f t="shared" si="62"/>
        <v>20</v>
      </c>
      <c r="J303" s="3">
        <f t="shared" si="63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4"/>
        <v>YES</v>
      </c>
      <c r="Q303" t="str">
        <f t="shared" si="65"/>
        <v>YES</v>
      </c>
      <c r="R303" t="str">
        <f t="shared" si="66"/>
        <v>NO</v>
      </c>
      <c r="S303">
        <v>58</v>
      </c>
      <c r="T303" t="s">
        <v>737</v>
      </c>
      <c r="U303" t="str">
        <f t="shared" si="67"/>
        <v>Willow St</v>
      </c>
      <c r="W303" t="str">
        <f t="shared" si="68"/>
        <v/>
      </c>
      <c r="X303" t="str">
        <f>IF(ISBLANK(S303),"Intersection","Non-Intersection")</f>
        <v>Non-Intersection</v>
      </c>
      <c r="Y303" t="s">
        <v>738</v>
      </c>
      <c r="Z303" t="str">
        <f t="shared" si="69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0">EOMONTH(B304,MONTH(B304)*-1)+1</f>
        <v>40179</v>
      </c>
      <c r="D304" s="4">
        <f t="shared" ref="D304:D363" si="71">YEARFRAC(C304,B304,1)</f>
        <v>0.23013698630136986</v>
      </c>
      <c r="E304" s="3">
        <f t="shared" ref="E304:E363" si="72">YEAR(B304)</f>
        <v>2010</v>
      </c>
      <c r="F304" s="3">
        <f t="shared" ref="F304:F363" si="73">MONTH(B304)</f>
        <v>3</v>
      </c>
      <c r="G304" s="3">
        <f t="shared" ref="G304:G363" si="74">DAY(B304)</f>
        <v>26</v>
      </c>
      <c r="H304" s="3">
        <f t="shared" ref="H304:H363" si="75">HOUR(B304)</f>
        <v>9</v>
      </c>
      <c r="I304" s="3">
        <f t="shared" ref="I304:I363" si="76">MINUTE(B304)</f>
        <v>0</v>
      </c>
      <c r="J304" s="3">
        <f t="shared" ref="J304:J363" si="77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78">IF(OR(N304="Auto",O304="Auto"),"YES",IF(OR(N304="Taxi",O304="Taxi"),"YES",IF(OR(N304="Van",O304="Van"),"YES",IF(OR(N304="Truck",O304="Truck"),"YES","NO"))))</f>
        <v>YES</v>
      </c>
      <c r="Q304" t="str">
        <f t="shared" ref="Q304:Q363" si="79">IF(OR(N304="Bicycle",O304="Bicycle"),"YES","NO")</f>
        <v>NO</v>
      </c>
      <c r="R304" t="str">
        <f t="shared" ref="R304:R363" si="80">IF(OR(N304="Pedestrian",O304="Pedestrian"),"YES","NO")</f>
        <v>NO</v>
      </c>
      <c r="S304">
        <v>799</v>
      </c>
      <c r="T304" t="s">
        <v>186</v>
      </c>
      <c r="U304" t="str">
        <f t="shared" si="67"/>
        <v>Concord Ave</v>
      </c>
      <c r="W304" t="str">
        <f t="shared" si="68"/>
        <v/>
      </c>
      <c r="X304" t="str">
        <f>IF(ISBLANK(S304),"Intersection","Non-Intersection")</f>
        <v>Non-Intersection</v>
      </c>
      <c r="Y304" t="s">
        <v>482</v>
      </c>
      <c r="Z304" t="str">
        <f t="shared" si="69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0"/>
        <v>40179</v>
      </c>
      <c r="D305" s="4">
        <f t="shared" si="71"/>
        <v>0.23013698630136986</v>
      </c>
      <c r="E305" s="3">
        <f t="shared" si="72"/>
        <v>2010</v>
      </c>
      <c r="F305" s="3">
        <f t="shared" si="73"/>
        <v>3</v>
      </c>
      <c r="G305" s="3">
        <f t="shared" si="74"/>
        <v>26</v>
      </c>
      <c r="H305" s="3">
        <f t="shared" si="75"/>
        <v>9</v>
      </c>
      <c r="I305" s="3">
        <f t="shared" si="76"/>
        <v>17</v>
      </c>
      <c r="J305" s="3">
        <f t="shared" si="77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78"/>
        <v>YES</v>
      </c>
      <c r="Q305" t="str">
        <f t="shared" si="79"/>
        <v>YES</v>
      </c>
      <c r="R305" t="str">
        <f t="shared" si="80"/>
        <v>NO</v>
      </c>
      <c r="T305" t="s">
        <v>202</v>
      </c>
      <c r="U305" t="str">
        <f t="shared" si="67"/>
        <v>Vassar St</v>
      </c>
      <c r="V305" t="s">
        <v>32</v>
      </c>
      <c r="W305" t="str">
        <f t="shared" si="68"/>
        <v>Main St</v>
      </c>
      <c r="X305" t="str">
        <f>IF(ISBLANK(S305),"Intersection","Non-Intersection")</f>
        <v>Intersection</v>
      </c>
      <c r="Y305" t="s">
        <v>624</v>
      </c>
      <c r="Z305" t="str">
        <f t="shared" si="69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0"/>
        <v>40179</v>
      </c>
      <c r="D306" s="4">
        <f t="shared" si="71"/>
        <v>0.23013698630136986</v>
      </c>
      <c r="E306" s="3">
        <f t="shared" si="72"/>
        <v>2010</v>
      </c>
      <c r="F306" s="3">
        <f t="shared" si="73"/>
        <v>3</v>
      </c>
      <c r="G306" s="3">
        <f t="shared" si="74"/>
        <v>26</v>
      </c>
      <c r="H306" s="3">
        <f t="shared" si="75"/>
        <v>15</v>
      </c>
      <c r="I306" s="3">
        <f t="shared" si="76"/>
        <v>49</v>
      </c>
      <c r="J306" s="3">
        <f t="shared" si="77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78"/>
        <v>YES</v>
      </c>
      <c r="Q306" t="str">
        <f t="shared" si="79"/>
        <v>NO</v>
      </c>
      <c r="R306" t="str">
        <f t="shared" si="80"/>
        <v>NO</v>
      </c>
      <c r="S306">
        <v>121</v>
      </c>
      <c r="T306" t="s">
        <v>216</v>
      </c>
      <c r="U306" t="str">
        <f t="shared" si="67"/>
        <v>Washington Ave</v>
      </c>
      <c r="W306" t="str">
        <f t="shared" si="68"/>
        <v/>
      </c>
      <c r="X306" t="str">
        <f>IF(ISBLANK(S306),"Intersection","Non-Intersection")</f>
        <v>Non-Intersection</v>
      </c>
      <c r="Y306" t="s">
        <v>741</v>
      </c>
      <c r="Z306" t="str">
        <f t="shared" si="69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0"/>
        <v>40179</v>
      </c>
      <c r="D307" s="4">
        <f t="shared" si="71"/>
        <v>0.23013698630136986</v>
      </c>
      <c r="E307" s="3">
        <f t="shared" si="72"/>
        <v>2010</v>
      </c>
      <c r="F307" s="3">
        <f t="shared" si="73"/>
        <v>3</v>
      </c>
      <c r="G307" s="3">
        <f t="shared" si="74"/>
        <v>26</v>
      </c>
      <c r="H307" s="3">
        <f t="shared" si="75"/>
        <v>14</v>
      </c>
      <c r="I307" s="3">
        <f t="shared" si="76"/>
        <v>51</v>
      </c>
      <c r="J307" s="3">
        <f t="shared" si="77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78"/>
        <v>YES</v>
      </c>
      <c r="Q307" t="str">
        <f t="shared" si="79"/>
        <v>NO</v>
      </c>
      <c r="R307" t="str">
        <f t="shared" si="80"/>
        <v>NO</v>
      </c>
      <c r="T307" t="s">
        <v>743</v>
      </c>
      <c r="U307" t="str">
        <f t="shared" si="67"/>
        <v>Manassas Ave</v>
      </c>
      <c r="W307" t="str">
        <f t="shared" si="68"/>
        <v/>
      </c>
      <c r="X307" t="str">
        <f>IF(ISBLANK(S307),"Intersection","Non-Intersection")</f>
        <v>Intersection</v>
      </c>
      <c r="Y307" t="s">
        <v>744</v>
      </c>
      <c r="Z307" t="str">
        <f t="shared" si="69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0"/>
        <v>40179</v>
      </c>
      <c r="D308" s="4">
        <f t="shared" si="71"/>
        <v>0.23013698630136986</v>
      </c>
      <c r="E308" s="3">
        <f t="shared" si="72"/>
        <v>2010</v>
      </c>
      <c r="F308" s="3">
        <f t="shared" si="73"/>
        <v>3</v>
      </c>
      <c r="G308" s="3">
        <f t="shared" si="74"/>
        <v>26</v>
      </c>
      <c r="H308" s="3">
        <f t="shared" si="75"/>
        <v>17</v>
      </c>
      <c r="I308" s="3">
        <f t="shared" si="76"/>
        <v>19</v>
      </c>
      <c r="J308" s="3">
        <f t="shared" si="77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78"/>
        <v>NO</v>
      </c>
      <c r="Q308" t="str">
        <f t="shared" si="79"/>
        <v>NO</v>
      </c>
      <c r="R308" t="str">
        <f t="shared" si="80"/>
        <v>YES</v>
      </c>
      <c r="T308" t="s">
        <v>19</v>
      </c>
      <c r="U308" t="str">
        <f t="shared" si="67"/>
        <v>Cambridge St</v>
      </c>
      <c r="V308" t="s">
        <v>129</v>
      </c>
      <c r="W308" t="str">
        <f t="shared" si="68"/>
        <v>Cardinal Medeiros Ave</v>
      </c>
      <c r="X308" t="str">
        <f>IF(ISBLANK(S308),"Intersection","Non-Intersection")</f>
        <v>Intersection</v>
      </c>
      <c r="Y308" t="s">
        <v>130</v>
      </c>
      <c r="Z308" t="str">
        <f t="shared" si="69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0"/>
        <v>40179</v>
      </c>
      <c r="D309" s="4">
        <f t="shared" si="71"/>
        <v>0.23013698630136986</v>
      </c>
      <c r="E309" s="3">
        <f t="shared" si="72"/>
        <v>2010</v>
      </c>
      <c r="F309" s="3">
        <f t="shared" si="73"/>
        <v>3</v>
      </c>
      <c r="G309" s="3">
        <f t="shared" si="74"/>
        <v>26</v>
      </c>
      <c r="H309" s="3">
        <f t="shared" si="75"/>
        <v>17</v>
      </c>
      <c r="I309" s="3">
        <f t="shared" si="76"/>
        <v>25</v>
      </c>
      <c r="J309" s="3">
        <f t="shared" si="77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78"/>
        <v>YES</v>
      </c>
      <c r="Q309" t="str">
        <f t="shared" si="79"/>
        <v>NO</v>
      </c>
      <c r="R309" t="str">
        <f t="shared" si="80"/>
        <v>NO</v>
      </c>
      <c r="S309">
        <v>139</v>
      </c>
      <c r="T309" t="s">
        <v>74</v>
      </c>
      <c r="U309" t="str">
        <f t="shared" si="67"/>
        <v>Hampshire St</v>
      </c>
      <c r="V309" t="s">
        <v>745</v>
      </c>
      <c r="W309" t="str">
        <f t="shared" si="68"/>
        <v>Norfolk St</v>
      </c>
      <c r="X309" t="str">
        <f>IF(ISBLANK(S309),"Intersection","Non-Intersection")</f>
        <v>Non-Intersection</v>
      </c>
      <c r="Y309" t="s">
        <v>746</v>
      </c>
      <c r="Z309" t="str">
        <f t="shared" si="69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0"/>
        <v>40179</v>
      </c>
      <c r="D310" s="4">
        <f t="shared" si="71"/>
        <v>0.23287671232876711</v>
      </c>
      <c r="E310" s="3">
        <f t="shared" si="72"/>
        <v>2010</v>
      </c>
      <c r="F310" s="3">
        <f t="shared" si="73"/>
        <v>3</v>
      </c>
      <c r="G310" s="3">
        <f t="shared" si="74"/>
        <v>27</v>
      </c>
      <c r="H310" s="3">
        <f t="shared" si="75"/>
        <v>20</v>
      </c>
      <c r="I310" s="3">
        <f t="shared" si="76"/>
        <v>0</v>
      </c>
      <c r="J310" s="3">
        <f t="shared" si="77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78"/>
        <v>YES</v>
      </c>
      <c r="Q310" t="str">
        <f t="shared" si="79"/>
        <v>NO</v>
      </c>
      <c r="R310" t="str">
        <f t="shared" si="80"/>
        <v>NO</v>
      </c>
      <c r="S310">
        <v>182</v>
      </c>
      <c r="T310" t="s">
        <v>189</v>
      </c>
      <c r="U310" t="str">
        <f t="shared" si="67"/>
        <v>Windsor St</v>
      </c>
      <c r="W310" t="str">
        <f t="shared" si="68"/>
        <v/>
      </c>
      <c r="X310" t="str">
        <f>IF(ISBLANK(S310),"Intersection","Non-Intersection")</f>
        <v>Non-Intersection</v>
      </c>
      <c r="Y310" t="s">
        <v>748</v>
      </c>
      <c r="Z310" t="str">
        <f t="shared" si="69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0"/>
        <v>40179</v>
      </c>
      <c r="D311" s="4">
        <f t="shared" si="71"/>
        <v>0.23287671232876711</v>
      </c>
      <c r="E311" s="3">
        <f t="shared" si="72"/>
        <v>2010</v>
      </c>
      <c r="F311" s="3">
        <f t="shared" si="73"/>
        <v>3</v>
      </c>
      <c r="G311" s="3">
        <f t="shared" si="74"/>
        <v>27</v>
      </c>
      <c r="H311" s="3">
        <f t="shared" si="75"/>
        <v>20</v>
      </c>
      <c r="I311" s="3">
        <f t="shared" si="76"/>
        <v>29</v>
      </c>
      <c r="J311" s="3">
        <f t="shared" si="77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78"/>
        <v>YES</v>
      </c>
      <c r="Q311" t="str">
        <f t="shared" si="79"/>
        <v>NO</v>
      </c>
      <c r="R311" t="str">
        <f t="shared" si="80"/>
        <v>NO</v>
      </c>
      <c r="T311" t="s">
        <v>105</v>
      </c>
      <c r="U311" t="str">
        <f t="shared" si="67"/>
        <v>Broadway</v>
      </c>
      <c r="V311" t="s">
        <v>288</v>
      </c>
      <c r="W311" t="str">
        <f t="shared" si="68"/>
        <v>Galileo Galilei Way</v>
      </c>
      <c r="X311" t="str">
        <f>IF(ISBLANK(S311),"Intersection","Non-Intersection")</f>
        <v>Intersection</v>
      </c>
      <c r="Y311" t="s">
        <v>289</v>
      </c>
      <c r="Z311" t="str">
        <f t="shared" si="69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0"/>
        <v>40179</v>
      </c>
      <c r="D312" s="4">
        <f t="shared" si="71"/>
        <v>0.23287671232876711</v>
      </c>
      <c r="E312" s="3">
        <f t="shared" si="72"/>
        <v>2010</v>
      </c>
      <c r="F312" s="3">
        <f t="shared" si="73"/>
        <v>3</v>
      </c>
      <c r="G312" s="3">
        <f t="shared" si="74"/>
        <v>27</v>
      </c>
      <c r="H312" s="3">
        <f t="shared" si="75"/>
        <v>8</v>
      </c>
      <c r="I312" s="3">
        <f t="shared" si="76"/>
        <v>55</v>
      </c>
      <c r="J312" s="3">
        <f t="shared" si="77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78"/>
        <v>YES</v>
      </c>
      <c r="Q312" t="str">
        <f t="shared" si="79"/>
        <v>NO</v>
      </c>
      <c r="R312" t="str">
        <f t="shared" si="80"/>
        <v>NO</v>
      </c>
      <c r="S312">
        <v>27</v>
      </c>
      <c r="T312" t="s">
        <v>167</v>
      </c>
      <c r="U312" t="str">
        <f t="shared" si="67"/>
        <v>Wendell St</v>
      </c>
      <c r="W312" t="str">
        <f t="shared" si="68"/>
        <v/>
      </c>
      <c r="X312" t="str">
        <f>IF(ISBLANK(S312),"Intersection","Non-Intersection")</f>
        <v>Non-Intersection</v>
      </c>
      <c r="Y312" t="s">
        <v>750</v>
      </c>
      <c r="Z312" t="str">
        <f t="shared" si="69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0"/>
        <v>40179</v>
      </c>
      <c r="D313" s="4">
        <f t="shared" si="71"/>
        <v>0.23561643835616439</v>
      </c>
      <c r="E313" s="3">
        <f t="shared" si="72"/>
        <v>2010</v>
      </c>
      <c r="F313" s="3">
        <f t="shared" si="73"/>
        <v>3</v>
      </c>
      <c r="G313" s="3">
        <f t="shared" si="74"/>
        <v>28</v>
      </c>
      <c r="H313" s="3">
        <f t="shared" si="75"/>
        <v>22</v>
      </c>
      <c r="I313" s="3">
        <f t="shared" si="76"/>
        <v>50</v>
      </c>
      <c r="J313" s="3">
        <f t="shared" si="77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78"/>
        <v>YES</v>
      </c>
      <c r="Q313" t="str">
        <f t="shared" si="79"/>
        <v>NO</v>
      </c>
      <c r="R313" t="str">
        <f t="shared" si="80"/>
        <v>YES</v>
      </c>
      <c r="T313" t="s">
        <v>340</v>
      </c>
      <c r="U313" t="str">
        <f t="shared" si="67"/>
        <v>Davenport St</v>
      </c>
      <c r="V313" t="s">
        <v>14</v>
      </c>
      <c r="W313" t="str">
        <f t="shared" si="68"/>
        <v>Massachusetts Ave</v>
      </c>
      <c r="X313" t="str">
        <f>IF(ISBLANK(S313),"Intersection","Non-Intersection")</f>
        <v>Intersection</v>
      </c>
      <c r="Y313" t="s">
        <v>752</v>
      </c>
      <c r="Z313" t="str">
        <f t="shared" si="69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0"/>
        <v>40179</v>
      </c>
      <c r="D314" s="4">
        <f t="shared" si="71"/>
        <v>0.23561643835616439</v>
      </c>
      <c r="E314" s="3">
        <f t="shared" si="72"/>
        <v>2010</v>
      </c>
      <c r="F314" s="3">
        <f t="shared" si="73"/>
        <v>3</v>
      </c>
      <c r="G314" s="3">
        <f t="shared" si="74"/>
        <v>28</v>
      </c>
      <c r="H314" s="3">
        <f t="shared" si="75"/>
        <v>15</v>
      </c>
      <c r="I314" s="3">
        <f t="shared" si="76"/>
        <v>59</v>
      </c>
      <c r="J314" s="3">
        <f t="shared" si="77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78"/>
        <v>YES</v>
      </c>
      <c r="Q314" t="str">
        <f t="shared" si="79"/>
        <v>NO</v>
      </c>
      <c r="R314" t="str">
        <f t="shared" si="80"/>
        <v>NO</v>
      </c>
      <c r="T314" t="s">
        <v>189</v>
      </c>
      <c r="U314" t="str">
        <f t="shared" si="67"/>
        <v>Windsor St</v>
      </c>
      <c r="V314" t="s">
        <v>19</v>
      </c>
      <c r="W314" t="str">
        <f t="shared" si="68"/>
        <v>Cambridge St</v>
      </c>
      <c r="X314" t="str">
        <f>IF(ISBLANK(S314),"Intersection","Non-Intersection")</f>
        <v>Intersection</v>
      </c>
      <c r="Y314" t="s">
        <v>331</v>
      </c>
      <c r="Z314" t="str">
        <f t="shared" si="69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0"/>
        <v>40179</v>
      </c>
      <c r="D315" s="4">
        <f t="shared" si="71"/>
        <v>0.23835616438356164</v>
      </c>
      <c r="E315" s="3">
        <f t="shared" si="72"/>
        <v>2010</v>
      </c>
      <c r="F315" s="3">
        <f t="shared" si="73"/>
        <v>3</v>
      </c>
      <c r="G315" s="3">
        <f t="shared" si="74"/>
        <v>29</v>
      </c>
      <c r="H315" s="3">
        <f t="shared" si="75"/>
        <v>12</v>
      </c>
      <c r="I315" s="3">
        <f t="shared" si="76"/>
        <v>10</v>
      </c>
      <c r="J315" s="3">
        <f t="shared" si="77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78"/>
        <v>YES</v>
      </c>
      <c r="Q315" t="str">
        <f t="shared" si="79"/>
        <v>NO</v>
      </c>
      <c r="R315" t="str">
        <f t="shared" si="80"/>
        <v>NO</v>
      </c>
      <c r="T315" t="s">
        <v>754</v>
      </c>
      <c r="U315" t="str">
        <f t="shared" si="67"/>
        <v>Clarendon Ave</v>
      </c>
      <c r="V315" t="s">
        <v>14</v>
      </c>
      <c r="W315" t="str">
        <f t="shared" si="68"/>
        <v>Massachusetts Ave</v>
      </c>
      <c r="X315" t="str">
        <f>IF(ISBLANK(S315),"Intersection","Non-Intersection")</f>
        <v>Intersection</v>
      </c>
      <c r="Y315" t="s">
        <v>755</v>
      </c>
      <c r="Z315" t="str">
        <f t="shared" si="69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0"/>
        <v>40179</v>
      </c>
      <c r="D316" s="4">
        <f t="shared" si="71"/>
        <v>0.23835616438356164</v>
      </c>
      <c r="E316" s="3">
        <f t="shared" si="72"/>
        <v>2010</v>
      </c>
      <c r="F316" s="3">
        <f t="shared" si="73"/>
        <v>3</v>
      </c>
      <c r="G316" s="3">
        <f t="shared" si="74"/>
        <v>29</v>
      </c>
      <c r="H316" s="3">
        <f t="shared" si="75"/>
        <v>13</v>
      </c>
      <c r="I316" s="3">
        <f t="shared" si="76"/>
        <v>54</v>
      </c>
      <c r="J316" s="3">
        <f t="shared" si="77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78"/>
        <v>YES</v>
      </c>
      <c r="Q316" t="str">
        <f t="shared" si="79"/>
        <v>NO</v>
      </c>
      <c r="R316" t="str">
        <f t="shared" si="80"/>
        <v>NO</v>
      </c>
      <c r="S316">
        <v>699</v>
      </c>
      <c r="T316" t="s">
        <v>198</v>
      </c>
      <c r="U316" t="str">
        <f t="shared" si="67"/>
        <v>Mount Auburn St</v>
      </c>
      <c r="W316" t="str">
        <f t="shared" si="68"/>
        <v/>
      </c>
      <c r="X316" t="str">
        <f>IF(ISBLANK(S316),"Intersection","Non-Intersection")</f>
        <v>Non-Intersection</v>
      </c>
      <c r="Y316" t="s">
        <v>585</v>
      </c>
      <c r="Z316" t="str">
        <f t="shared" si="69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0"/>
        <v>40179</v>
      </c>
      <c r="D317" s="4">
        <f t="shared" si="71"/>
        <v>0.23835616438356164</v>
      </c>
      <c r="E317" s="3">
        <f t="shared" si="72"/>
        <v>2010</v>
      </c>
      <c r="F317" s="3">
        <f t="shared" si="73"/>
        <v>3</v>
      </c>
      <c r="G317" s="3">
        <f t="shared" si="74"/>
        <v>29</v>
      </c>
      <c r="H317" s="3">
        <f t="shared" si="75"/>
        <v>14</v>
      </c>
      <c r="I317" s="3">
        <f t="shared" si="76"/>
        <v>10</v>
      </c>
      <c r="J317" s="3">
        <f t="shared" si="77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78"/>
        <v>YES</v>
      </c>
      <c r="Q317" t="str">
        <f t="shared" si="79"/>
        <v>YES</v>
      </c>
      <c r="R317" t="str">
        <f t="shared" si="80"/>
        <v>NO</v>
      </c>
      <c r="T317" t="s">
        <v>41</v>
      </c>
      <c r="U317" t="str">
        <f t="shared" si="67"/>
        <v>River St</v>
      </c>
      <c r="V317" t="s">
        <v>757</v>
      </c>
      <c r="W317" t="str">
        <f t="shared" si="68"/>
        <v>Blackstone St</v>
      </c>
      <c r="X317" t="str">
        <f>IF(ISBLANK(S317),"Intersection","Non-Intersection")</f>
        <v>Intersection</v>
      </c>
      <c r="Y317" t="s">
        <v>758</v>
      </c>
      <c r="Z317" t="str">
        <f t="shared" si="69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0"/>
        <v>40179</v>
      </c>
      <c r="D318" s="4">
        <f t="shared" si="71"/>
        <v>0.23835616438356164</v>
      </c>
      <c r="E318" s="3">
        <f t="shared" si="72"/>
        <v>2010</v>
      </c>
      <c r="F318" s="3">
        <f t="shared" si="73"/>
        <v>3</v>
      </c>
      <c r="G318" s="3">
        <f t="shared" si="74"/>
        <v>29</v>
      </c>
      <c r="H318" s="3">
        <f t="shared" si="75"/>
        <v>15</v>
      </c>
      <c r="I318" s="3">
        <f t="shared" si="76"/>
        <v>10</v>
      </c>
      <c r="J318" s="3">
        <f t="shared" si="77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78"/>
        <v>YES</v>
      </c>
      <c r="Q318" t="str">
        <f t="shared" si="79"/>
        <v>NO</v>
      </c>
      <c r="R318" t="str">
        <f t="shared" si="80"/>
        <v>NO</v>
      </c>
      <c r="T318" t="s">
        <v>760</v>
      </c>
      <c r="U318" t="str">
        <f t="shared" si="67"/>
        <v>Fulkerson St</v>
      </c>
      <c r="V318" t="s">
        <v>209</v>
      </c>
      <c r="W318" t="str">
        <f t="shared" si="68"/>
        <v>Binney St</v>
      </c>
      <c r="X318" t="str">
        <f>IF(ISBLANK(S318),"Intersection","Non-Intersection")</f>
        <v>Intersection</v>
      </c>
      <c r="Y318" t="s">
        <v>761</v>
      </c>
      <c r="Z318" t="str">
        <f t="shared" si="69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0"/>
        <v>40179</v>
      </c>
      <c r="D319" s="4">
        <f t="shared" si="71"/>
        <v>0.24109589041095891</v>
      </c>
      <c r="E319" s="3">
        <f t="shared" si="72"/>
        <v>2010</v>
      </c>
      <c r="F319" s="3">
        <f t="shared" si="73"/>
        <v>3</v>
      </c>
      <c r="G319" s="3">
        <f t="shared" si="74"/>
        <v>30</v>
      </c>
      <c r="H319" s="3">
        <f t="shared" si="75"/>
        <v>0</v>
      </c>
      <c r="I319" s="3">
        <f t="shared" si="76"/>
        <v>36</v>
      </c>
      <c r="J319" s="3">
        <f t="shared" si="77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78"/>
        <v>YES</v>
      </c>
      <c r="Q319" t="str">
        <f t="shared" si="79"/>
        <v>NO</v>
      </c>
      <c r="R319" t="str">
        <f t="shared" si="80"/>
        <v>NO</v>
      </c>
      <c r="T319" t="s">
        <v>260</v>
      </c>
      <c r="U319" t="str">
        <f t="shared" si="67"/>
        <v>Third St</v>
      </c>
      <c r="V319" t="s">
        <v>53</v>
      </c>
      <c r="W319" t="str">
        <f t="shared" si="68"/>
        <v>Monsignor Obrien Hwy</v>
      </c>
      <c r="X319" t="str">
        <f>IF(ISBLANK(S319),"Intersection","Non-Intersection")</f>
        <v>Intersection</v>
      </c>
      <c r="Y319" t="s">
        <v>763</v>
      </c>
      <c r="Z319" t="str">
        <f t="shared" si="69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0"/>
        <v>40179</v>
      </c>
      <c r="D320" s="4">
        <f t="shared" si="71"/>
        <v>0.24109589041095891</v>
      </c>
      <c r="E320" s="3">
        <f t="shared" si="72"/>
        <v>2010</v>
      </c>
      <c r="F320" s="3">
        <f t="shared" si="73"/>
        <v>3</v>
      </c>
      <c r="G320" s="3">
        <f t="shared" si="74"/>
        <v>30</v>
      </c>
      <c r="H320" s="3">
        <f t="shared" si="75"/>
        <v>6</v>
      </c>
      <c r="I320" s="3">
        <f t="shared" si="76"/>
        <v>34</v>
      </c>
      <c r="J320" s="3">
        <f t="shared" si="77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78"/>
        <v>YES</v>
      </c>
      <c r="Q320" t="str">
        <f t="shared" si="79"/>
        <v>NO</v>
      </c>
      <c r="R320" t="str">
        <f t="shared" si="80"/>
        <v>YES</v>
      </c>
      <c r="S320">
        <v>428</v>
      </c>
      <c r="T320" t="s">
        <v>14</v>
      </c>
      <c r="U320" t="str">
        <f t="shared" si="67"/>
        <v>Massachusetts Ave</v>
      </c>
      <c r="W320" t="str">
        <f t="shared" si="68"/>
        <v/>
      </c>
      <c r="X320" t="str">
        <f>IF(ISBLANK(S320),"Intersection","Non-Intersection")</f>
        <v>Non-Intersection</v>
      </c>
      <c r="Y320" t="s">
        <v>765</v>
      </c>
      <c r="Z320" t="str">
        <f t="shared" si="69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0"/>
        <v>40179</v>
      </c>
      <c r="D321" s="4">
        <f t="shared" si="71"/>
        <v>0.24109589041095891</v>
      </c>
      <c r="E321" s="3">
        <f t="shared" si="72"/>
        <v>2010</v>
      </c>
      <c r="F321" s="3">
        <f t="shared" si="73"/>
        <v>3</v>
      </c>
      <c r="G321" s="3">
        <f t="shared" si="74"/>
        <v>30</v>
      </c>
      <c r="H321" s="3">
        <f t="shared" si="75"/>
        <v>10</v>
      </c>
      <c r="I321" s="3">
        <f t="shared" si="76"/>
        <v>15</v>
      </c>
      <c r="J321" s="3">
        <f t="shared" si="77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78"/>
        <v>YES</v>
      </c>
      <c r="Q321" t="str">
        <f t="shared" si="79"/>
        <v>NO</v>
      </c>
      <c r="R321" t="str">
        <f t="shared" si="80"/>
        <v>NO</v>
      </c>
      <c r="T321" t="s">
        <v>198</v>
      </c>
      <c r="U321" t="str">
        <f t="shared" si="67"/>
        <v>Mount Auburn St</v>
      </c>
      <c r="V321" t="s">
        <v>199</v>
      </c>
      <c r="W321" t="str">
        <f t="shared" si="68"/>
        <v>Brattle St</v>
      </c>
      <c r="X321" t="str">
        <f>IF(ISBLANK(S321),"Intersection","Non-Intersection")</f>
        <v>Intersection</v>
      </c>
      <c r="Y321" t="s">
        <v>767</v>
      </c>
      <c r="Z321" t="str">
        <f t="shared" si="69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0"/>
        <v>40179</v>
      </c>
      <c r="D322" s="4">
        <f t="shared" si="71"/>
        <v>0.24109589041095891</v>
      </c>
      <c r="E322" s="3">
        <f t="shared" si="72"/>
        <v>2010</v>
      </c>
      <c r="F322" s="3">
        <f t="shared" si="73"/>
        <v>3</v>
      </c>
      <c r="G322" s="3">
        <f t="shared" si="74"/>
        <v>30</v>
      </c>
      <c r="H322" s="3">
        <f t="shared" si="75"/>
        <v>12</v>
      </c>
      <c r="I322" s="3">
        <f t="shared" si="76"/>
        <v>30</v>
      </c>
      <c r="J322" s="3">
        <f t="shared" si="77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78"/>
        <v>YES</v>
      </c>
      <c r="Q322" t="str">
        <f t="shared" si="79"/>
        <v>NO</v>
      </c>
      <c r="R322" t="str">
        <f t="shared" si="80"/>
        <v>NO</v>
      </c>
      <c r="T322" t="s">
        <v>126</v>
      </c>
      <c r="U322" t="str">
        <f t="shared" si="67"/>
        <v>Somerville Ave</v>
      </c>
      <c r="V322" t="s">
        <v>268</v>
      </c>
      <c r="W322" t="str">
        <f t="shared" si="68"/>
        <v>White St</v>
      </c>
      <c r="X322" t="str">
        <f>IF(ISBLANK(S322),"Intersection","Non-Intersection")</f>
        <v>Intersection</v>
      </c>
      <c r="Y322" t="s">
        <v>768</v>
      </c>
      <c r="Z322" t="str">
        <f t="shared" si="69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0"/>
        <v>40179</v>
      </c>
      <c r="D323" s="4">
        <f t="shared" si="71"/>
        <v>0.24109589041095891</v>
      </c>
      <c r="E323" s="3">
        <f t="shared" si="72"/>
        <v>2010</v>
      </c>
      <c r="F323" s="3">
        <f t="shared" si="73"/>
        <v>3</v>
      </c>
      <c r="G323" s="3">
        <f t="shared" si="74"/>
        <v>30</v>
      </c>
      <c r="H323" s="3">
        <f t="shared" si="75"/>
        <v>18</v>
      </c>
      <c r="I323" s="3">
        <f t="shared" si="76"/>
        <v>59</v>
      </c>
      <c r="J323" s="3">
        <f t="shared" si="77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78"/>
        <v>YES</v>
      </c>
      <c r="Q323" t="str">
        <f t="shared" si="79"/>
        <v>NO</v>
      </c>
      <c r="R323" t="str">
        <f t="shared" si="80"/>
        <v>NO</v>
      </c>
      <c r="T323" t="s">
        <v>198</v>
      </c>
      <c r="U323" t="str">
        <f t="shared" ref="U323:U386" si="81">TRIM(PROPER(T323))</f>
        <v>Mount Auburn St</v>
      </c>
      <c r="V323" t="s">
        <v>208</v>
      </c>
      <c r="W323" t="str">
        <f t="shared" ref="W323:W386" si="82">TRIM(PROPER(V323))</f>
        <v>Sparks St</v>
      </c>
      <c r="X323" t="str">
        <f>IF(ISBLANK(S323),"Intersection","Non-Intersection")</f>
        <v>Intersection</v>
      </c>
      <c r="Y323" t="s">
        <v>770</v>
      </c>
      <c r="Z323" t="str">
        <f t="shared" ref="Z323:Z386" si="83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0"/>
        <v>40179</v>
      </c>
      <c r="D324" s="4">
        <f t="shared" si="71"/>
        <v>0.24109589041095891</v>
      </c>
      <c r="E324" s="3">
        <f t="shared" si="72"/>
        <v>2010</v>
      </c>
      <c r="F324" s="3">
        <f t="shared" si="73"/>
        <v>3</v>
      </c>
      <c r="G324" s="3">
        <f t="shared" si="74"/>
        <v>30</v>
      </c>
      <c r="H324" s="3">
        <f t="shared" si="75"/>
        <v>15</v>
      </c>
      <c r="I324" s="3">
        <f t="shared" si="76"/>
        <v>30</v>
      </c>
      <c r="J324" s="3">
        <f t="shared" si="77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78"/>
        <v>YES</v>
      </c>
      <c r="Q324" t="str">
        <f t="shared" si="79"/>
        <v>NO</v>
      </c>
      <c r="R324" t="str">
        <f t="shared" si="80"/>
        <v>NO</v>
      </c>
      <c r="T324" t="s">
        <v>32</v>
      </c>
      <c r="U324" t="str">
        <f t="shared" si="81"/>
        <v>Main St</v>
      </c>
      <c r="V324" t="s">
        <v>202</v>
      </c>
      <c r="W324" t="str">
        <f t="shared" si="82"/>
        <v>Vassar St</v>
      </c>
      <c r="X324" t="str">
        <f>IF(ISBLANK(S324),"Intersection","Non-Intersection")</f>
        <v>Intersection</v>
      </c>
      <c r="Y324" t="s">
        <v>772</v>
      </c>
      <c r="Z324" t="str">
        <f t="shared" si="83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0"/>
        <v>40179</v>
      </c>
      <c r="D325" s="4">
        <f t="shared" si="71"/>
        <v>0.24109589041095891</v>
      </c>
      <c r="E325" s="3">
        <f t="shared" si="72"/>
        <v>2010</v>
      </c>
      <c r="F325" s="3">
        <f t="shared" si="73"/>
        <v>3</v>
      </c>
      <c r="G325" s="3">
        <f t="shared" si="74"/>
        <v>30</v>
      </c>
      <c r="H325" s="3">
        <f t="shared" si="75"/>
        <v>20</v>
      </c>
      <c r="I325" s="3">
        <f t="shared" si="76"/>
        <v>0</v>
      </c>
      <c r="J325" s="3">
        <f t="shared" si="77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78"/>
        <v>YES</v>
      </c>
      <c r="Q325" t="str">
        <f t="shared" si="79"/>
        <v>NO</v>
      </c>
      <c r="R325" t="str">
        <f t="shared" si="80"/>
        <v>YES</v>
      </c>
      <c r="T325" t="s">
        <v>101</v>
      </c>
      <c r="U325" t="str">
        <f t="shared" si="81"/>
        <v>Columbia St</v>
      </c>
      <c r="V325" t="s">
        <v>74</v>
      </c>
      <c r="W325" t="str">
        <f t="shared" si="82"/>
        <v>Hampshire St</v>
      </c>
      <c r="X325" t="str">
        <f>IF(ISBLANK(S325),"Intersection","Non-Intersection")</f>
        <v>Intersection</v>
      </c>
      <c r="Y325" t="s">
        <v>773</v>
      </c>
      <c r="Z325" t="str">
        <f t="shared" si="83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0"/>
        <v>40179</v>
      </c>
      <c r="D326" s="4">
        <f t="shared" si="71"/>
        <v>0.24383561643835616</v>
      </c>
      <c r="E326" s="3">
        <f t="shared" si="72"/>
        <v>2010</v>
      </c>
      <c r="F326" s="3">
        <f t="shared" si="73"/>
        <v>3</v>
      </c>
      <c r="G326" s="3">
        <f t="shared" si="74"/>
        <v>31</v>
      </c>
      <c r="H326" s="3">
        <f t="shared" si="75"/>
        <v>18</v>
      </c>
      <c r="I326" s="3">
        <f t="shared" si="76"/>
        <v>45</v>
      </c>
      <c r="J326" s="3">
        <f t="shared" si="77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78"/>
        <v>YES</v>
      </c>
      <c r="Q326" t="str">
        <f t="shared" si="79"/>
        <v>NO</v>
      </c>
      <c r="R326" t="str">
        <f t="shared" si="80"/>
        <v>YES</v>
      </c>
      <c r="S326">
        <v>19</v>
      </c>
      <c r="T326" t="s">
        <v>268</v>
      </c>
      <c r="U326" t="str">
        <f t="shared" si="81"/>
        <v>White St</v>
      </c>
      <c r="W326" t="str">
        <f t="shared" si="82"/>
        <v/>
      </c>
      <c r="X326" t="str">
        <f>IF(ISBLANK(S326),"Intersection","Non-Intersection")</f>
        <v>Non-Intersection</v>
      </c>
      <c r="Y326" t="s">
        <v>775</v>
      </c>
      <c r="Z326" t="str">
        <f t="shared" si="83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0"/>
        <v>40179</v>
      </c>
      <c r="D327" s="4">
        <f t="shared" si="71"/>
        <v>0.24383561643835616</v>
      </c>
      <c r="E327" s="3">
        <f t="shared" si="72"/>
        <v>2010</v>
      </c>
      <c r="F327" s="3">
        <f t="shared" si="73"/>
        <v>3</v>
      </c>
      <c r="G327" s="3">
        <f t="shared" si="74"/>
        <v>31</v>
      </c>
      <c r="H327" s="3">
        <f t="shared" si="75"/>
        <v>14</v>
      </c>
      <c r="I327" s="3">
        <f t="shared" si="76"/>
        <v>29</v>
      </c>
      <c r="J327" s="3">
        <f t="shared" si="77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78"/>
        <v>YES</v>
      </c>
      <c r="Q327" t="str">
        <f t="shared" si="79"/>
        <v>NO</v>
      </c>
      <c r="R327" t="str">
        <f t="shared" si="80"/>
        <v>YES</v>
      </c>
      <c r="T327" t="s">
        <v>15</v>
      </c>
      <c r="U327" t="str">
        <f t="shared" si="81"/>
        <v>Rindge Ave</v>
      </c>
      <c r="V327" t="s">
        <v>777</v>
      </c>
      <c r="W327" t="str">
        <f t="shared" si="82"/>
        <v>School St</v>
      </c>
      <c r="X327" t="str">
        <f>IF(ISBLANK(S327),"Intersection","Non-Intersection")</f>
        <v>Intersection</v>
      </c>
      <c r="Y327" t="s">
        <v>778</v>
      </c>
      <c r="Z327" t="str">
        <f t="shared" si="83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0"/>
        <v>40179</v>
      </c>
      <c r="D328" s="4">
        <f t="shared" si="71"/>
        <v>0.24657534246575341</v>
      </c>
      <c r="E328" s="3">
        <f t="shared" si="72"/>
        <v>2010</v>
      </c>
      <c r="F328" s="3">
        <f t="shared" si="73"/>
        <v>4</v>
      </c>
      <c r="G328" s="3">
        <f t="shared" si="74"/>
        <v>1</v>
      </c>
      <c r="H328" s="3">
        <f t="shared" si="75"/>
        <v>17</v>
      </c>
      <c r="I328" s="3">
        <f t="shared" si="76"/>
        <v>19</v>
      </c>
      <c r="J328" s="3">
        <f t="shared" si="77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78"/>
        <v>YES</v>
      </c>
      <c r="Q328" t="str">
        <f t="shared" si="79"/>
        <v>NO</v>
      </c>
      <c r="R328" t="str">
        <f t="shared" si="80"/>
        <v>NO</v>
      </c>
      <c r="T328" t="s">
        <v>19</v>
      </c>
      <c r="U328" t="str">
        <f t="shared" si="81"/>
        <v>Cambridge St</v>
      </c>
      <c r="V328" t="s">
        <v>611</v>
      </c>
      <c r="W328" t="str">
        <f t="shared" si="82"/>
        <v>Berkshire St</v>
      </c>
      <c r="X328" t="str">
        <f>IF(ISBLANK(S328),"Intersection","Non-Intersection")</f>
        <v>Intersection</v>
      </c>
      <c r="Y328" t="s">
        <v>779</v>
      </c>
      <c r="Z328" t="str">
        <f t="shared" si="83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0"/>
        <v>40179</v>
      </c>
      <c r="D329" s="4">
        <f t="shared" si="71"/>
        <v>0.24657534246575341</v>
      </c>
      <c r="E329" s="3">
        <f t="shared" si="72"/>
        <v>2010</v>
      </c>
      <c r="F329" s="3">
        <f t="shared" si="73"/>
        <v>4</v>
      </c>
      <c r="G329" s="3">
        <f t="shared" si="74"/>
        <v>1</v>
      </c>
      <c r="H329" s="3">
        <f t="shared" si="75"/>
        <v>18</v>
      </c>
      <c r="I329" s="3">
        <f t="shared" si="76"/>
        <v>30</v>
      </c>
      <c r="J329" s="3">
        <f t="shared" si="77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78"/>
        <v>YES</v>
      </c>
      <c r="Q329" t="str">
        <f t="shared" si="79"/>
        <v>YES</v>
      </c>
      <c r="R329" t="str">
        <f t="shared" si="80"/>
        <v>NO</v>
      </c>
      <c r="S329">
        <v>1293</v>
      </c>
      <c r="T329" t="s">
        <v>19</v>
      </c>
      <c r="U329" t="str">
        <f t="shared" si="81"/>
        <v>Cambridge St</v>
      </c>
      <c r="W329" t="str">
        <f t="shared" si="82"/>
        <v/>
      </c>
      <c r="X329" t="str">
        <f>IF(ISBLANK(S329),"Intersection","Non-Intersection")</f>
        <v>Non-Intersection</v>
      </c>
      <c r="Y329" t="s">
        <v>781</v>
      </c>
      <c r="Z329" t="str">
        <f t="shared" si="83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0"/>
        <v>40179</v>
      </c>
      <c r="D330" s="4">
        <f t="shared" si="71"/>
        <v>0.24657534246575341</v>
      </c>
      <c r="E330" s="3">
        <f t="shared" si="72"/>
        <v>2010</v>
      </c>
      <c r="F330" s="3">
        <f t="shared" si="73"/>
        <v>4</v>
      </c>
      <c r="G330" s="3">
        <f t="shared" si="74"/>
        <v>1</v>
      </c>
      <c r="H330" s="3">
        <f t="shared" si="75"/>
        <v>8</v>
      </c>
      <c r="I330" s="3">
        <f t="shared" si="76"/>
        <v>29</v>
      </c>
      <c r="J330" s="3">
        <f t="shared" si="77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78"/>
        <v>YES</v>
      </c>
      <c r="Q330" t="str">
        <f t="shared" si="79"/>
        <v>NO</v>
      </c>
      <c r="R330" t="str">
        <f t="shared" si="80"/>
        <v>NO</v>
      </c>
      <c r="S330">
        <v>170</v>
      </c>
      <c r="T330" t="s">
        <v>185</v>
      </c>
      <c r="U330" t="str">
        <f t="shared" si="81"/>
        <v>Garden St</v>
      </c>
      <c r="W330" t="str">
        <f t="shared" si="82"/>
        <v/>
      </c>
      <c r="X330" t="str">
        <f>IF(ISBLANK(S330),"Intersection","Non-Intersection")</f>
        <v>Non-Intersection</v>
      </c>
      <c r="Y330" t="s">
        <v>783</v>
      </c>
      <c r="Z330" t="str">
        <f t="shared" si="83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0"/>
        <v>40179</v>
      </c>
      <c r="D331" s="4">
        <f t="shared" si="71"/>
        <v>0.24657534246575341</v>
      </c>
      <c r="E331" s="3">
        <f t="shared" si="72"/>
        <v>2010</v>
      </c>
      <c r="F331" s="3">
        <f t="shared" si="73"/>
        <v>4</v>
      </c>
      <c r="G331" s="3">
        <f t="shared" si="74"/>
        <v>1</v>
      </c>
      <c r="H331" s="3">
        <f t="shared" si="75"/>
        <v>19</v>
      </c>
      <c r="I331" s="3">
        <f t="shared" si="76"/>
        <v>3</v>
      </c>
      <c r="J331" s="3">
        <f t="shared" si="77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78"/>
        <v>YES</v>
      </c>
      <c r="Q331" t="str">
        <f t="shared" si="79"/>
        <v>NO</v>
      </c>
      <c r="R331" t="str">
        <f t="shared" si="80"/>
        <v>NO</v>
      </c>
      <c r="S331">
        <v>372</v>
      </c>
      <c r="T331" t="s">
        <v>189</v>
      </c>
      <c r="U331" t="str">
        <f t="shared" si="81"/>
        <v>Windsor St</v>
      </c>
      <c r="W331" t="str">
        <f t="shared" si="82"/>
        <v/>
      </c>
      <c r="X331" t="str">
        <f>IF(ISBLANK(S331),"Intersection","Non-Intersection")</f>
        <v>Non-Intersection</v>
      </c>
      <c r="Y331" t="s">
        <v>785</v>
      </c>
      <c r="Z331" t="str">
        <f t="shared" si="83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0"/>
        <v>40179</v>
      </c>
      <c r="D332" s="4">
        <f t="shared" si="71"/>
        <v>0.24931506849315069</v>
      </c>
      <c r="E332" s="3">
        <f t="shared" si="72"/>
        <v>2010</v>
      </c>
      <c r="F332" s="3">
        <f t="shared" si="73"/>
        <v>4</v>
      </c>
      <c r="G332" s="3">
        <f t="shared" si="74"/>
        <v>2</v>
      </c>
      <c r="H332" s="3">
        <f t="shared" si="75"/>
        <v>18</v>
      </c>
      <c r="I332" s="3">
        <f t="shared" si="76"/>
        <v>27</v>
      </c>
      <c r="J332" s="3">
        <f t="shared" si="77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78"/>
        <v>YES</v>
      </c>
      <c r="Q332" t="str">
        <f t="shared" si="79"/>
        <v>NO</v>
      </c>
      <c r="R332" t="str">
        <f t="shared" si="80"/>
        <v>NO</v>
      </c>
      <c r="T332" t="s">
        <v>14</v>
      </c>
      <c r="U332" t="str">
        <f t="shared" si="81"/>
        <v>Massachusetts Ave</v>
      </c>
      <c r="V332" t="s">
        <v>487</v>
      </c>
      <c r="W332" t="str">
        <f t="shared" si="82"/>
        <v>Beech St</v>
      </c>
      <c r="X332" t="str">
        <f>IF(ISBLANK(S332),"Intersection","Non-Intersection")</f>
        <v>Intersection</v>
      </c>
      <c r="Y332" t="s">
        <v>787</v>
      </c>
      <c r="Z332" t="str">
        <f t="shared" si="83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0"/>
        <v>40179</v>
      </c>
      <c r="D333" s="4">
        <f t="shared" si="71"/>
        <v>0.24931506849315069</v>
      </c>
      <c r="E333" s="3">
        <f t="shared" si="72"/>
        <v>2010</v>
      </c>
      <c r="F333" s="3">
        <f t="shared" si="73"/>
        <v>4</v>
      </c>
      <c r="G333" s="3">
        <f t="shared" si="74"/>
        <v>2</v>
      </c>
      <c r="H333" s="3">
        <f t="shared" si="75"/>
        <v>9</v>
      </c>
      <c r="I333" s="3">
        <f t="shared" si="76"/>
        <v>59</v>
      </c>
      <c r="J333" s="3">
        <f t="shared" si="77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78"/>
        <v>YES</v>
      </c>
      <c r="Q333" t="str">
        <f t="shared" si="79"/>
        <v>NO</v>
      </c>
      <c r="R333" t="str">
        <f t="shared" si="80"/>
        <v>YES</v>
      </c>
      <c r="S333">
        <v>620</v>
      </c>
      <c r="T333" t="s">
        <v>14</v>
      </c>
      <c r="U333" t="str">
        <f t="shared" si="81"/>
        <v>Massachusetts Ave</v>
      </c>
      <c r="V333" t="s">
        <v>315</v>
      </c>
      <c r="W333" t="str">
        <f t="shared" si="82"/>
        <v>Essex St</v>
      </c>
      <c r="X333" t="str">
        <f>IF(ISBLANK(S333),"Intersection","Non-Intersection")</f>
        <v>Non-Intersection</v>
      </c>
      <c r="Y333" t="s">
        <v>789</v>
      </c>
      <c r="Z333" t="str">
        <f t="shared" si="83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0"/>
        <v>40179</v>
      </c>
      <c r="D334" s="4">
        <f t="shared" si="71"/>
        <v>0.24931506849315069</v>
      </c>
      <c r="E334" s="3">
        <f t="shared" si="72"/>
        <v>2010</v>
      </c>
      <c r="F334" s="3">
        <f t="shared" si="73"/>
        <v>4</v>
      </c>
      <c r="G334" s="3">
        <f t="shared" si="74"/>
        <v>2</v>
      </c>
      <c r="H334" s="3">
        <f t="shared" si="75"/>
        <v>12</v>
      </c>
      <c r="I334" s="3">
        <f t="shared" si="76"/>
        <v>59</v>
      </c>
      <c r="J334" s="3">
        <f t="shared" si="77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78"/>
        <v>YES</v>
      </c>
      <c r="Q334" t="str">
        <f t="shared" si="79"/>
        <v>YES</v>
      </c>
      <c r="R334" t="str">
        <f t="shared" si="80"/>
        <v>NO</v>
      </c>
      <c r="T334" t="s">
        <v>199</v>
      </c>
      <c r="U334" t="str">
        <f t="shared" si="81"/>
        <v>Brattle St</v>
      </c>
      <c r="V334" t="s">
        <v>791</v>
      </c>
      <c r="W334" t="str">
        <f t="shared" si="82"/>
        <v>Palmer St</v>
      </c>
      <c r="X334" t="str">
        <f>IF(ISBLANK(S334),"Intersection","Non-Intersection")</f>
        <v>Intersection</v>
      </c>
      <c r="Y334" t="s">
        <v>792</v>
      </c>
      <c r="Z334" t="str">
        <f t="shared" si="83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0"/>
        <v>40179</v>
      </c>
      <c r="D335" s="4">
        <f t="shared" si="71"/>
        <v>0.24931506849315069</v>
      </c>
      <c r="E335" s="3">
        <f t="shared" si="72"/>
        <v>2010</v>
      </c>
      <c r="F335" s="3">
        <f t="shared" si="73"/>
        <v>4</v>
      </c>
      <c r="G335" s="3">
        <f t="shared" si="74"/>
        <v>2</v>
      </c>
      <c r="H335" s="3">
        <f t="shared" si="75"/>
        <v>13</v>
      </c>
      <c r="I335" s="3">
        <f t="shared" si="76"/>
        <v>34</v>
      </c>
      <c r="J335" s="3">
        <f t="shared" si="77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78"/>
        <v>YES</v>
      </c>
      <c r="Q335" t="str">
        <f t="shared" si="79"/>
        <v>NO</v>
      </c>
      <c r="R335" t="str">
        <f t="shared" si="80"/>
        <v>NO</v>
      </c>
      <c r="S335">
        <v>445</v>
      </c>
      <c r="T335" t="s">
        <v>14</v>
      </c>
      <c r="U335" t="str">
        <f t="shared" si="81"/>
        <v>Massachusetts Ave</v>
      </c>
      <c r="W335" t="str">
        <f t="shared" si="82"/>
        <v/>
      </c>
      <c r="X335" t="str">
        <f>IF(ISBLANK(S335),"Intersection","Non-Intersection")</f>
        <v>Non-Intersection</v>
      </c>
      <c r="Y335" t="s">
        <v>794</v>
      </c>
      <c r="Z335" t="str">
        <f t="shared" si="83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0"/>
        <v>40179</v>
      </c>
      <c r="D336" s="4">
        <f t="shared" si="71"/>
        <v>0.25205479452054796</v>
      </c>
      <c r="E336" s="3">
        <f t="shared" si="72"/>
        <v>2010</v>
      </c>
      <c r="F336" s="3">
        <f t="shared" si="73"/>
        <v>4</v>
      </c>
      <c r="G336" s="3">
        <f t="shared" si="74"/>
        <v>3</v>
      </c>
      <c r="H336" s="3">
        <f t="shared" si="75"/>
        <v>9</v>
      </c>
      <c r="I336" s="3">
        <f t="shared" si="76"/>
        <v>45</v>
      </c>
      <c r="J336" s="3">
        <f t="shared" si="77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78"/>
        <v>YES</v>
      </c>
      <c r="Q336" t="str">
        <f t="shared" si="79"/>
        <v>NO</v>
      </c>
      <c r="R336" t="str">
        <f t="shared" si="80"/>
        <v>NO</v>
      </c>
      <c r="T336" t="s">
        <v>796</v>
      </c>
      <c r="U336" t="str">
        <f t="shared" si="81"/>
        <v>Portland St</v>
      </c>
      <c r="V336" t="s">
        <v>216</v>
      </c>
      <c r="W336" t="str">
        <f t="shared" si="82"/>
        <v>Washington Ave</v>
      </c>
      <c r="X336" t="str">
        <f>IF(ISBLANK(S336),"Intersection","Non-Intersection")</f>
        <v>Intersection</v>
      </c>
      <c r="Y336" t="s">
        <v>797</v>
      </c>
      <c r="Z336" t="str">
        <f t="shared" si="83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0"/>
        <v>40179</v>
      </c>
      <c r="D337" s="4">
        <f t="shared" si="71"/>
        <v>0.25205479452054796</v>
      </c>
      <c r="E337" s="3">
        <f t="shared" si="72"/>
        <v>2010</v>
      </c>
      <c r="F337" s="3">
        <f t="shared" si="73"/>
        <v>4</v>
      </c>
      <c r="G337" s="3">
        <f t="shared" si="74"/>
        <v>3</v>
      </c>
      <c r="H337" s="3">
        <f t="shared" si="75"/>
        <v>15</v>
      </c>
      <c r="I337" s="3">
        <f t="shared" si="76"/>
        <v>30</v>
      </c>
      <c r="J337" s="3">
        <f t="shared" si="77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78"/>
        <v>YES</v>
      </c>
      <c r="Q337" t="str">
        <f t="shared" si="79"/>
        <v>NO</v>
      </c>
      <c r="R337" t="str">
        <f t="shared" si="80"/>
        <v>NO</v>
      </c>
      <c r="S337">
        <v>115</v>
      </c>
      <c r="T337" t="s">
        <v>178</v>
      </c>
      <c r="U337" t="str">
        <f t="shared" si="81"/>
        <v>Pleasant St</v>
      </c>
      <c r="W337" t="str">
        <f t="shared" si="82"/>
        <v/>
      </c>
      <c r="X337" t="str">
        <f>IF(ISBLANK(S337),"Intersection","Non-Intersection")</f>
        <v>Non-Intersection</v>
      </c>
      <c r="Y337" t="s">
        <v>799</v>
      </c>
      <c r="Z337" t="str">
        <f t="shared" si="83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0"/>
        <v>40179</v>
      </c>
      <c r="D338" s="4">
        <f t="shared" si="71"/>
        <v>0.25205479452054796</v>
      </c>
      <c r="E338" s="3">
        <f t="shared" si="72"/>
        <v>2010</v>
      </c>
      <c r="F338" s="3">
        <f t="shared" si="73"/>
        <v>4</v>
      </c>
      <c r="G338" s="3">
        <f t="shared" si="74"/>
        <v>3</v>
      </c>
      <c r="H338" s="3">
        <f t="shared" si="75"/>
        <v>10</v>
      </c>
      <c r="I338" s="3">
        <f t="shared" si="76"/>
        <v>12</v>
      </c>
      <c r="J338" s="3">
        <f t="shared" si="77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78"/>
        <v>YES</v>
      </c>
      <c r="Q338" t="str">
        <f t="shared" si="79"/>
        <v>NO</v>
      </c>
      <c r="R338" t="str">
        <f t="shared" si="80"/>
        <v>YES</v>
      </c>
      <c r="T338" t="s">
        <v>37</v>
      </c>
      <c r="U338" t="str">
        <f t="shared" si="81"/>
        <v>Magazine St</v>
      </c>
      <c r="V338" t="s">
        <v>42</v>
      </c>
      <c r="W338" t="str">
        <f t="shared" si="82"/>
        <v>Putnam Ave</v>
      </c>
      <c r="X338" t="str">
        <f>IF(ISBLANK(S338),"Intersection","Non-Intersection")</f>
        <v>Intersection</v>
      </c>
      <c r="Y338" t="s">
        <v>801</v>
      </c>
      <c r="Z338" t="str">
        <f t="shared" si="83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0"/>
        <v>40179</v>
      </c>
      <c r="D339" s="4">
        <f t="shared" si="71"/>
        <v>0.25205479452054796</v>
      </c>
      <c r="E339" s="3">
        <f t="shared" si="72"/>
        <v>2010</v>
      </c>
      <c r="F339" s="3">
        <f t="shared" si="73"/>
        <v>4</v>
      </c>
      <c r="G339" s="3">
        <f t="shared" si="74"/>
        <v>3</v>
      </c>
      <c r="H339" s="3">
        <f t="shared" si="75"/>
        <v>16</v>
      </c>
      <c r="I339" s="3">
        <f t="shared" si="76"/>
        <v>15</v>
      </c>
      <c r="J339" s="3">
        <f t="shared" si="77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78"/>
        <v>YES</v>
      </c>
      <c r="Q339" t="str">
        <f t="shared" si="79"/>
        <v>YES</v>
      </c>
      <c r="R339" t="str">
        <f t="shared" si="80"/>
        <v>NO</v>
      </c>
      <c r="T339" t="s">
        <v>14</v>
      </c>
      <c r="U339" t="str">
        <f t="shared" si="81"/>
        <v>Massachusetts Ave</v>
      </c>
      <c r="V339" t="s">
        <v>202</v>
      </c>
      <c r="W339" t="str">
        <f t="shared" si="82"/>
        <v>Vassar St</v>
      </c>
      <c r="X339" t="str">
        <f>IF(ISBLANK(S339),"Intersection","Non-Intersection")</f>
        <v>Intersection</v>
      </c>
      <c r="Y339" t="s">
        <v>361</v>
      </c>
      <c r="Z339" t="str">
        <f t="shared" si="83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0"/>
        <v>40179</v>
      </c>
      <c r="D340" s="4">
        <f t="shared" si="71"/>
        <v>0.25479452054794521</v>
      </c>
      <c r="E340" s="3">
        <f t="shared" si="72"/>
        <v>2010</v>
      </c>
      <c r="F340" s="3">
        <f t="shared" si="73"/>
        <v>4</v>
      </c>
      <c r="G340" s="3">
        <f t="shared" si="74"/>
        <v>4</v>
      </c>
      <c r="H340" s="3">
        <f t="shared" si="75"/>
        <v>6</v>
      </c>
      <c r="I340" s="3">
        <f t="shared" si="76"/>
        <v>59</v>
      </c>
      <c r="J340" s="3">
        <f t="shared" si="77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78"/>
        <v>YES</v>
      </c>
      <c r="Q340" t="str">
        <f t="shared" si="79"/>
        <v>NO</v>
      </c>
      <c r="R340" t="str">
        <f t="shared" si="80"/>
        <v>NO</v>
      </c>
      <c r="T340" t="s">
        <v>803</v>
      </c>
      <c r="U340" t="str">
        <f t="shared" si="81"/>
        <v>Line St</v>
      </c>
      <c r="W340" t="str">
        <f t="shared" si="82"/>
        <v/>
      </c>
      <c r="X340" t="str">
        <f>IF(ISBLANK(S340),"Intersection","Non-Intersection")</f>
        <v>Intersection</v>
      </c>
      <c r="Y340" t="s">
        <v>804</v>
      </c>
      <c r="Z340" t="str">
        <f t="shared" si="83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0"/>
        <v>40179</v>
      </c>
      <c r="D341" s="4">
        <f t="shared" si="71"/>
        <v>0.25479452054794521</v>
      </c>
      <c r="E341" s="3">
        <f t="shared" si="72"/>
        <v>2010</v>
      </c>
      <c r="F341" s="3">
        <f t="shared" si="73"/>
        <v>4</v>
      </c>
      <c r="G341" s="3">
        <f t="shared" si="74"/>
        <v>4</v>
      </c>
      <c r="H341" s="3">
        <f t="shared" si="75"/>
        <v>11</v>
      </c>
      <c r="I341" s="3">
        <f t="shared" si="76"/>
        <v>0</v>
      </c>
      <c r="J341" s="3">
        <f t="shared" si="77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78"/>
        <v>YES</v>
      </c>
      <c r="Q341" t="str">
        <f t="shared" si="79"/>
        <v>NO</v>
      </c>
      <c r="R341" t="str">
        <f t="shared" si="80"/>
        <v>NO</v>
      </c>
      <c r="S341">
        <v>20</v>
      </c>
      <c r="T341" t="s">
        <v>805</v>
      </c>
      <c r="U341" t="str">
        <f t="shared" si="81"/>
        <v>Trowbridge St</v>
      </c>
      <c r="W341" t="str">
        <f t="shared" si="82"/>
        <v/>
      </c>
      <c r="X341" t="str">
        <f>IF(ISBLANK(S341),"Intersection","Non-Intersection")</f>
        <v>Non-Intersection</v>
      </c>
      <c r="Y341" t="s">
        <v>806</v>
      </c>
      <c r="Z341" t="str">
        <f t="shared" si="83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0"/>
        <v>40179</v>
      </c>
      <c r="D342" s="4">
        <f t="shared" si="71"/>
        <v>0.25753424657534246</v>
      </c>
      <c r="E342" s="3">
        <f t="shared" si="72"/>
        <v>2010</v>
      </c>
      <c r="F342" s="3">
        <f t="shared" si="73"/>
        <v>4</v>
      </c>
      <c r="G342" s="3">
        <f t="shared" si="74"/>
        <v>5</v>
      </c>
      <c r="H342" s="3">
        <f t="shared" si="75"/>
        <v>2</v>
      </c>
      <c r="I342" s="3">
        <f t="shared" si="76"/>
        <v>29</v>
      </c>
      <c r="J342" s="3">
        <f t="shared" si="77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78"/>
        <v>YES</v>
      </c>
      <c r="Q342" t="str">
        <f t="shared" si="79"/>
        <v>NO</v>
      </c>
      <c r="R342" t="str">
        <f t="shared" si="80"/>
        <v>NO</v>
      </c>
      <c r="S342">
        <v>374</v>
      </c>
      <c r="T342" t="s">
        <v>342</v>
      </c>
      <c r="U342" t="str">
        <f t="shared" si="81"/>
        <v>Prospect St</v>
      </c>
      <c r="W342" t="str">
        <f t="shared" si="82"/>
        <v/>
      </c>
      <c r="X342" t="str">
        <f>IF(ISBLANK(S342),"Intersection","Non-Intersection")</f>
        <v>Non-Intersection</v>
      </c>
      <c r="Y342" t="s">
        <v>808</v>
      </c>
      <c r="Z342" t="str">
        <f t="shared" si="83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0"/>
        <v>40179</v>
      </c>
      <c r="D343" s="4">
        <f t="shared" si="71"/>
        <v>0.25753424657534246</v>
      </c>
      <c r="E343" s="3">
        <f t="shared" si="72"/>
        <v>2010</v>
      </c>
      <c r="F343" s="3">
        <f t="shared" si="73"/>
        <v>4</v>
      </c>
      <c r="G343" s="3">
        <f t="shared" si="74"/>
        <v>5</v>
      </c>
      <c r="H343" s="3">
        <f t="shared" si="75"/>
        <v>0</v>
      </c>
      <c r="I343" s="3">
        <f t="shared" si="76"/>
        <v>20</v>
      </c>
      <c r="J343" s="3">
        <f t="shared" si="77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78"/>
        <v>YES</v>
      </c>
      <c r="Q343" t="str">
        <f t="shared" si="79"/>
        <v>NO</v>
      </c>
      <c r="R343" t="str">
        <f t="shared" si="80"/>
        <v>NO</v>
      </c>
      <c r="T343" t="s">
        <v>105</v>
      </c>
      <c r="U343" t="str">
        <f t="shared" si="81"/>
        <v>Broadway</v>
      </c>
      <c r="V343" t="s">
        <v>288</v>
      </c>
      <c r="W343" t="str">
        <f t="shared" si="82"/>
        <v>Galileo Galilei Way</v>
      </c>
      <c r="X343" t="str">
        <f>IF(ISBLANK(S343),"Intersection","Non-Intersection")</f>
        <v>Intersection</v>
      </c>
      <c r="Y343" t="s">
        <v>289</v>
      </c>
      <c r="Z343" t="str">
        <f t="shared" si="83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0"/>
        <v>40179</v>
      </c>
      <c r="D344" s="4">
        <f t="shared" si="71"/>
        <v>0.25753424657534246</v>
      </c>
      <c r="E344" s="3">
        <f t="shared" si="72"/>
        <v>2010</v>
      </c>
      <c r="F344" s="3">
        <f t="shared" si="73"/>
        <v>4</v>
      </c>
      <c r="G344" s="3">
        <f t="shared" si="74"/>
        <v>5</v>
      </c>
      <c r="H344" s="3">
        <f t="shared" si="75"/>
        <v>9</v>
      </c>
      <c r="I344" s="3">
        <f t="shared" si="76"/>
        <v>14</v>
      </c>
      <c r="J344" s="3">
        <f t="shared" si="77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78"/>
        <v>YES</v>
      </c>
      <c r="Q344" t="str">
        <f t="shared" si="79"/>
        <v>NO</v>
      </c>
      <c r="R344" t="str">
        <f t="shared" si="80"/>
        <v>NO</v>
      </c>
      <c r="T344" t="s">
        <v>252</v>
      </c>
      <c r="U344" t="str">
        <f t="shared" si="81"/>
        <v>Walden St</v>
      </c>
      <c r="V344" t="s">
        <v>45</v>
      </c>
      <c r="W344" t="str">
        <f t="shared" si="82"/>
        <v>Sherman St</v>
      </c>
      <c r="X344" t="str">
        <f>IF(ISBLANK(S344),"Intersection","Non-Intersection")</f>
        <v>Intersection</v>
      </c>
      <c r="Y344" t="s">
        <v>810</v>
      </c>
      <c r="Z344" t="str">
        <f t="shared" si="83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0"/>
        <v>40179</v>
      </c>
      <c r="D345" s="4">
        <f t="shared" si="71"/>
        <v>0.25753424657534246</v>
      </c>
      <c r="E345" s="3">
        <f t="shared" si="72"/>
        <v>2010</v>
      </c>
      <c r="F345" s="3">
        <f t="shared" si="73"/>
        <v>4</v>
      </c>
      <c r="G345" s="3">
        <f t="shared" si="74"/>
        <v>5</v>
      </c>
      <c r="H345" s="3">
        <f t="shared" si="75"/>
        <v>12</v>
      </c>
      <c r="I345" s="3">
        <f t="shared" si="76"/>
        <v>0</v>
      </c>
      <c r="J345" s="3">
        <f t="shared" si="77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78"/>
        <v>YES</v>
      </c>
      <c r="Q345" t="str">
        <f t="shared" si="79"/>
        <v>NO</v>
      </c>
      <c r="R345" t="str">
        <f t="shared" si="80"/>
        <v>NO</v>
      </c>
      <c r="T345" t="s">
        <v>796</v>
      </c>
      <c r="U345" t="str">
        <f t="shared" si="81"/>
        <v>Portland St</v>
      </c>
      <c r="V345" t="s">
        <v>32</v>
      </c>
      <c r="W345" t="str">
        <f t="shared" si="82"/>
        <v>Main St</v>
      </c>
      <c r="X345" t="str">
        <f>IF(ISBLANK(S345),"Intersection","Non-Intersection")</f>
        <v>Intersection</v>
      </c>
      <c r="Y345" t="s">
        <v>812</v>
      </c>
      <c r="Z345" t="str">
        <f t="shared" si="83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0"/>
        <v>40179</v>
      </c>
      <c r="D346" s="4">
        <f t="shared" si="71"/>
        <v>0.25753424657534246</v>
      </c>
      <c r="E346" s="3">
        <f t="shared" si="72"/>
        <v>2010</v>
      </c>
      <c r="F346" s="3">
        <f t="shared" si="73"/>
        <v>4</v>
      </c>
      <c r="G346" s="3">
        <f t="shared" si="74"/>
        <v>5</v>
      </c>
      <c r="H346" s="3">
        <f t="shared" si="75"/>
        <v>14</v>
      </c>
      <c r="I346" s="3">
        <f t="shared" si="76"/>
        <v>1</v>
      </c>
      <c r="J346" s="3">
        <f t="shared" si="77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78"/>
        <v>YES</v>
      </c>
      <c r="Q346" t="str">
        <f t="shared" si="79"/>
        <v>NO</v>
      </c>
      <c r="R346" t="str">
        <f t="shared" si="80"/>
        <v>NO</v>
      </c>
      <c r="T346" t="s">
        <v>410</v>
      </c>
      <c r="U346" t="str">
        <f t="shared" si="81"/>
        <v>Highland Ave</v>
      </c>
      <c r="V346" t="s">
        <v>814</v>
      </c>
      <c r="W346" t="str">
        <f t="shared" si="82"/>
        <v>Marie Ave</v>
      </c>
      <c r="X346" t="str">
        <f>IF(ISBLANK(S346),"Intersection","Non-Intersection")</f>
        <v>Intersection</v>
      </c>
      <c r="Y346" t="s">
        <v>815</v>
      </c>
      <c r="Z346" t="str">
        <f t="shared" si="83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0"/>
        <v>40179</v>
      </c>
      <c r="D347" s="4">
        <f t="shared" si="71"/>
        <v>0.25753424657534246</v>
      </c>
      <c r="E347" s="3">
        <f t="shared" si="72"/>
        <v>2010</v>
      </c>
      <c r="F347" s="3">
        <f t="shared" si="73"/>
        <v>4</v>
      </c>
      <c r="G347" s="3">
        <f t="shared" si="74"/>
        <v>5</v>
      </c>
      <c r="H347" s="3">
        <f t="shared" si="75"/>
        <v>22</v>
      </c>
      <c r="I347" s="3">
        <f t="shared" si="76"/>
        <v>50</v>
      </c>
      <c r="J347" s="3">
        <f t="shared" si="77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78"/>
        <v>NO</v>
      </c>
      <c r="Q347" t="str">
        <f t="shared" si="79"/>
        <v>YES</v>
      </c>
      <c r="R347" t="str">
        <f t="shared" si="80"/>
        <v>NO</v>
      </c>
      <c r="T347" t="s">
        <v>238</v>
      </c>
      <c r="U347" t="str">
        <f t="shared" si="81"/>
        <v>Kirkland St</v>
      </c>
      <c r="W347" t="str">
        <f t="shared" si="82"/>
        <v/>
      </c>
      <c r="X347" t="str">
        <f>IF(ISBLANK(S347),"Intersection","Non-Intersection")</f>
        <v>Intersection</v>
      </c>
      <c r="Y347" t="s">
        <v>239</v>
      </c>
      <c r="Z347" t="str">
        <f t="shared" si="83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0"/>
        <v>40179</v>
      </c>
      <c r="D348" s="4">
        <f t="shared" si="71"/>
        <v>0.26027397260273971</v>
      </c>
      <c r="E348" s="3">
        <f t="shared" si="72"/>
        <v>2010</v>
      </c>
      <c r="F348" s="3">
        <f t="shared" si="73"/>
        <v>4</v>
      </c>
      <c r="G348" s="3">
        <f t="shared" si="74"/>
        <v>6</v>
      </c>
      <c r="H348" s="3">
        <f t="shared" si="75"/>
        <v>11</v>
      </c>
      <c r="I348" s="3">
        <f t="shared" si="76"/>
        <v>15</v>
      </c>
      <c r="J348" s="3">
        <f t="shared" si="77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78"/>
        <v>YES</v>
      </c>
      <c r="Q348" t="str">
        <f t="shared" si="79"/>
        <v>NO</v>
      </c>
      <c r="R348" t="str">
        <f t="shared" si="80"/>
        <v>NO</v>
      </c>
      <c r="T348" t="s">
        <v>14</v>
      </c>
      <c r="U348" t="str">
        <f t="shared" si="81"/>
        <v>Massachusetts Ave</v>
      </c>
      <c r="V348" t="s">
        <v>167</v>
      </c>
      <c r="W348" t="str">
        <f t="shared" si="82"/>
        <v>Wendell St</v>
      </c>
      <c r="X348" t="str">
        <f>IF(ISBLANK(S348),"Intersection","Non-Intersection")</f>
        <v>Intersection</v>
      </c>
      <c r="Y348" t="s">
        <v>817</v>
      </c>
      <c r="Z348" t="str">
        <f t="shared" si="83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0"/>
        <v>40179</v>
      </c>
      <c r="D349" s="4">
        <f t="shared" si="71"/>
        <v>0.26027397260273971</v>
      </c>
      <c r="E349" s="3">
        <f t="shared" si="72"/>
        <v>2010</v>
      </c>
      <c r="F349" s="3">
        <f t="shared" si="73"/>
        <v>4</v>
      </c>
      <c r="G349" s="3">
        <f t="shared" si="74"/>
        <v>6</v>
      </c>
      <c r="H349" s="3">
        <f t="shared" si="75"/>
        <v>18</v>
      </c>
      <c r="I349" s="3">
        <f t="shared" si="76"/>
        <v>40</v>
      </c>
      <c r="J349" s="3">
        <f t="shared" si="77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78"/>
        <v>YES</v>
      </c>
      <c r="Q349" t="str">
        <f t="shared" si="79"/>
        <v>YES</v>
      </c>
      <c r="R349" t="str">
        <f t="shared" si="80"/>
        <v>NO</v>
      </c>
      <c r="T349" t="s">
        <v>202</v>
      </c>
      <c r="U349" t="str">
        <f t="shared" si="81"/>
        <v>Vassar St</v>
      </c>
      <c r="V349" t="s">
        <v>14</v>
      </c>
      <c r="W349" t="str">
        <f t="shared" si="82"/>
        <v>Massachusetts Ave</v>
      </c>
      <c r="X349" t="str">
        <f>IF(ISBLANK(S349),"Intersection","Non-Intersection")</f>
        <v>Intersection</v>
      </c>
      <c r="Y349" t="s">
        <v>222</v>
      </c>
      <c r="Z349" t="str">
        <f t="shared" si="83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0"/>
        <v>40179</v>
      </c>
      <c r="D350" s="4">
        <f t="shared" si="71"/>
        <v>0.26027397260273971</v>
      </c>
      <c r="E350" s="3">
        <f t="shared" si="72"/>
        <v>2010</v>
      </c>
      <c r="F350" s="3">
        <f t="shared" si="73"/>
        <v>4</v>
      </c>
      <c r="G350" s="3">
        <f t="shared" si="74"/>
        <v>6</v>
      </c>
      <c r="H350" s="3">
        <f t="shared" si="75"/>
        <v>19</v>
      </c>
      <c r="I350" s="3">
        <f t="shared" si="76"/>
        <v>50</v>
      </c>
      <c r="J350" s="3">
        <f t="shared" si="77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78"/>
        <v>YES</v>
      </c>
      <c r="Q350" t="str">
        <f t="shared" si="79"/>
        <v>NO</v>
      </c>
      <c r="R350" t="str">
        <f t="shared" si="80"/>
        <v>YES</v>
      </c>
      <c r="S350">
        <v>247</v>
      </c>
      <c r="T350" t="s">
        <v>342</v>
      </c>
      <c r="U350" t="str">
        <f t="shared" si="81"/>
        <v>Prospect St</v>
      </c>
      <c r="W350" t="str">
        <f t="shared" si="82"/>
        <v/>
      </c>
      <c r="X350" t="str">
        <f>IF(ISBLANK(S350),"Intersection","Non-Intersection")</f>
        <v>Non-Intersection</v>
      </c>
      <c r="Y350" t="s">
        <v>819</v>
      </c>
      <c r="Z350" t="str">
        <f t="shared" si="83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0"/>
        <v>40179</v>
      </c>
      <c r="D351" s="4">
        <f t="shared" si="71"/>
        <v>0.26301369863013696</v>
      </c>
      <c r="E351" s="3">
        <f t="shared" si="72"/>
        <v>2010</v>
      </c>
      <c r="F351" s="3">
        <f t="shared" si="73"/>
        <v>4</v>
      </c>
      <c r="G351" s="3">
        <f t="shared" si="74"/>
        <v>7</v>
      </c>
      <c r="H351" s="3">
        <f t="shared" si="75"/>
        <v>5</v>
      </c>
      <c r="I351" s="3">
        <f t="shared" si="76"/>
        <v>32</v>
      </c>
      <c r="J351" s="3">
        <f t="shared" si="77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78"/>
        <v>YES</v>
      </c>
      <c r="Q351" t="str">
        <f t="shared" si="79"/>
        <v>NO</v>
      </c>
      <c r="R351" t="str">
        <f t="shared" si="80"/>
        <v>NO</v>
      </c>
      <c r="T351" t="s">
        <v>178</v>
      </c>
      <c r="U351" t="str">
        <f t="shared" si="81"/>
        <v>Pleasant St</v>
      </c>
      <c r="W351" t="str">
        <f t="shared" si="82"/>
        <v/>
      </c>
      <c r="X351" t="str">
        <f>IF(ISBLANK(S351),"Intersection","Non-Intersection")</f>
        <v>Intersection</v>
      </c>
      <c r="Y351" t="s">
        <v>576</v>
      </c>
      <c r="Z351" t="str">
        <f t="shared" si="83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0"/>
        <v>40179</v>
      </c>
      <c r="D352" s="4">
        <f t="shared" si="71"/>
        <v>0.26301369863013696</v>
      </c>
      <c r="E352" s="3">
        <f t="shared" si="72"/>
        <v>2010</v>
      </c>
      <c r="F352" s="3">
        <f t="shared" si="73"/>
        <v>4</v>
      </c>
      <c r="G352" s="3">
        <f t="shared" si="74"/>
        <v>7</v>
      </c>
      <c r="H352" s="3">
        <f t="shared" si="75"/>
        <v>17</v>
      </c>
      <c r="I352" s="3">
        <f t="shared" si="76"/>
        <v>17</v>
      </c>
      <c r="J352" s="3">
        <f t="shared" si="77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78"/>
        <v>YES</v>
      </c>
      <c r="Q352" t="str">
        <f t="shared" si="79"/>
        <v>YES</v>
      </c>
      <c r="R352" t="str">
        <f t="shared" si="80"/>
        <v>NO</v>
      </c>
      <c r="T352" t="s">
        <v>19</v>
      </c>
      <c r="U352" t="str">
        <f t="shared" si="81"/>
        <v>Cambridge St</v>
      </c>
      <c r="V352" t="s">
        <v>342</v>
      </c>
      <c r="W352" t="str">
        <f t="shared" si="82"/>
        <v>Prospect St</v>
      </c>
      <c r="X352" t="str">
        <f>IF(ISBLANK(S352),"Intersection","Non-Intersection")</f>
        <v>Intersection</v>
      </c>
      <c r="Y352" t="s">
        <v>821</v>
      </c>
      <c r="Z352" t="str">
        <f t="shared" si="83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0"/>
        <v>40179</v>
      </c>
      <c r="D353" s="4">
        <f t="shared" si="71"/>
        <v>0.26301369863013696</v>
      </c>
      <c r="E353" s="3">
        <f t="shared" si="72"/>
        <v>2010</v>
      </c>
      <c r="F353" s="3">
        <f t="shared" si="73"/>
        <v>4</v>
      </c>
      <c r="G353" s="3">
        <f t="shared" si="74"/>
        <v>7</v>
      </c>
      <c r="H353" s="3">
        <f t="shared" si="75"/>
        <v>9</v>
      </c>
      <c r="I353" s="3">
        <f t="shared" si="76"/>
        <v>10</v>
      </c>
      <c r="J353" s="3">
        <f t="shared" si="77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78"/>
        <v>YES</v>
      </c>
      <c r="Q353" t="str">
        <f t="shared" si="79"/>
        <v>NO</v>
      </c>
      <c r="R353" t="str">
        <f t="shared" si="80"/>
        <v>NO</v>
      </c>
      <c r="S353">
        <v>575</v>
      </c>
      <c r="T353" t="s">
        <v>198</v>
      </c>
      <c r="U353" t="str">
        <f t="shared" si="81"/>
        <v>Mount Auburn St</v>
      </c>
      <c r="W353" t="str">
        <f t="shared" si="82"/>
        <v/>
      </c>
      <c r="X353" t="str">
        <f>IF(ISBLANK(S353),"Intersection","Non-Intersection")</f>
        <v>Non-Intersection</v>
      </c>
      <c r="Y353" t="s">
        <v>823</v>
      </c>
      <c r="Z353" t="str">
        <f t="shared" si="83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0"/>
        <v>40179</v>
      </c>
      <c r="D354" s="4">
        <f t="shared" si="71"/>
        <v>0.26301369863013696</v>
      </c>
      <c r="E354" s="3">
        <f t="shared" si="72"/>
        <v>2010</v>
      </c>
      <c r="F354" s="3">
        <f t="shared" si="73"/>
        <v>4</v>
      </c>
      <c r="G354" s="3">
        <f t="shared" si="74"/>
        <v>7</v>
      </c>
      <c r="H354" s="3">
        <f t="shared" si="75"/>
        <v>15</v>
      </c>
      <c r="I354" s="3">
        <f t="shared" si="76"/>
        <v>59</v>
      </c>
      <c r="J354" s="3">
        <f t="shared" si="77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78"/>
        <v>YES</v>
      </c>
      <c r="Q354" t="str">
        <f t="shared" si="79"/>
        <v>NO</v>
      </c>
      <c r="R354" t="str">
        <f t="shared" si="80"/>
        <v>NO</v>
      </c>
      <c r="S354">
        <v>149</v>
      </c>
      <c r="T354" t="s">
        <v>170</v>
      </c>
      <c r="U354" t="str">
        <f t="shared" si="81"/>
        <v>Alewife Brook Pky</v>
      </c>
      <c r="W354" t="str">
        <f t="shared" si="82"/>
        <v/>
      </c>
      <c r="X354" t="str">
        <f>IF(ISBLANK(S354),"Intersection","Non-Intersection")</f>
        <v>Non-Intersection</v>
      </c>
      <c r="Y354" t="s">
        <v>720</v>
      </c>
      <c r="Z354" t="str">
        <f t="shared" si="83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0"/>
        <v>40179</v>
      </c>
      <c r="D355" s="4">
        <f t="shared" si="71"/>
        <v>0.26301369863013696</v>
      </c>
      <c r="E355" s="3">
        <f t="shared" si="72"/>
        <v>2010</v>
      </c>
      <c r="F355" s="3">
        <f t="shared" si="73"/>
        <v>4</v>
      </c>
      <c r="G355" s="3">
        <f t="shared" si="74"/>
        <v>7</v>
      </c>
      <c r="H355" s="3">
        <f t="shared" si="75"/>
        <v>23</v>
      </c>
      <c r="I355" s="3">
        <f t="shared" si="76"/>
        <v>39</v>
      </c>
      <c r="J355" s="3">
        <f t="shared" si="77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78"/>
        <v>YES</v>
      </c>
      <c r="Q355" t="str">
        <f t="shared" si="79"/>
        <v>NO</v>
      </c>
      <c r="R355" t="str">
        <f t="shared" si="80"/>
        <v>NO</v>
      </c>
      <c r="T355" t="s">
        <v>252</v>
      </c>
      <c r="U355" t="str">
        <f t="shared" si="81"/>
        <v>Walden St</v>
      </c>
      <c r="V355" t="s">
        <v>825</v>
      </c>
      <c r="W355" t="str">
        <f t="shared" si="82"/>
        <v>Vincent St</v>
      </c>
      <c r="X355" t="str">
        <f>IF(ISBLANK(S355),"Intersection","Non-Intersection")</f>
        <v>Intersection</v>
      </c>
      <c r="Y355" t="s">
        <v>826</v>
      </c>
      <c r="Z355" t="str">
        <f t="shared" si="83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0"/>
        <v>40179</v>
      </c>
      <c r="D356" s="4">
        <f t="shared" si="71"/>
        <v>0.26575342465753427</v>
      </c>
      <c r="E356" s="3">
        <f t="shared" si="72"/>
        <v>2010</v>
      </c>
      <c r="F356" s="3">
        <f t="shared" si="73"/>
        <v>4</v>
      </c>
      <c r="G356" s="3">
        <f t="shared" si="74"/>
        <v>8</v>
      </c>
      <c r="H356" s="3">
        <f t="shared" si="75"/>
        <v>13</v>
      </c>
      <c r="I356" s="3">
        <f t="shared" si="76"/>
        <v>34</v>
      </c>
      <c r="J356" s="3">
        <f t="shared" si="77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78"/>
        <v>YES</v>
      </c>
      <c r="Q356" t="str">
        <f t="shared" si="79"/>
        <v>YES</v>
      </c>
      <c r="R356" t="str">
        <f t="shared" si="80"/>
        <v>NO</v>
      </c>
      <c r="T356" t="s">
        <v>74</v>
      </c>
      <c r="U356" t="str">
        <f t="shared" si="81"/>
        <v>Hampshire St</v>
      </c>
      <c r="V356" t="s">
        <v>342</v>
      </c>
      <c r="W356" t="str">
        <f t="shared" si="82"/>
        <v>Prospect St</v>
      </c>
      <c r="X356" t="str">
        <f>IF(ISBLANK(S356),"Intersection","Non-Intersection")</f>
        <v>Intersection</v>
      </c>
      <c r="Y356" t="s">
        <v>462</v>
      </c>
      <c r="Z356" t="str">
        <f t="shared" si="83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0"/>
        <v>40179</v>
      </c>
      <c r="D357" s="4">
        <f t="shared" si="71"/>
        <v>0.26575342465753427</v>
      </c>
      <c r="E357" s="3">
        <f t="shared" si="72"/>
        <v>2010</v>
      </c>
      <c r="F357" s="3">
        <f t="shared" si="73"/>
        <v>4</v>
      </c>
      <c r="G357" s="3">
        <f t="shared" si="74"/>
        <v>8</v>
      </c>
      <c r="H357" s="3">
        <f t="shared" si="75"/>
        <v>15</v>
      </c>
      <c r="I357" s="3">
        <f t="shared" si="76"/>
        <v>0</v>
      </c>
      <c r="J357" s="3">
        <f t="shared" si="77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78"/>
        <v>YES</v>
      </c>
      <c r="Q357" t="str">
        <f t="shared" si="79"/>
        <v>NO</v>
      </c>
      <c r="R357" t="str">
        <f t="shared" si="80"/>
        <v>NO</v>
      </c>
      <c r="S357">
        <v>340</v>
      </c>
      <c r="T357" t="s">
        <v>41</v>
      </c>
      <c r="U357" t="str">
        <f t="shared" si="81"/>
        <v>River St</v>
      </c>
      <c r="W357" t="str">
        <f t="shared" si="82"/>
        <v/>
      </c>
      <c r="X357" t="str">
        <f>IF(ISBLANK(S357),"Intersection","Non-Intersection")</f>
        <v>Non-Intersection</v>
      </c>
      <c r="Y357" t="s">
        <v>696</v>
      </c>
      <c r="Z357" t="str">
        <f t="shared" si="83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0"/>
        <v>40179</v>
      </c>
      <c r="D358" s="4">
        <f t="shared" si="71"/>
        <v>0.26575342465753427</v>
      </c>
      <c r="E358" s="3">
        <f t="shared" si="72"/>
        <v>2010</v>
      </c>
      <c r="F358" s="3">
        <f t="shared" si="73"/>
        <v>4</v>
      </c>
      <c r="G358" s="3">
        <f t="shared" si="74"/>
        <v>8</v>
      </c>
      <c r="H358" s="3">
        <f t="shared" si="75"/>
        <v>15</v>
      </c>
      <c r="I358" s="3">
        <f t="shared" si="76"/>
        <v>40</v>
      </c>
      <c r="J358" s="3">
        <f t="shared" si="77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78"/>
        <v>YES</v>
      </c>
      <c r="Q358" t="str">
        <f t="shared" si="79"/>
        <v>NO</v>
      </c>
      <c r="R358" t="str">
        <f t="shared" si="80"/>
        <v>NO</v>
      </c>
      <c r="S358">
        <v>200</v>
      </c>
      <c r="T358" t="s">
        <v>105</v>
      </c>
      <c r="U358" t="str">
        <f t="shared" si="81"/>
        <v>Broadway</v>
      </c>
      <c r="W358" t="str">
        <f t="shared" si="82"/>
        <v/>
      </c>
      <c r="X358" t="str">
        <f>IF(ISBLANK(S358),"Intersection","Non-Intersection")</f>
        <v>Non-Intersection</v>
      </c>
      <c r="Y358" t="s">
        <v>828</v>
      </c>
      <c r="Z358" t="str">
        <f t="shared" si="83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0"/>
        <v>40179</v>
      </c>
      <c r="D359" s="4">
        <f t="shared" si="71"/>
        <v>0.26575342465753427</v>
      </c>
      <c r="E359" s="3">
        <f t="shared" si="72"/>
        <v>2010</v>
      </c>
      <c r="F359" s="3">
        <f t="shared" si="73"/>
        <v>4</v>
      </c>
      <c r="G359" s="3">
        <f t="shared" si="74"/>
        <v>8</v>
      </c>
      <c r="H359" s="3">
        <f t="shared" si="75"/>
        <v>17</v>
      </c>
      <c r="I359" s="3">
        <f t="shared" si="76"/>
        <v>25</v>
      </c>
      <c r="J359" s="3">
        <f t="shared" si="77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78"/>
        <v>YES</v>
      </c>
      <c r="Q359" t="str">
        <f t="shared" si="79"/>
        <v>YES</v>
      </c>
      <c r="R359" t="str">
        <f t="shared" si="80"/>
        <v>NO</v>
      </c>
      <c r="S359">
        <v>576</v>
      </c>
      <c r="T359" t="s">
        <v>14</v>
      </c>
      <c r="U359" t="str">
        <f t="shared" si="81"/>
        <v>Massachusetts Ave</v>
      </c>
      <c r="W359" t="str">
        <f t="shared" si="82"/>
        <v/>
      </c>
      <c r="X359" t="str">
        <f>IF(ISBLANK(S359),"Intersection","Non-Intersection")</f>
        <v>Non-Intersection</v>
      </c>
      <c r="Y359" t="s">
        <v>830</v>
      </c>
      <c r="Z359" t="str">
        <f t="shared" si="83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0"/>
        <v>40179</v>
      </c>
      <c r="D360" s="4">
        <f t="shared" si="71"/>
        <v>0.26575342465753427</v>
      </c>
      <c r="E360" s="3">
        <f t="shared" si="72"/>
        <v>2010</v>
      </c>
      <c r="F360" s="3">
        <f t="shared" si="73"/>
        <v>4</v>
      </c>
      <c r="G360" s="3">
        <f t="shared" si="74"/>
        <v>8</v>
      </c>
      <c r="H360" s="3">
        <f t="shared" si="75"/>
        <v>11</v>
      </c>
      <c r="I360" s="3">
        <f t="shared" si="76"/>
        <v>29</v>
      </c>
      <c r="J360" s="3">
        <f t="shared" si="77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78"/>
        <v>YES</v>
      </c>
      <c r="Q360" t="str">
        <f t="shared" si="79"/>
        <v>NO</v>
      </c>
      <c r="R360" t="str">
        <f t="shared" si="80"/>
        <v>NO</v>
      </c>
      <c r="T360" t="s">
        <v>832</v>
      </c>
      <c r="U360" t="str">
        <f t="shared" si="81"/>
        <v>Fairmont Ave</v>
      </c>
      <c r="V360" t="s">
        <v>178</v>
      </c>
      <c r="W360" t="str">
        <f t="shared" si="82"/>
        <v>Pleasant St</v>
      </c>
      <c r="X360" t="str">
        <f>IF(ISBLANK(S360),"Intersection","Non-Intersection")</f>
        <v>Intersection</v>
      </c>
      <c r="Y360" t="s">
        <v>833</v>
      </c>
      <c r="Z360" t="str">
        <f t="shared" si="83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0"/>
        <v>40179</v>
      </c>
      <c r="D361" s="4">
        <f t="shared" si="71"/>
        <v>0.26849315068493151</v>
      </c>
      <c r="E361" s="3">
        <f t="shared" si="72"/>
        <v>2010</v>
      </c>
      <c r="F361" s="3">
        <f t="shared" si="73"/>
        <v>4</v>
      </c>
      <c r="G361" s="3">
        <f t="shared" si="74"/>
        <v>9</v>
      </c>
      <c r="H361" s="3">
        <f t="shared" si="75"/>
        <v>2</v>
      </c>
      <c r="I361" s="3">
        <f t="shared" si="76"/>
        <v>29</v>
      </c>
      <c r="J361" s="3">
        <f t="shared" si="77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78"/>
        <v>YES</v>
      </c>
      <c r="Q361" t="str">
        <f t="shared" si="79"/>
        <v>NO</v>
      </c>
      <c r="R361" t="str">
        <f t="shared" si="80"/>
        <v>NO</v>
      </c>
      <c r="T361" t="s">
        <v>195</v>
      </c>
      <c r="U361" t="str">
        <f t="shared" si="81"/>
        <v>Sidney St</v>
      </c>
      <c r="V361" t="s">
        <v>835</v>
      </c>
      <c r="W361" t="str">
        <f t="shared" si="82"/>
        <v>Erie St</v>
      </c>
      <c r="X361" t="str">
        <f>IF(ISBLANK(S361),"Intersection","Non-Intersection")</f>
        <v>Intersection</v>
      </c>
      <c r="Y361" t="s">
        <v>836</v>
      </c>
      <c r="Z361" t="str">
        <f t="shared" si="83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0"/>
        <v>40179</v>
      </c>
      <c r="D362" s="4">
        <f t="shared" si="71"/>
        <v>0.26849315068493151</v>
      </c>
      <c r="E362" s="3">
        <f t="shared" si="72"/>
        <v>2010</v>
      </c>
      <c r="F362" s="3">
        <f t="shared" si="73"/>
        <v>4</v>
      </c>
      <c r="G362" s="3">
        <f t="shared" si="74"/>
        <v>9</v>
      </c>
      <c r="H362" s="3">
        <f t="shared" si="75"/>
        <v>7</v>
      </c>
      <c r="I362" s="3">
        <f t="shared" si="76"/>
        <v>47</v>
      </c>
      <c r="J362" s="3">
        <f t="shared" si="77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78"/>
        <v>YES</v>
      </c>
      <c r="Q362" t="str">
        <f t="shared" si="79"/>
        <v>NO</v>
      </c>
      <c r="R362" t="str">
        <f t="shared" si="80"/>
        <v>NO</v>
      </c>
      <c r="T362" t="s">
        <v>105</v>
      </c>
      <c r="U362" t="str">
        <f t="shared" si="81"/>
        <v>Broadway</v>
      </c>
      <c r="V362" t="s">
        <v>134</v>
      </c>
      <c r="W362" t="str">
        <f t="shared" si="82"/>
        <v>Quincy St</v>
      </c>
      <c r="X362" t="str">
        <f>IF(ISBLANK(S362),"Intersection","Non-Intersection")</f>
        <v>Intersection</v>
      </c>
      <c r="Y362" t="s">
        <v>838</v>
      </c>
      <c r="Z362" t="str">
        <f t="shared" si="83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0"/>
        <v>40179</v>
      </c>
      <c r="D363" s="4">
        <f t="shared" si="71"/>
        <v>0.26849315068493151</v>
      </c>
      <c r="E363" s="3">
        <f t="shared" si="72"/>
        <v>2010</v>
      </c>
      <c r="F363" s="3">
        <f t="shared" si="73"/>
        <v>4</v>
      </c>
      <c r="G363" s="3">
        <f t="shared" si="74"/>
        <v>9</v>
      </c>
      <c r="H363" s="3">
        <f t="shared" si="75"/>
        <v>15</v>
      </c>
      <c r="I363" s="3">
        <f t="shared" si="76"/>
        <v>50</v>
      </c>
      <c r="J363" s="3">
        <f t="shared" si="77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78"/>
        <v>YES</v>
      </c>
      <c r="Q363" t="str">
        <f t="shared" si="79"/>
        <v>NO</v>
      </c>
      <c r="R363" t="str">
        <f t="shared" si="80"/>
        <v>YES</v>
      </c>
      <c r="T363" t="s">
        <v>840</v>
      </c>
      <c r="U363" t="str">
        <f t="shared" si="81"/>
        <v>Church St</v>
      </c>
      <c r="W363" t="str">
        <f t="shared" si="82"/>
        <v/>
      </c>
      <c r="X363" t="str">
        <f>IF(ISBLANK(S363),"Intersection","Non-Intersection")</f>
        <v>Intersection</v>
      </c>
      <c r="Y363" t="s">
        <v>841</v>
      </c>
      <c r="Z363" t="str">
        <f t="shared" si="83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84">EOMONTH(B364,MONTH(B364)*-1)+1</f>
        <v>40179</v>
      </c>
      <c r="D364" s="4">
        <f t="shared" ref="D364:D426" si="85">YEARFRAC(C364,B364,1)</f>
        <v>0.26849315068493151</v>
      </c>
      <c r="E364" s="3">
        <f t="shared" ref="E364:E426" si="86">YEAR(B364)</f>
        <v>2010</v>
      </c>
      <c r="F364" s="3">
        <f t="shared" ref="F364:F426" si="87">MONTH(B364)</f>
        <v>4</v>
      </c>
      <c r="G364" s="3">
        <f t="shared" ref="G364:G426" si="88">DAY(B364)</f>
        <v>9</v>
      </c>
      <c r="H364" s="3">
        <f t="shared" ref="H364:H426" si="89">HOUR(B364)</f>
        <v>18</v>
      </c>
      <c r="I364" s="3">
        <f t="shared" ref="I364:I426" si="90">MINUTE(B364)</f>
        <v>45</v>
      </c>
      <c r="J364" s="3">
        <f t="shared" ref="J364:J426" si="91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2">IF(OR(N364="Auto",O364="Auto"),"YES",IF(OR(N364="Taxi",O364="Taxi"),"YES",IF(OR(N364="Van",O364="Van"),"YES",IF(OR(N364="Truck",O364="Truck"),"YES","NO"))))</f>
        <v>YES</v>
      </c>
      <c r="Q364" t="str">
        <f t="shared" ref="Q364:Q426" si="93">IF(OR(N364="Bicycle",O364="Bicycle"),"YES","NO")</f>
        <v>YES</v>
      </c>
      <c r="R364" t="str">
        <f t="shared" ref="R364:R426" si="94">IF(OR(N364="Pedestrian",O364="Pedestrian"),"YES","NO")</f>
        <v>NO</v>
      </c>
      <c r="S364">
        <v>280</v>
      </c>
      <c r="T364" t="s">
        <v>133</v>
      </c>
      <c r="U364" t="str">
        <f t="shared" si="81"/>
        <v>Harvard St</v>
      </c>
      <c r="W364" t="str">
        <f t="shared" si="82"/>
        <v/>
      </c>
      <c r="X364" t="str">
        <f>IF(ISBLANK(S364),"Intersection","Non-Intersection")</f>
        <v>Non-Intersection</v>
      </c>
      <c r="Y364" t="s">
        <v>842</v>
      </c>
      <c r="Z364" t="str">
        <f t="shared" si="83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84"/>
        <v>40179</v>
      </c>
      <c r="D365" s="4">
        <f t="shared" si="85"/>
        <v>0.27123287671232876</v>
      </c>
      <c r="E365" s="3">
        <f t="shared" si="86"/>
        <v>2010</v>
      </c>
      <c r="F365" s="3">
        <f t="shared" si="87"/>
        <v>4</v>
      </c>
      <c r="G365" s="3">
        <f t="shared" si="88"/>
        <v>10</v>
      </c>
      <c r="H365" s="3">
        <f t="shared" si="89"/>
        <v>3</v>
      </c>
      <c r="I365" s="3">
        <f t="shared" si="90"/>
        <v>0</v>
      </c>
      <c r="J365" s="3">
        <f t="shared" si="91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2"/>
        <v>YES</v>
      </c>
      <c r="Q365" t="str">
        <f t="shared" si="93"/>
        <v>NO</v>
      </c>
      <c r="R365" t="str">
        <f t="shared" si="94"/>
        <v>NO</v>
      </c>
      <c r="T365" t="s">
        <v>162</v>
      </c>
      <c r="U365" t="str">
        <f t="shared" si="81"/>
        <v>Bennett St</v>
      </c>
      <c r="V365" t="s">
        <v>325</v>
      </c>
      <c r="W365" t="str">
        <f t="shared" si="82"/>
        <v>Eliot St</v>
      </c>
      <c r="X365" t="str">
        <f>IF(ISBLANK(S365),"Intersection","Non-Intersection")</f>
        <v>Intersection</v>
      </c>
      <c r="Y365" t="s">
        <v>844</v>
      </c>
      <c r="Z365" t="str">
        <f t="shared" si="83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84"/>
        <v>40179</v>
      </c>
      <c r="D366" s="4">
        <f t="shared" si="85"/>
        <v>0.27123287671232876</v>
      </c>
      <c r="E366" s="3">
        <f t="shared" si="86"/>
        <v>2010</v>
      </c>
      <c r="F366" s="3">
        <f t="shared" si="87"/>
        <v>4</v>
      </c>
      <c r="G366" s="3">
        <f t="shared" si="88"/>
        <v>10</v>
      </c>
      <c r="H366" s="3">
        <f t="shared" si="89"/>
        <v>9</v>
      </c>
      <c r="I366" s="3">
        <f t="shared" si="90"/>
        <v>0</v>
      </c>
      <c r="J366" s="3">
        <f t="shared" si="91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2"/>
        <v>YES</v>
      </c>
      <c r="Q366" t="str">
        <f t="shared" si="93"/>
        <v>NO</v>
      </c>
      <c r="R366" t="str">
        <f t="shared" si="94"/>
        <v>NO</v>
      </c>
      <c r="T366" t="s">
        <v>846</v>
      </c>
      <c r="U366" t="str">
        <f t="shared" si="81"/>
        <v>Bowdoin St</v>
      </c>
      <c r="V366" t="s">
        <v>847</v>
      </c>
      <c r="W366" t="str">
        <f t="shared" si="82"/>
        <v>Martin St</v>
      </c>
      <c r="X366" t="str">
        <f>IF(ISBLANK(S366),"Intersection","Non-Intersection")</f>
        <v>Intersection</v>
      </c>
      <c r="Y366" t="s">
        <v>848</v>
      </c>
      <c r="Z366" t="str">
        <f t="shared" si="83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84"/>
        <v>40179</v>
      </c>
      <c r="D367" s="4">
        <f t="shared" si="85"/>
        <v>0.27123287671232876</v>
      </c>
      <c r="E367" s="3">
        <f t="shared" si="86"/>
        <v>2010</v>
      </c>
      <c r="F367" s="3">
        <f t="shared" si="87"/>
        <v>4</v>
      </c>
      <c r="G367" s="3">
        <f t="shared" si="88"/>
        <v>10</v>
      </c>
      <c r="H367" s="3">
        <f t="shared" si="89"/>
        <v>9</v>
      </c>
      <c r="I367" s="3">
        <f t="shared" si="90"/>
        <v>39</v>
      </c>
      <c r="J367" s="3">
        <f t="shared" si="91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2"/>
        <v>YES</v>
      </c>
      <c r="Q367" t="str">
        <f t="shared" si="93"/>
        <v>NO</v>
      </c>
      <c r="R367" t="str">
        <f t="shared" si="94"/>
        <v>NO</v>
      </c>
      <c r="U367" t="str">
        <f t="shared" si="81"/>
        <v/>
      </c>
      <c r="W367" t="str">
        <f t="shared" si="82"/>
        <v/>
      </c>
      <c r="X367" t="str">
        <f>IF(ISBLANK(S367),"Intersection","Non-Intersection")</f>
        <v>Intersection</v>
      </c>
      <c r="Y367" t="s">
        <v>717</v>
      </c>
      <c r="Z367" t="str">
        <f t="shared" si="83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84"/>
        <v>40179</v>
      </c>
      <c r="D368" s="4">
        <f t="shared" si="85"/>
        <v>0.27123287671232876</v>
      </c>
      <c r="E368" s="3">
        <f t="shared" si="86"/>
        <v>2010</v>
      </c>
      <c r="F368" s="3">
        <f t="shared" si="87"/>
        <v>4</v>
      </c>
      <c r="G368" s="3">
        <f t="shared" si="88"/>
        <v>10</v>
      </c>
      <c r="H368" s="3">
        <f t="shared" si="89"/>
        <v>10</v>
      </c>
      <c r="I368" s="3">
        <f t="shared" si="90"/>
        <v>54</v>
      </c>
      <c r="J368" s="3">
        <f t="shared" si="91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2"/>
        <v>YES</v>
      </c>
      <c r="Q368" t="str">
        <f t="shared" si="93"/>
        <v>NO</v>
      </c>
      <c r="R368" t="str">
        <f t="shared" si="94"/>
        <v>NO</v>
      </c>
      <c r="T368" t="s">
        <v>209</v>
      </c>
      <c r="U368" t="str">
        <f t="shared" si="81"/>
        <v>Binney St</v>
      </c>
      <c r="V368" t="s">
        <v>61</v>
      </c>
      <c r="W368" t="str">
        <f t="shared" si="82"/>
        <v>First St</v>
      </c>
      <c r="X368" t="str">
        <f>IF(ISBLANK(S368),"Intersection","Non-Intersection")</f>
        <v>Intersection</v>
      </c>
      <c r="Y368" t="s">
        <v>579</v>
      </c>
      <c r="Z368" t="str">
        <f t="shared" si="83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84"/>
        <v>40179</v>
      </c>
      <c r="D369" s="4">
        <f t="shared" si="85"/>
        <v>0.27123287671232876</v>
      </c>
      <c r="E369" s="3">
        <f t="shared" si="86"/>
        <v>2010</v>
      </c>
      <c r="F369" s="3">
        <f t="shared" si="87"/>
        <v>4</v>
      </c>
      <c r="G369" s="3">
        <f t="shared" si="88"/>
        <v>10</v>
      </c>
      <c r="H369" s="3">
        <f t="shared" si="89"/>
        <v>16</v>
      </c>
      <c r="I369" s="3">
        <f t="shared" si="90"/>
        <v>50</v>
      </c>
      <c r="J369" s="3">
        <f t="shared" si="91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2"/>
        <v>YES</v>
      </c>
      <c r="Q369" t="str">
        <f t="shared" si="93"/>
        <v>NO</v>
      </c>
      <c r="R369" t="str">
        <f t="shared" si="94"/>
        <v>YES</v>
      </c>
      <c r="T369" t="s">
        <v>710</v>
      </c>
      <c r="U369" t="str">
        <f t="shared" si="81"/>
        <v>Fresh Pond Pky</v>
      </c>
      <c r="W369" t="str">
        <f t="shared" si="82"/>
        <v/>
      </c>
      <c r="X369" t="str">
        <f>IF(ISBLANK(S369),"Intersection","Non-Intersection")</f>
        <v>Intersection</v>
      </c>
      <c r="Y369" t="s">
        <v>726</v>
      </c>
      <c r="Z369" t="str">
        <f t="shared" si="83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84"/>
        <v>40179</v>
      </c>
      <c r="D370" s="4">
        <f t="shared" si="85"/>
        <v>0.27123287671232876</v>
      </c>
      <c r="E370" s="3">
        <f t="shared" si="86"/>
        <v>2010</v>
      </c>
      <c r="F370" s="3">
        <f t="shared" si="87"/>
        <v>4</v>
      </c>
      <c r="G370" s="3">
        <f t="shared" si="88"/>
        <v>10</v>
      </c>
      <c r="H370" s="3">
        <f t="shared" si="89"/>
        <v>23</v>
      </c>
      <c r="I370" s="3">
        <f t="shared" si="90"/>
        <v>29</v>
      </c>
      <c r="J370" s="3">
        <f t="shared" si="91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2"/>
        <v>YES</v>
      </c>
      <c r="Q370" t="str">
        <f t="shared" si="93"/>
        <v>NO</v>
      </c>
      <c r="R370" t="str">
        <f t="shared" si="94"/>
        <v>NO</v>
      </c>
      <c r="T370" t="s">
        <v>86</v>
      </c>
      <c r="U370" t="str">
        <f t="shared" si="81"/>
        <v>Granite St</v>
      </c>
      <c r="V370" t="s">
        <v>850</v>
      </c>
      <c r="W370" t="str">
        <f t="shared" si="82"/>
        <v>Rockingham St</v>
      </c>
      <c r="X370" t="str">
        <f>IF(ISBLANK(S370),"Intersection","Non-Intersection")</f>
        <v>Intersection</v>
      </c>
      <c r="Y370" t="s">
        <v>851</v>
      </c>
      <c r="Z370" t="str">
        <f t="shared" si="83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84"/>
        <v>40179</v>
      </c>
      <c r="D371" s="4">
        <f t="shared" si="85"/>
        <v>0.27397260273972601</v>
      </c>
      <c r="E371" s="3">
        <f t="shared" si="86"/>
        <v>2010</v>
      </c>
      <c r="F371" s="3">
        <f t="shared" si="87"/>
        <v>4</v>
      </c>
      <c r="G371" s="3">
        <f t="shared" si="88"/>
        <v>11</v>
      </c>
      <c r="H371" s="3">
        <f t="shared" si="89"/>
        <v>15</v>
      </c>
      <c r="I371" s="3">
        <f t="shared" si="90"/>
        <v>4</v>
      </c>
      <c r="J371" s="3">
        <f t="shared" si="91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2"/>
        <v>YES</v>
      </c>
      <c r="Q371" t="str">
        <f t="shared" si="93"/>
        <v>NO</v>
      </c>
      <c r="R371" t="str">
        <f t="shared" si="94"/>
        <v>NO</v>
      </c>
      <c r="S371">
        <v>366</v>
      </c>
      <c r="T371" t="s">
        <v>15</v>
      </c>
      <c r="U371" t="str">
        <f t="shared" si="81"/>
        <v>Rindge Ave</v>
      </c>
      <c r="W371" t="str">
        <f t="shared" si="82"/>
        <v/>
      </c>
      <c r="X371" t="str">
        <f>IF(ISBLANK(S371),"Intersection","Non-Intersection")</f>
        <v>Non-Intersection</v>
      </c>
      <c r="Y371" t="s">
        <v>853</v>
      </c>
      <c r="Z371" t="str">
        <f t="shared" si="83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84"/>
        <v>40179</v>
      </c>
      <c r="D372" s="4">
        <f t="shared" si="85"/>
        <v>0.27397260273972601</v>
      </c>
      <c r="E372" s="3">
        <f t="shared" si="86"/>
        <v>2010</v>
      </c>
      <c r="F372" s="3">
        <f t="shared" si="87"/>
        <v>4</v>
      </c>
      <c r="G372" s="3">
        <f t="shared" si="88"/>
        <v>11</v>
      </c>
      <c r="H372" s="3">
        <f t="shared" si="89"/>
        <v>18</v>
      </c>
      <c r="I372" s="3">
        <f t="shared" si="90"/>
        <v>18</v>
      </c>
      <c r="J372" s="3">
        <f t="shared" si="91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2"/>
        <v>YES</v>
      </c>
      <c r="Q372" t="str">
        <f t="shared" si="93"/>
        <v>NO</v>
      </c>
      <c r="R372" t="str">
        <f t="shared" si="94"/>
        <v>YES</v>
      </c>
      <c r="T372" t="s">
        <v>14</v>
      </c>
      <c r="U372" t="str">
        <f t="shared" si="81"/>
        <v>Massachusetts Ave</v>
      </c>
      <c r="V372" t="s">
        <v>70</v>
      </c>
      <c r="W372" t="str">
        <f t="shared" si="82"/>
        <v>Pearl St</v>
      </c>
      <c r="X372" t="str">
        <f>IF(ISBLANK(S372),"Intersection","Non-Intersection")</f>
        <v>Intersection</v>
      </c>
      <c r="Y372" t="s">
        <v>855</v>
      </c>
      <c r="Z372" t="str">
        <f t="shared" si="83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84"/>
        <v>40179</v>
      </c>
      <c r="D373" s="4">
        <f t="shared" si="85"/>
        <v>0.27397260273972601</v>
      </c>
      <c r="E373" s="3">
        <f t="shared" si="86"/>
        <v>2010</v>
      </c>
      <c r="F373" s="3">
        <f t="shared" si="87"/>
        <v>4</v>
      </c>
      <c r="G373" s="3">
        <f t="shared" si="88"/>
        <v>11</v>
      </c>
      <c r="H373" s="3">
        <f t="shared" si="89"/>
        <v>15</v>
      </c>
      <c r="I373" s="3">
        <f t="shared" si="90"/>
        <v>59</v>
      </c>
      <c r="J373" s="3">
        <f t="shared" si="91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2"/>
        <v>YES</v>
      </c>
      <c r="Q373" t="str">
        <f t="shared" si="93"/>
        <v>NO</v>
      </c>
      <c r="R373" t="str">
        <f t="shared" si="94"/>
        <v>NO</v>
      </c>
      <c r="S373">
        <v>55</v>
      </c>
      <c r="T373" t="s">
        <v>287</v>
      </c>
      <c r="U373" t="str">
        <f t="shared" si="81"/>
        <v>Alpine St</v>
      </c>
      <c r="W373" t="str">
        <f t="shared" si="82"/>
        <v/>
      </c>
      <c r="X373" t="str">
        <f>IF(ISBLANK(S373),"Intersection","Non-Intersection")</f>
        <v>Non-Intersection</v>
      </c>
      <c r="Y373" t="s">
        <v>857</v>
      </c>
      <c r="Z373" t="str">
        <f t="shared" si="83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84"/>
        <v>40179</v>
      </c>
      <c r="D374" s="4">
        <f t="shared" si="85"/>
        <v>0.27671232876712326</v>
      </c>
      <c r="E374" s="3">
        <f t="shared" si="86"/>
        <v>2010</v>
      </c>
      <c r="F374" s="3">
        <f t="shared" si="87"/>
        <v>4</v>
      </c>
      <c r="G374" s="3">
        <f t="shared" si="88"/>
        <v>12</v>
      </c>
      <c r="H374" s="3">
        <f t="shared" si="89"/>
        <v>8</v>
      </c>
      <c r="I374" s="3">
        <f t="shared" si="90"/>
        <v>0</v>
      </c>
      <c r="J374" s="3">
        <f t="shared" si="91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2"/>
        <v>YES</v>
      </c>
      <c r="Q374" t="str">
        <f t="shared" si="93"/>
        <v>NO</v>
      </c>
      <c r="R374" t="str">
        <f t="shared" si="94"/>
        <v>NO</v>
      </c>
      <c r="S374">
        <v>799</v>
      </c>
      <c r="T374" t="s">
        <v>186</v>
      </c>
      <c r="U374" t="str">
        <f t="shared" si="81"/>
        <v>Concord Ave</v>
      </c>
      <c r="W374" t="str">
        <f t="shared" si="82"/>
        <v/>
      </c>
      <c r="X374" t="str">
        <f>IF(ISBLANK(S374),"Intersection","Non-Intersection")</f>
        <v>Non-Intersection</v>
      </c>
      <c r="Y374" t="s">
        <v>482</v>
      </c>
      <c r="Z374" t="str">
        <f t="shared" si="83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84"/>
        <v>40179</v>
      </c>
      <c r="D375" s="4">
        <f t="shared" si="85"/>
        <v>0.27671232876712326</v>
      </c>
      <c r="E375" s="3">
        <f t="shared" si="86"/>
        <v>2010</v>
      </c>
      <c r="F375" s="3">
        <f t="shared" si="87"/>
        <v>4</v>
      </c>
      <c r="G375" s="3">
        <f t="shared" si="88"/>
        <v>12</v>
      </c>
      <c r="H375" s="3">
        <f t="shared" si="89"/>
        <v>9</v>
      </c>
      <c r="I375" s="3">
        <f t="shared" si="90"/>
        <v>0</v>
      </c>
      <c r="J375" s="3">
        <f t="shared" si="91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2"/>
        <v>YES</v>
      </c>
      <c r="Q375" t="str">
        <f t="shared" si="93"/>
        <v>NO</v>
      </c>
      <c r="R375" t="str">
        <f t="shared" si="94"/>
        <v>NO</v>
      </c>
      <c r="T375" t="s">
        <v>186</v>
      </c>
      <c r="U375" t="str">
        <f t="shared" si="81"/>
        <v>Concord Ave</v>
      </c>
      <c r="V375" t="s">
        <v>413</v>
      </c>
      <c r="W375" t="str">
        <f t="shared" si="82"/>
        <v>Smith Pl</v>
      </c>
      <c r="X375" t="str">
        <f>IF(ISBLANK(S375),"Intersection","Non-Intersection")</f>
        <v>Intersection</v>
      </c>
      <c r="Y375" t="s">
        <v>859</v>
      </c>
      <c r="Z375" t="str">
        <f t="shared" si="83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84"/>
        <v>40179</v>
      </c>
      <c r="D376" s="4">
        <f t="shared" si="85"/>
        <v>0.27671232876712326</v>
      </c>
      <c r="E376" s="3">
        <f t="shared" si="86"/>
        <v>2010</v>
      </c>
      <c r="F376" s="3">
        <f t="shared" si="87"/>
        <v>4</v>
      </c>
      <c r="G376" s="3">
        <f t="shared" si="88"/>
        <v>12</v>
      </c>
      <c r="H376" s="3">
        <f t="shared" si="89"/>
        <v>9</v>
      </c>
      <c r="I376" s="3">
        <f t="shared" si="90"/>
        <v>45</v>
      </c>
      <c r="J376" s="3">
        <f t="shared" si="91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2"/>
        <v>YES</v>
      </c>
      <c r="Q376" t="str">
        <f t="shared" si="93"/>
        <v>NO</v>
      </c>
      <c r="R376" t="str">
        <f t="shared" si="94"/>
        <v>NO</v>
      </c>
      <c r="S376">
        <v>4</v>
      </c>
      <c r="T376" t="s">
        <v>861</v>
      </c>
      <c r="U376" t="str">
        <f t="shared" si="81"/>
        <v>Newton St</v>
      </c>
      <c r="W376" t="str">
        <f t="shared" si="82"/>
        <v/>
      </c>
      <c r="X376" t="str">
        <f>IF(ISBLANK(S376),"Intersection","Non-Intersection")</f>
        <v>Non-Intersection</v>
      </c>
      <c r="Y376" t="s">
        <v>862</v>
      </c>
      <c r="Z376" t="str">
        <f t="shared" si="83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84"/>
        <v>40179</v>
      </c>
      <c r="D377" s="4">
        <f t="shared" si="85"/>
        <v>0.27671232876712326</v>
      </c>
      <c r="E377" s="3">
        <f t="shared" si="86"/>
        <v>2010</v>
      </c>
      <c r="F377" s="3">
        <f t="shared" si="87"/>
        <v>4</v>
      </c>
      <c r="G377" s="3">
        <f t="shared" si="88"/>
        <v>12</v>
      </c>
      <c r="H377" s="3">
        <f t="shared" si="89"/>
        <v>15</v>
      </c>
      <c r="I377" s="3">
        <f t="shared" si="90"/>
        <v>24</v>
      </c>
      <c r="J377" s="3">
        <f t="shared" si="91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2"/>
        <v>YES</v>
      </c>
      <c r="Q377" t="str">
        <f t="shared" si="93"/>
        <v>NO</v>
      </c>
      <c r="R377" t="str">
        <f t="shared" si="94"/>
        <v>NO</v>
      </c>
      <c r="S377">
        <v>156</v>
      </c>
      <c r="T377" t="s">
        <v>15</v>
      </c>
      <c r="U377" t="str">
        <f t="shared" si="81"/>
        <v>Rindge Ave</v>
      </c>
      <c r="V377" t="s">
        <v>864</v>
      </c>
      <c r="W377" t="str">
        <f t="shared" si="82"/>
        <v>Middlesex St</v>
      </c>
      <c r="X377" t="str">
        <f>IF(ISBLANK(S377),"Intersection","Non-Intersection")</f>
        <v>Non-Intersection</v>
      </c>
      <c r="Y377" t="s">
        <v>865</v>
      </c>
      <c r="Z377" t="str">
        <f t="shared" si="83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84"/>
        <v>40179</v>
      </c>
      <c r="D378" s="4">
        <f t="shared" si="85"/>
        <v>0.27671232876712326</v>
      </c>
      <c r="E378" s="3">
        <f t="shared" si="86"/>
        <v>2010</v>
      </c>
      <c r="F378" s="3">
        <f t="shared" si="87"/>
        <v>4</v>
      </c>
      <c r="G378" s="3">
        <f t="shared" si="88"/>
        <v>12</v>
      </c>
      <c r="H378" s="3">
        <f t="shared" si="89"/>
        <v>21</v>
      </c>
      <c r="I378" s="3">
        <f t="shared" si="90"/>
        <v>30</v>
      </c>
      <c r="J378" s="3">
        <f t="shared" si="91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2"/>
        <v>YES</v>
      </c>
      <c r="Q378" t="str">
        <f t="shared" si="93"/>
        <v>NO</v>
      </c>
      <c r="R378" t="str">
        <f t="shared" si="94"/>
        <v>NO</v>
      </c>
      <c r="S378">
        <v>28</v>
      </c>
      <c r="T378" t="s">
        <v>41</v>
      </c>
      <c r="U378" t="str">
        <f t="shared" si="81"/>
        <v>River St</v>
      </c>
      <c r="V378" t="s">
        <v>108</v>
      </c>
      <c r="W378" t="str">
        <f t="shared" si="82"/>
        <v>Franklin St</v>
      </c>
      <c r="X378" t="str">
        <f>IF(ISBLANK(S378),"Intersection","Non-Intersection")</f>
        <v>Non-Intersection</v>
      </c>
      <c r="Y378" t="s">
        <v>867</v>
      </c>
      <c r="Z378" t="str">
        <f t="shared" si="83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84"/>
        <v>40179</v>
      </c>
      <c r="D379" s="4">
        <f t="shared" si="85"/>
        <v>0.27945205479452057</v>
      </c>
      <c r="E379" s="3">
        <f t="shared" si="86"/>
        <v>2010</v>
      </c>
      <c r="F379" s="3">
        <f t="shared" si="87"/>
        <v>4</v>
      </c>
      <c r="G379" s="3">
        <f t="shared" si="88"/>
        <v>13</v>
      </c>
      <c r="H379" s="3">
        <f t="shared" si="89"/>
        <v>9</v>
      </c>
      <c r="I379" s="3">
        <f t="shared" si="90"/>
        <v>30</v>
      </c>
      <c r="J379" s="3">
        <f t="shared" si="91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2"/>
        <v>YES</v>
      </c>
      <c r="Q379" t="str">
        <f t="shared" si="93"/>
        <v>NO</v>
      </c>
      <c r="R379" t="str">
        <f t="shared" si="94"/>
        <v>NO</v>
      </c>
      <c r="T379" t="s">
        <v>101</v>
      </c>
      <c r="U379" t="str">
        <f t="shared" si="81"/>
        <v>Columbia St</v>
      </c>
      <c r="V379" t="s">
        <v>74</v>
      </c>
      <c r="W379" t="str">
        <f t="shared" si="82"/>
        <v>Hampshire St</v>
      </c>
      <c r="X379" t="str">
        <f>IF(ISBLANK(S379),"Intersection","Non-Intersection")</f>
        <v>Intersection</v>
      </c>
      <c r="Y379" t="s">
        <v>773</v>
      </c>
      <c r="Z379" t="str">
        <f t="shared" si="83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84"/>
        <v>40179</v>
      </c>
      <c r="D380" s="4">
        <f t="shared" si="85"/>
        <v>0.27945205479452057</v>
      </c>
      <c r="E380" s="3">
        <f t="shared" si="86"/>
        <v>2010</v>
      </c>
      <c r="F380" s="3">
        <f t="shared" si="87"/>
        <v>4</v>
      </c>
      <c r="G380" s="3">
        <f t="shared" si="88"/>
        <v>13</v>
      </c>
      <c r="H380" s="3">
        <f t="shared" si="89"/>
        <v>10</v>
      </c>
      <c r="I380" s="3">
        <f t="shared" si="90"/>
        <v>53</v>
      </c>
      <c r="J380" s="3">
        <f t="shared" si="91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2"/>
        <v>YES</v>
      </c>
      <c r="Q380" t="str">
        <f t="shared" si="93"/>
        <v>NO</v>
      </c>
      <c r="R380" t="str">
        <f t="shared" si="94"/>
        <v>NO</v>
      </c>
      <c r="S380">
        <v>6</v>
      </c>
      <c r="T380" t="s">
        <v>181</v>
      </c>
      <c r="U380" t="str">
        <f t="shared" si="81"/>
        <v>Florence St</v>
      </c>
      <c r="W380" t="str">
        <f t="shared" si="82"/>
        <v/>
      </c>
      <c r="X380" t="str">
        <f>IF(ISBLANK(S380),"Intersection","Non-Intersection")</f>
        <v>Non-Intersection</v>
      </c>
      <c r="Y380" t="s">
        <v>869</v>
      </c>
      <c r="Z380" t="str">
        <f t="shared" si="83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84"/>
        <v>40179</v>
      </c>
      <c r="D381" s="4">
        <f t="shared" si="85"/>
        <v>0.27945205479452057</v>
      </c>
      <c r="E381" s="3">
        <f t="shared" si="86"/>
        <v>2010</v>
      </c>
      <c r="F381" s="3">
        <f t="shared" si="87"/>
        <v>4</v>
      </c>
      <c r="G381" s="3">
        <f t="shared" si="88"/>
        <v>13</v>
      </c>
      <c r="H381" s="3">
        <f t="shared" si="89"/>
        <v>11</v>
      </c>
      <c r="I381" s="3">
        <f t="shared" si="90"/>
        <v>39</v>
      </c>
      <c r="J381" s="3">
        <f t="shared" si="91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2"/>
        <v>YES</v>
      </c>
      <c r="Q381" t="str">
        <f t="shared" si="93"/>
        <v>YES</v>
      </c>
      <c r="R381" t="str">
        <f t="shared" si="94"/>
        <v>NO</v>
      </c>
      <c r="S381">
        <v>306</v>
      </c>
      <c r="T381" t="s">
        <v>105</v>
      </c>
      <c r="U381" t="str">
        <f t="shared" si="81"/>
        <v>Broadway</v>
      </c>
      <c r="W381" t="str">
        <f t="shared" si="82"/>
        <v/>
      </c>
      <c r="X381" t="str">
        <f>IF(ISBLANK(S381),"Intersection","Non-Intersection")</f>
        <v>Non-Intersection</v>
      </c>
      <c r="Y381" t="s">
        <v>871</v>
      </c>
      <c r="Z381" t="str">
        <f t="shared" si="83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84"/>
        <v>40179</v>
      </c>
      <c r="D382" s="4">
        <f t="shared" si="85"/>
        <v>0.27945205479452057</v>
      </c>
      <c r="E382" s="3">
        <f t="shared" si="86"/>
        <v>2010</v>
      </c>
      <c r="F382" s="3">
        <f t="shared" si="87"/>
        <v>4</v>
      </c>
      <c r="G382" s="3">
        <f t="shared" si="88"/>
        <v>13</v>
      </c>
      <c r="H382" s="3">
        <f t="shared" si="89"/>
        <v>18</v>
      </c>
      <c r="I382" s="3">
        <f t="shared" si="90"/>
        <v>59</v>
      </c>
      <c r="J382" s="3">
        <f t="shared" si="91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2"/>
        <v>YES</v>
      </c>
      <c r="Q382" t="str">
        <f t="shared" si="93"/>
        <v>NO</v>
      </c>
      <c r="R382" t="str">
        <f t="shared" si="94"/>
        <v>NO</v>
      </c>
      <c r="T382" t="s">
        <v>14</v>
      </c>
      <c r="U382" t="str">
        <f t="shared" si="81"/>
        <v>Massachusetts Ave</v>
      </c>
      <c r="V382" t="s">
        <v>745</v>
      </c>
      <c r="W382" t="str">
        <f t="shared" si="82"/>
        <v>Norfolk St</v>
      </c>
      <c r="X382" t="str">
        <f>IF(ISBLANK(S382),"Intersection","Non-Intersection")</f>
        <v>Intersection</v>
      </c>
      <c r="Y382" t="s">
        <v>873</v>
      </c>
      <c r="Z382" t="str">
        <f t="shared" si="83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84"/>
        <v>40179</v>
      </c>
      <c r="D383" s="4">
        <f t="shared" si="85"/>
        <v>0.28219178082191781</v>
      </c>
      <c r="E383" s="3">
        <f t="shared" si="86"/>
        <v>2010</v>
      </c>
      <c r="F383" s="3">
        <f t="shared" si="87"/>
        <v>4</v>
      </c>
      <c r="G383" s="3">
        <f t="shared" si="88"/>
        <v>14</v>
      </c>
      <c r="H383" s="3">
        <f t="shared" si="89"/>
        <v>12</v>
      </c>
      <c r="I383" s="3">
        <f t="shared" si="90"/>
        <v>56</v>
      </c>
      <c r="J383" s="3">
        <f t="shared" si="91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2"/>
        <v>YES</v>
      </c>
      <c r="Q383" t="str">
        <f t="shared" si="93"/>
        <v>NO</v>
      </c>
      <c r="R383" t="str">
        <f t="shared" si="94"/>
        <v>NO</v>
      </c>
      <c r="S383">
        <v>47</v>
      </c>
      <c r="T383" t="s">
        <v>698</v>
      </c>
      <c r="U383" t="str">
        <f t="shared" si="81"/>
        <v>Thorndike St</v>
      </c>
      <c r="W383" t="str">
        <f t="shared" si="82"/>
        <v/>
      </c>
      <c r="X383" t="str">
        <f>IF(ISBLANK(S383),"Intersection","Non-Intersection")</f>
        <v>Non-Intersection</v>
      </c>
      <c r="Y383" t="s">
        <v>875</v>
      </c>
      <c r="Z383" t="str">
        <f t="shared" si="83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84"/>
        <v>40179</v>
      </c>
      <c r="D384" s="4">
        <f t="shared" si="85"/>
        <v>0.28219178082191781</v>
      </c>
      <c r="E384" s="3">
        <f t="shared" si="86"/>
        <v>2010</v>
      </c>
      <c r="F384" s="3">
        <f t="shared" si="87"/>
        <v>4</v>
      </c>
      <c r="G384" s="3">
        <f t="shared" si="88"/>
        <v>14</v>
      </c>
      <c r="H384" s="3">
        <f t="shared" si="89"/>
        <v>18</v>
      </c>
      <c r="I384" s="3">
        <f t="shared" si="90"/>
        <v>0</v>
      </c>
      <c r="J384" s="3">
        <f t="shared" si="91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2"/>
        <v>YES</v>
      </c>
      <c r="Q384" t="str">
        <f t="shared" si="93"/>
        <v>NO</v>
      </c>
      <c r="R384" t="str">
        <f t="shared" si="94"/>
        <v>NO</v>
      </c>
      <c r="T384" t="s">
        <v>189</v>
      </c>
      <c r="U384" t="str">
        <f t="shared" si="81"/>
        <v>Windsor St</v>
      </c>
      <c r="V384" t="s">
        <v>105</v>
      </c>
      <c r="W384" t="str">
        <f t="shared" si="82"/>
        <v>Broadway</v>
      </c>
      <c r="X384" t="str">
        <f>IF(ISBLANK(S384),"Intersection","Non-Intersection")</f>
        <v>Intersection</v>
      </c>
      <c r="Y384" t="s">
        <v>877</v>
      </c>
      <c r="Z384" t="str">
        <f t="shared" si="83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84"/>
        <v>40179</v>
      </c>
      <c r="D385" s="4">
        <f t="shared" si="85"/>
        <v>0.28219178082191781</v>
      </c>
      <c r="E385" s="3">
        <f t="shared" si="86"/>
        <v>2010</v>
      </c>
      <c r="F385" s="3">
        <f t="shared" si="87"/>
        <v>4</v>
      </c>
      <c r="G385" s="3">
        <f t="shared" si="88"/>
        <v>14</v>
      </c>
      <c r="H385" s="3">
        <f t="shared" si="89"/>
        <v>18</v>
      </c>
      <c r="I385" s="3">
        <f t="shared" si="90"/>
        <v>29</v>
      </c>
      <c r="J385" s="3">
        <f t="shared" si="91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2"/>
        <v>YES</v>
      </c>
      <c r="Q385" t="str">
        <f t="shared" si="93"/>
        <v>NO</v>
      </c>
      <c r="R385" t="str">
        <f t="shared" si="94"/>
        <v>NO</v>
      </c>
      <c r="T385" t="s">
        <v>105</v>
      </c>
      <c r="U385" t="str">
        <f t="shared" si="81"/>
        <v>Broadway</v>
      </c>
      <c r="V385" t="s">
        <v>74</v>
      </c>
      <c r="W385" t="str">
        <f t="shared" si="82"/>
        <v>Hampshire St</v>
      </c>
      <c r="X385" t="str">
        <f>IF(ISBLANK(S385),"Intersection","Non-Intersection")</f>
        <v>Intersection</v>
      </c>
      <c r="Y385" t="s">
        <v>878</v>
      </c>
      <c r="Z385" t="str">
        <f t="shared" si="83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84"/>
        <v>40179</v>
      </c>
      <c r="D386" s="4">
        <f t="shared" si="85"/>
        <v>0.28219178082191781</v>
      </c>
      <c r="E386" s="3">
        <f t="shared" si="86"/>
        <v>2010</v>
      </c>
      <c r="F386" s="3">
        <f t="shared" si="87"/>
        <v>4</v>
      </c>
      <c r="G386" s="3">
        <f t="shared" si="88"/>
        <v>14</v>
      </c>
      <c r="H386" s="3">
        <f t="shared" si="89"/>
        <v>14</v>
      </c>
      <c r="I386" s="3">
        <f t="shared" si="90"/>
        <v>25</v>
      </c>
      <c r="J386" s="3">
        <f t="shared" si="91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2"/>
        <v>YES</v>
      </c>
      <c r="Q386" t="str">
        <f t="shared" si="93"/>
        <v>NO</v>
      </c>
      <c r="R386" t="str">
        <f t="shared" si="94"/>
        <v>NO</v>
      </c>
      <c r="T386" t="s">
        <v>326</v>
      </c>
      <c r="U386" t="str">
        <f t="shared" si="81"/>
        <v>Jfk St</v>
      </c>
      <c r="V386" t="s">
        <v>546</v>
      </c>
      <c r="W386" t="str">
        <f t="shared" si="82"/>
        <v>Winthrop St</v>
      </c>
      <c r="X386" t="str">
        <f>IF(ISBLANK(S386),"Intersection","Non-Intersection")</f>
        <v>Intersection</v>
      </c>
      <c r="Y386" t="s">
        <v>547</v>
      </c>
      <c r="Z386" t="str">
        <f t="shared" si="83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84"/>
        <v>40179</v>
      </c>
      <c r="D387" s="4">
        <f t="shared" si="85"/>
        <v>0.28219178082191781</v>
      </c>
      <c r="E387" s="3">
        <f t="shared" si="86"/>
        <v>2010</v>
      </c>
      <c r="F387" s="3">
        <f t="shared" si="87"/>
        <v>4</v>
      </c>
      <c r="G387" s="3">
        <f t="shared" si="88"/>
        <v>14</v>
      </c>
      <c r="H387" s="3">
        <f t="shared" si="89"/>
        <v>12</v>
      </c>
      <c r="I387" s="3">
        <f t="shared" si="90"/>
        <v>0</v>
      </c>
      <c r="J387" s="3">
        <f t="shared" si="91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2"/>
        <v>YES</v>
      </c>
      <c r="Q387" t="str">
        <f t="shared" si="93"/>
        <v>YES</v>
      </c>
      <c r="R387" t="str">
        <f t="shared" si="94"/>
        <v>NO</v>
      </c>
      <c r="S387">
        <v>50</v>
      </c>
      <c r="T387" t="s">
        <v>74</v>
      </c>
      <c r="U387" t="str">
        <f t="shared" ref="U387:U450" si="95">TRIM(PROPER(T387))</f>
        <v>Hampshire St</v>
      </c>
      <c r="W387" t="str">
        <f t="shared" ref="W387:W450" si="96">TRIM(PROPER(V387))</f>
        <v/>
      </c>
      <c r="X387" t="str">
        <f>IF(ISBLANK(S387),"Intersection","Non-Intersection")</f>
        <v>Non-Intersection</v>
      </c>
      <c r="Y387" t="s">
        <v>880</v>
      </c>
      <c r="Z387" t="str">
        <f t="shared" ref="Z387:Z450" si="97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84"/>
        <v>40179</v>
      </c>
      <c r="D388" s="4">
        <f t="shared" si="85"/>
        <v>0.28219178082191781</v>
      </c>
      <c r="E388" s="3">
        <f t="shared" si="86"/>
        <v>2010</v>
      </c>
      <c r="F388" s="3">
        <f t="shared" si="87"/>
        <v>4</v>
      </c>
      <c r="G388" s="3">
        <f t="shared" si="88"/>
        <v>14</v>
      </c>
      <c r="H388" s="3">
        <f t="shared" si="89"/>
        <v>12</v>
      </c>
      <c r="I388" s="3">
        <f t="shared" si="90"/>
        <v>55</v>
      </c>
      <c r="J388" s="3">
        <f t="shared" si="91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2"/>
        <v>YES</v>
      </c>
      <c r="Q388" t="str">
        <f t="shared" si="93"/>
        <v>NO</v>
      </c>
      <c r="R388" t="str">
        <f t="shared" si="94"/>
        <v>YES</v>
      </c>
      <c r="S388">
        <v>16</v>
      </c>
      <c r="T388" t="s">
        <v>185</v>
      </c>
      <c r="U388" t="str">
        <f t="shared" si="95"/>
        <v>Garden St</v>
      </c>
      <c r="W388" t="str">
        <f t="shared" si="96"/>
        <v/>
      </c>
      <c r="X388" t="str">
        <f>IF(ISBLANK(S388),"Intersection","Non-Intersection")</f>
        <v>Non-Intersection</v>
      </c>
      <c r="Y388" t="s">
        <v>882</v>
      </c>
      <c r="Z388" t="str">
        <f t="shared" si="97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84"/>
        <v>40179</v>
      </c>
      <c r="D389" s="4">
        <f t="shared" si="85"/>
        <v>0.28219178082191781</v>
      </c>
      <c r="E389" s="3">
        <f t="shared" si="86"/>
        <v>2010</v>
      </c>
      <c r="F389" s="3">
        <f t="shared" si="87"/>
        <v>4</v>
      </c>
      <c r="G389" s="3">
        <f t="shared" si="88"/>
        <v>14</v>
      </c>
      <c r="H389" s="3">
        <f t="shared" si="89"/>
        <v>1</v>
      </c>
      <c r="I389" s="3">
        <f t="shared" si="90"/>
        <v>34</v>
      </c>
      <c r="J389" s="3">
        <f t="shared" si="91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2"/>
        <v>YES</v>
      </c>
      <c r="Q389" t="str">
        <f t="shared" si="93"/>
        <v>NO</v>
      </c>
      <c r="R389" t="str">
        <f t="shared" si="94"/>
        <v>NO</v>
      </c>
      <c r="T389" t="s">
        <v>342</v>
      </c>
      <c r="U389" t="str">
        <f t="shared" si="95"/>
        <v>Prospect St</v>
      </c>
      <c r="V389" t="s">
        <v>133</v>
      </c>
      <c r="W389" t="str">
        <f t="shared" si="96"/>
        <v>Harvard St</v>
      </c>
      <c r="X389" t="str">
        <f>IF(ISBLANK(S389),"Intersection","Non-Intersection")</f>
        <v>Intersection</v>
      </c>
      <c r="Y389" t="s">
        <v>884</v>
      </c>
      <c r="Z389" t="str">
        <f t="shared" si="97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84"/>
        <v>40179</v>
      </c>
      <c r="D390" s="4">
        <f t="shared" si="85"/>
        <v>0.28219178082191781</v>
      </c>
      <c r="E390" s="3">
        <f t="shared" si="86"/>
        <v>2010</v>
      </c>
      <c r="F390" s="3">
        <f t="shared" si="87"/>
        <v>4</v>
      </c>
      <c r="G390" s="3">
        <f t="shared" si="88"/>
        <v>14</v>
      </c>
      <c r="H390" s="3">
        <f t="shared" si="89"/>
        <v>18</v>
      </c>
      <c r="I390" s="3">
        <f t="shared" si="90"/>
        <v>59</v>
      </c>
      <c r="J390" s="3">
        <f t="shared" si="91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2"/>
        <v>YES</v>
      </c>
      <c r="Q390" t="str">
        <f t="shared" si="93"/>
        <v>NO</v>
      </c>
      <c r="R390" t="str">
        <f t="shared" si="94"/>
        <v>NO</v>
      </c>
      <c r="T390" t="s">
        <v>186</v>
      </c>
      <c r="U390" t="str">
        <f t="shared" si="95"/>
        <v>Concord Ave</v>
      </c>
      <c r="V390" t="s">
        <v>409</v>
      </c>
      <c r="W390" t="str">
        <f t="shared" si="96"/>
        <v>Appleton St</v>
      </c>
      <c r="X390" t="str">
        <f>IF(ISBLANK(S390),"Intersection","Non-Intersection")</f>
        <v>Intersection</v>
      </c>
      <c r="Y390" t="s">
        <v>886</v>
      </c>
      <c r="Z390" t="str">
        <f t="shared" si="97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84"/>
        <v>40179</v>
      </c>
      <c r="D391" s="4">
        <f t="shared" si="85"/>
        <v>0.28219178082191781</v>
      </c>
      <c r="E391" s="3">
        <f t="shared" si="86"/>
        <v>2010</v>
      </c>
      <c r="F391" s="3">
        <f t="shared" si="87"/>
        <v>4</v>
      </c>
      <c r="G391" s="3">
        <f t="shared" si="88"/>
        <v>14</v>
      </c>
      <c r="H391" s="3">
        <f t="shared" si="89"/>
        <v>17</v>
      </c>
      <c r="I391" s="3">
        <f t="shared" si="90"/>
        <v>4</v>
      </c>
      <c r="J391" s="3">
        <f t="shared" si="91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2"/>
        <v>YES</v>
      </c>
      <c r="Q391" t="str">
        <f t="shared" si="93"/>
        <v>NO</v>
      </c>
      <c r="R391" t="str">
        <f t="shared" si="94"/>
        <v>NO</v>
      </c>
      <c r="S391">
        <v>84</v>
      </c>
      <c r="T391" t="s">
        <v>14</v>
      </c>
      <c r="U391" t="str">
        <f t="shared" si="95"/>
        <v>Massachusetts Ave</v>
      </c>
      <c r="W391" t="str">
        <f t="shared" si="96"/>
        <v/>
      </c>
      <c r="X391" t="str">
        <f>IF(ISBLANK(S391),"Intersection","Non-Intersection")</f>
        <v>Non-Intersection</v>
      </c>
      <c r="Y391" t="s">
        <v>888</v>
      </c>
      <c r="Z391" t="str">
        <f t="shared" si="97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84"/>
        <v>40179</v>
      </c>
      <c r="D392" s="4">
        <f t="shared" si="85"/>
        <v>0.28493150684931506</v>
      </c>
      <c r="E392" s="3">
        <f t="shared" si="86"/>
        <v>2010</v>
      </c>
      <c r="F392" s="3">
        <f t="shared" si="87"/>
        <v>4</v>
      </c>
      <c r="G392" s="3">
        <f t="shared" si="88"/>
        <v>15</v>
      </c>
      <c r="H392" s="3">
        <f t="shared" si="89"/>
        <v>14</v>
      </c>
      <c r="I392" s="3">
        <f t="shared" si="90"/>
        <v>29</v>
      </c>
      <c r="J392" s="3">
        <f t="shared" si="91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2"/>
        <v>YES</v>
      </c>
      <c r="Q392" t="str">
        <f t="shared" si="93"/>
        <v>NO</v>
      </c>
      <c r="R392" t="str">
        <f t="shared" si="94"/>
        <v>NO</v>
      </c>
      <c r="T392" t="s">
        <v>185</v>
      </c>
      <c r="U392" t="str">
        <f t="shared" si="95"/>
        <v>Garden St</v>
      </c>
      <c r="V392" t="s">
        <v>142</v>
      </c>
      <c r="W392" t="str">
        <f t="shared" si="96"/>
        <v>Huron Ave</v>
      </c>
      <c r="X392" t="str">
        <f>IF(ISBLANK(S392),"Intersection","Non-Intersection")</f>
        <v>Intersection</v>
      </c>
      <c r="Y392" t="s">
        <v>890</v>
      </c>
      <c r="Z392" t="str">
        <f t="shared" si="97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84"/>
        <v>40179</v>
      </c>
      <c r="D393" s="4">
        <f t="shared" si="85"/>
        <v>0.28493150684931506</v>
      </c>
      <c r="E393" s="3">
        <f t="shared" si="86"/>
        <v>2010</v>
      </c>
      <c r="F393" s="3">
        <f t="shared" si="87"/>
        <v>4</v>
      </c>
      <c r="G393" s="3">
        <f t="shared" si="88"/>
        <v>15</v>
      </c>
      <c r="H393" s="3">
        <f t="shared" si="89"/>
        <v>16</v>
      </c>
      <c r="I393" s="3">
        <f t="shared" si="90"/>
        <v>40</v>
      </c>
      <c r="J393" s="3">
        <f t="shared" si="91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2"/>
        <v>YES</v>
      </c>
      <c r="Q393" t="str">
        <f t="shared" si="93"/>
        <v>NO</v>
      </c>
      <c r="R393" t="str">
        <f t="shared" si="94"/>
        <v>NO</v>
      </c>
      <c r="T393" t="s">
        <v>105</v>
      </c>
      <c r="U393" t="str">
        <f t="shared" si="95"/>
        <v>Broadway</v>
      </c>
      <c r="V393" t="s">
        <v>288</v>
      </c>
      <c r="W393" t="str">
        <f t="shared" si="96"/>
        <v>Galileo Galilei Way</v>
      </c>
      <c r="X393" t="str">
        <f>IF(ISBLANK(S393),"Intersection","Non-Intersection")</f>
        <v>Intersection</v>
      </c>
      <c r="Y393" t="s">
        <v>289</v>
      </c>
      <c r="Z393" t="str">
        <f t="shared" si="97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84"/>
        <v>40179</v>
      </c>
      <c r="D394" s="4">
        <f t="shared" si="85"/>
        <v>0.28493150684931506</v>
      </c>
      <c r="E394" s="3">
        <f t="shared" si="86"/>
        <v>2010</v>
      </c>
      <c r="F394" s="3">
        <f t="shared" si="87"/>
        <v>4</v>
      </c>
      <c r="G394" s="3">
        <f t="shared" si="88"/>
        <v>15</v>
      </c>
      <c r="H394" s="3">
        <f t="shared" si="89"/>
        <v>18</v>
      </c>
      <c r="I394" s="3">
        <f t="shared" si="90"/>
        <v>10</v>
      </c>
      <c r="J394" s="3">
        <f t="shared" si="91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2"/>
        <v>YES</v>
      </c>
      <c r="Q394" t="str">
        <f t="shared" si="93"/>
        <v>YES</v>
      </c>
      <c r="R394" t="str">
        <f t="shared" si="94"/>
        <v>NO</v>
      </c>
      <c r="T394" t="s">
        <v>185</v>
      </c>
      <c r="U394" t="str">
        <f t="shared" si="95"/>
        <v>Garden St</v>
      </c>
      <c r="V394" t="s">
        <v>142</v>
      </c>
      <c r="W394" t="str">
        <f t="shared" si="96"/>
        <v>Huron Ave</v>
      </c>
      <c r="X394" t="str">
        <f>IF(ISBLANK(S394),"Intersection","Non-Intersection")</f>
        <v>Intersection</v>
      </c>
      <c r="Y394" t="s">
        <v>890</v>
      </c>
      <c r="Z394" t="str">
        <f t="shared" si="97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84"/>
        <v>40179</v>
      </c>
      <c r="D395" s="4">
        <f t="shared" si="85"/>
        <v>0.28493150684931506</v>
      </c>
      <c r="E395" s="3">
        <f t="shared" si="86"/>
        <v>2010</v>
      </c>
      <c r="F395" s="3">
        <f t="shared" si="87"/>
        <v>4</v>
      </c>
      <c r="G395" s="3">
        <f t="shared" si="88"/>
        <v>15</v>
      </c>
      <c r="H395" s="3">
        <f t="shared" si="89"/>
        <v>13</v>
      </c>
      <c r="I395" s="3">
        <f t="shared" si="90"/>
        <v>22</v>
      </c>
      <c r="J395" s="3">
        <f t="shared" si="91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2"/>
        <v>YES</v>
      </c>
      <c r="Q395" t="str">
        <f t="shared" si="93"/>
        <v>NO</v>
      </c>
      <c r="R395" t="str">
        <f t="shared" si="94"/>
        <v>NO</v>
      </c>
      <c r="S395">
        <v>19</v>
      </c>
      <c r="T395" t="s">
        <v>260</v>
      </c>
      <c r="U395" t="str">
        <f t="shared" si="95"/>
        <v>Third St</v>
      </c>
      <c r="W395" t="str">
        <f t="shared" si="96"/>
        <v/>
      </c>
      <c r="X395" t="str">
        <f>IF(ISBLANK(S395),"Intersection","Non-Intersection")</f>
        <v>Non-Intersection</v>
      </c>
      <c r="Y395" t="s">
        <v>892</v>
      </c>
      <c r="Z395" t="str">
        <f t="shared" si="97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84"/>
        <v>40179</v>
      </c>
      <c r="D396" s="4">
        <f t="shared" si="85"/>
        <v>0.28767123287671231</v>
      </c>
      <c r="E396" s="3">
        <f t="shared" si="86"/>
        <v>2010</v>
      </c>
      <c r="F396" s="3">
        <f t="shared" si="87"/>
        <v>4</v>
      </c>
      <c r="G396" s="3">
        <f t="shared" si="88"/>
        <v>16</v>
      </c>
      <c r="H396" s="3">
        <f t="shared" si="89"/>
        <v>9</v>
      </c>
      <c r="I396" s="3">
        <f t="shared" si="90"/>
        <v>14</v>
      </c>
      <c r="J396" s="3">
        <f t="shared" si="91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2"/>
        <v>YES</v>
      </c>
      <c r="Q396" t="str">
        <f t="shared" si="93"/>
        <v>NO</v>
      </c>
      <c r="R396" t="str">
        <f t="shared" si="94"/>
        <v>NO</v>
      </c>
      <c r="T396" t="s">
        <v>105</v>
      </c>
      <c r="U396" t="str">
        <f t="shared" si="95"/>
        <v>Broadway</v>
      </c>
      <c r="V396" t="s">
        <v>138</v>
      </c>
      <c r="W396" t="str">
        <f t="shared" si="96"/>
        <v>Felton St</v>
      </c>
      <c r="X396" t="str">
        <f>IF(ISBLANK(S396),"Intersection","Non-Intersection")</f>
        <v>Intersection</v>
      </c>
      <c r="Y396" t="s">
        <v>139</v>
      </c>
      <c r="Z396" t="str">
        <f t="shared" si="97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84"/>
        <v>40179</v>
      </c>
      <c r="D397" s="4">
        <f t="shared" si="85"/>
        <v>0.28767123287671231</v>
      </c>
      <c r="E397" s="3">
        <f t="shared" si="86"/>
        <v>2010</v>
      </c>
      <c r="F397" s="3">
        <f t="shared" si="87"/>
        <v>4</v>
      </c>
      <c r="G397" s="3">
        <f t="shared" si="88"/>
        <v>16</v>
      </c>
      <c r="H397" s="3">
        <f t="shared" si="89"/>
        <v>23</v>
      </c>
      <c r="I397" s="3">
        <f t="shared" si="90"/>
        <v>29</v>
      </c>
      <c r="J397" s="3">
        <f t="shared" si="91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2"/>
        <v>YES</v>
      </c>
      <c r="Q397" t="str">
        <f t="shared" si="93"/>
        <v>NO</v>
      </c>
      <c r="R397" t="str">
        <f t="shared" si="94"/>
        <v>NO</v>
      </c>
      <c r="S397">
        <v>114</v>
      </c>
      <c r="T397" t="s">
        <v>101</v>
      </c>
      <c r="U397" t="str">
        <f t="shared" si="95"/>
        <v>Columbia St</v>
      </c>
      <c r="W397" t="str">
        <f t="shared" si="96"/>
        <v/>
      </c>
      <c r="X397" t="str">
        <f>IF(ISBLANK(S397),"Intersection","Non-Intersection")</f>
        <v>Non-Intersection</v>
      </c>
      <c r="Y397" t="s">
        <v>894</v>
      </c>
      <c r="Z397" t="str">
        <f t="shared" si="97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84"/>
        <v>40179</v>
      </c>
      <c r="D398" s="4">
        <f t="shared" si="85"/>
        <v>0.28767123287671231</v>
      </c>
      <c r="E398" s="3">
        <f t="shared" si="86"/>
        <v>2010</v>
      </c>
      <c r="F398" s="3">
        <f t="shared" si="87"/>
        <v>4</v>
      </c>
      <c r="G398" s="3">
        <f t="shared" si="88"/>
        <v>16</v>
      </c>
      <c r="H398" s="3">
        <f t="shared" si="89"/>
        <v>16</v>
      </c>
      <c r="I398" s="3">
        <f t="shared" si="90"/>
        <v>57</v>
      </c>
      <c r="J398" s="3">
        <f t="shared" si="91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2"/>
        <v>YES</v>
      </c>
      <c r="Q398" t="str">
        <f t="shared" si="93"/>
        <v>NO</v>
      </c>
      <c r="R398" t="str">
        <f t="shared" si="94"/>
        <v>NO</v>
      </c>
      <c r="T398" t="s">
        <v>342</v>
      </c>
      <c r="U398" t="str">
        <f t="shared" si="95"/>
        <v>Prospect St</v>
      </c>
      <c r="V398" t="s">
        <v>133</v>
      </c>
      <c r="W398" t="str">
        <f t="shared" si="96"/>
        <v>Harvard St</v>
      </c>
      <c r="X398" t="str">
        <f>IF(ISBLANK(S398),"Intersection","Non-Intersection")</f>
        <v>Intersection</v>
      </c>
      <c r="Y398" t="s">
        <v>884</v>
      </c>
      <c r="Z398" t="str">
        <f t="shared" si="97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84"/>
        <v>40179</v>
      </c>
      <c r="D399" s="4">
        <f t="shared" si="85"/>
        <v>0.28767123287671231</v>
      </c>
      <c r="E399" s="3">
        <f t="shared" si="86"/>
        <v>2010</v>
      </c>
      <c r="F399" s="3">
        <f t="shared" si="87"/>
        <v>4</v>
      </c>
      <c r="G399" s="3">
        <f t="shared" si="88"/>
        <v>16</v>
      </c>
      <c r="H399" s="3">
        <f t="shared" si="89"/>
        <v>23</v>
      </c>
      <c r="I399" s="3">
        <f t="shared" si="90"/>
        <v>26</v>
      </c>
      <c r="J399" s="3">
        <f t="shared" si="91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2"/>
        <v>YES</v>
      </c>
      <c r="Q399" t="str">
        <f t="shared" si="93"/>
        <v>NO</v>
      </c>
      <c r="R399" t="str">
        <f t="shared" si="94"/>
        <v>NO</v>
      </c>
      <c r="T399" t="s">
        <v>14</v>
      </c>
      <c r="U399" t="str">
        <f t="shared" si="95"/>
        <v>Massachusetts Ave</v>
      </c>
      <c r="V399" t="s">
        <v>745</v>
      </c>
      <c r="W399" t="str">
        <f t="shared" si="96"/>
        <v>Norfolk St</v>
      </c>
      <c r="X399" t="str">
        <f>IF(ISBLANK(S399),"Intersection","Non-Intersection")</f>
        <v>Intersection</v>
      </c>
      <c r="Y399" t="s">
        <v>873</v>
      </c>
      <c r="Z399" t="str">
        <f t="shared" si="97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84"/>
        <v>40179</v>
      </c>
      <c r="D400" s="4">
        <f t="shared" si="85"/>
        <v>0.28767123287671231</v>
      </c>
      <c r="E400" s="3">
        <f t="shared" si="86"/>
        <v>2010</v>
      </c>
      <c r="F400" s="3">
        <f t="shared" si="87"/>
        <v>4</v>
      </c>
      <c r="G400" s="3">
        <f t="shared" si="88"/>
        <v>16</v>
      </c>
      <c r="H400" s="3">
        <f t="shared" si="89"/>
        <v>17</v>
      </c>
      <c r="I400" s="3">
        <f t="shared" si="90"/>
        <v>26</v>
      </c>
      <c r="J400" s="3">
        <f t="shared" si="91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2"/>
        <v>YES</v>
      </c>
      <c r="Q400" t="str">
        <f t="shared" si="93"/>
        <v>NO</v>
      </c>
      <c r="R400" t="str">
        <f t="shared" si="94"/>
        <v>NO</v>
      </c>
      <c r="T400" t="s">
        <v>14</v>
      </c>
      <c r="U400" t="str">
        <f t="shared" si="95"/>
        <v>Massachusetts Ave</v>
      </c>
      <c r="V400" t="s">
        <v>896</v>
      </c>
      <c r="W400" t="str">
        <f t="shared" si="96"/>
        <v>Columbus Ave</v>
      </c>
      <c r="X400" t="str">
        <f>IF(ISBLANK(S400),"Intersection","Non-Intersection")</f>
        <v>Intersection</v>
      </c>
      <c r="Y400" t="s">
        <v>897</v>
      </c>
      <c r="Z400" t="str">
        <f t="shared" si="97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84"/>
        <v>40179</v>
      </c>
      <c r="D401" s="4">
        <f t="shared" si="85"/>
        <v>0.28767123287671231</v>
      </c>
      <c r="E401" s="3">
        <f t="shared" si="86"/>
        <v>2010</v>
      </c>
      <c r="F401" s="3">
        <f t="shared" si="87"/>
        <v>4</v>
      </c>
      <c r="G401" s="3">
        <f t="shared" si="88"/>
        <v>16</v>
      </c>
      <c r="H401" s="3">
        <f t="shared" si="89"/>
        <v>10</v>
      </c>
      <c r="I401" s="3">
        <f t="shared" si="90"/>
        <v>38</v>
      </c>
      <c r="J401" s="3">
        <f t="shared" si="91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2"/>
        <v>YES</v>
      </c>
      <c r="Q401" t="str">
        <f t="shared" si="93"/>
        <v>NO</v>
      </c>
      <c r="R401" t="str">
        <f t="shared" si="94"/>
        <v>NO</v>
      </c>
      <c r="U401" t="str">
        <f t="shared" si="95"/>
        <v/>
      </c>
      <c r="W401" t="str">
        <f t="shared" si="96"/>
        <v/>
      </c>
      <c r="X401" t="str">
        <f>IF(ISBLANK(S401),"Intersection","Non-Intersection")</f>
        <v>Intersection</v>
      </c>
      <c r="Y401" t="s">
        <v>717</v>
      </c>
      <c r="Z401" t="str">
        <f t="shared" si="97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84"/>
        <v>40179</v>
      </c>
      <c r="D402" s="4">
        <f t="shared" si="85"/>
        <v>0.29041095890410956</v>
      </c>
      <c r="E402" s="3">
        <f t="shared" si="86"/>
        <v>2010</v>
      </c>
      <c r="F402" s="3">
        <f t="shared" si="87"/>
        <v>4</v>
      </c>
      <c r="G402" s="3">
        <f t="shared" si="88"/>
        <v>17</v>
      </c>
      <c r="H402" s="3">
        <f t="shared" si="89"/>
        <v>13</v>
      </c>
      <c r="I402" s="3">
        <f t="shared" si="90"/>
        <v>5</v>
      </c>
      <c r="J402" s="3">
        <f t="shared" si="91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2"/>
        <v>YES</v>
      </c>
      <c r="Q402" t="str">
        <f t="shared" si="93"/>
        <v>NO</v>
      </c>
      <c r="R402" t="str">
        <f t="shared" si="94"/>
        <v>NO</v>
      </c>
      <c r="T402" t="s">
        <v>50</v>
      </c>
      <c r="U402" t="str">
        <f t="shared" si="95"/>
        <v>Belmont St</v>
      </c>
      <c r="V402" t="s">
        <v>899</v>
      </c>
      <c r="W402" t="str">
        <f t="shared" si="96"/>
        <v>Cushing St</v>
      </c>
      <c r="X402" t="str">
        <f>IF(ISBLANK(S402),"Intersection","Non-Intersection")</f>
        <v>Intersection</v>
      </c>
      <c r="Y402" t="s">
        <v>900</v>
      </c>
      <c r="Z402" t="str">
        <f t="shared" si="97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84"/>
        <v>40179</v>
      </c>
      <c r="D403" s="4">
        <f t="shared" si="85"/>
        <v>0.29041095890410956</v>
      </c>
      <c r="E403" s="3">
        <f t="shared" si="86"/>
        <v>2010</v>
      </c>
      <c r="F403" s="3">
        <f t="shared" si="87"/>
        <v>4</v>
      </c>
      <c r="G403" s="3">
        <f t="shared" si="88"/>
        <v>17</v>
      </c>
      <c r="H403" s="3">
        <f t="shared" si="89"/>
        <v>9</v>
      </c>
      <c r="I403" s="3">
        <f t="shared" si="90"/>
        <v>27</v>
      </c>
      <c r="J403" s="3">
        <f t="shared" si="91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2"/>
        <v>NO</v>
      </c>
      <c r="Q403" t="str">
        <f t="shared" si="93"/>
        <v>NO</v>
      </c>
      <c r="R403" t="str">
        <f t="shared" si="94"/>
        <v>NO</v>
      </c>
      <c r="U403" t="str">
        <f t="shared" si="95"/>
        <v/>
      </c>
      <c r="W403" t="str">
        <f t="shared" si="96"/>
        <v/>
      </c>
      <c r="X403" t="str">
        <f>IF(ISBLANK(S403),"Intersection","Non-Intersection")</f>
        <v>Intersection</v>
      </c>
      <c r="Y403" t="s">
        <v>717</v>
      </c>
      <c r="Z403" t="str">
        <f t="shared" si="97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84"/>
        <v>40179</v>
      </c>
      <c r="D404" s="4">
        <f t="shared" si="85"/>
        <v>0.29041095890410956</v>
      </c>
      <c r="E404" s="3">
        <f t="shared" si="86"/>
        <v>2010</v>
      </c>
      <c r="F404" s="3">
        <f t="shared" si="87"/>
        <v>4</v>
      </c>
      <c r="G404" s="3">
        <f t="shared" si="88"/>
        <v>17</v>
      </c>
      <c r="H404" s="3">
        <f t="shared" si="89"/>
        <v>9</v>
      </c>
      <c r="I404" s="3">
        <f t="shared" si="90"/>
        <v>27</v>
      </c>
      <c r="J404" s="3">
        <f t="shared" si="91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2"/>
        <v>YES</v>
      </c>
      <c r="Q404" t="str">
        <f t="shared" si="93"/>
        <v>NO</v>
      </c>
      <c r="R404" t="str">
        <f t="shared" si="94"/>
        <v>NO</v>
      </c>
      <c r="T404" t="s">
        <v>675</v>
      </c>
      <c r="U404" t="str">
        <f t="shared" si="95"/>
        <v>Roseland St</v>
      </c>
      <c r="V404" t="s">
        <v>902</v>
      </c>
      <c r="W404" t="str">
        <f t="shared" si="96"/>
        <v>Frost St</v>
      </c>
      <c r="X404" t="str">
        <f>IF(ISBLANK(S404),"Intersection","Non-Intersection")</f>
        <v>Intersection</v>
      </c>
      <c r="Y404" t="s">
        <v>903</v>
      </c>
      <c r="Z404" t="str">
        <f t="shared" si="97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84"/>
        <v>40179</v>
      </c>
      <c r="D405" s="4">
        <f t="shared" si="85"/>
        <v>0.29041095890410956</v>
      </c>
      <c r="E405" s="3">
        <f t="shared" si="86"/>
        <v>2010</v>
      </c>
      <c r="F405" s="3">
        <f t="shared" si="87"/>
        <v>4</v>
      </c>
      <c r="G405" s="3">
        <f t="shared" si="88"/>
        <v>17</v>
      </c>
      <c r="H405" s="3">
        <f t="shared" si="89"/>
        <v>17</v>
      </c>
      <c r="I405" s="3">
        <f t="shared" si="90"/>
        <v>19</v>
      </c>
      <c r="J405" s="3">
        <f t="shared" si="91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2"/>
        <v>YES</v>
      </c>
      <c r="Q405" t="str">
        <f t="shared" si="93"/>
        <v>NO</v>
      </c>
      <c r="R405" t="str">
        <f t="shared" si="94"/>
        <v>NO</v>
      </c>
      <c r="S405">
        <v>365</v>
      </c>
      <c r="T405" t="s">
        <v>186</v>
      </c>
      <c r="U405" t="str">
        <f t="shared" si="95"/>
        <v>Concord Ave</v>
      </c>
      <c r="W405" t="str">
        <f t="shared" si="96"/>
        <v/>
      </c>
      <c r="X405" t="str">
        <f>IF(ISBLANK(S405),"Intersection","Non-Intersection")</f>
        <v>Non-Intersection</v>
      </c>
      <c r="Y405" t="s">
        <v>905</v>
      </c>
      <c r="Z405" t="str">
        <f t="shared" si="97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84"/>
        <v>40179</v>
      </c>
      <c r="D406" s="4">
        <f t="shared" si="85"/>
        <v>0.29315068493150687</v>
      </c>
      <c r="E406" s="3">
        <f t="shared" si="86"/>
        <v>2010</v>
      </c>
      <c r="F406" s="3">
        <f t="shared" si="87"/>
        <v>4</v>
      </c>
      <c r="G406" s="3">
        <f t="shared" si="88"/>
        <v>18</v>
      </c>
      <c r="H406" s="3">
        <f t="shared" si="89"/>
        <v>0</v>
      </c>
      <c r="I406" s="3">
        <f t="shared" si="90"/>
        <v>59</v>
      </c>
      <c r="J406" s="3">
        <f t="shared" si="91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2"/>
        <v>YES</v>
      </c>
      <c r="Q406" t="str">
        <f t="shared" si="93"/>
        <v>NO</v>
      </c>
      <c r="R406" t="str">
        <f t="shared" si="94"/>
        <v>NO</v>
      </c>
      <c r="T406" t="s">
        <v>74</v>
      </c>
      <c r="U406" t="str">
        <f t="shared" si="95"/>
        <v>Hampshire St</v>
      </c>
      <c r="V406" t="s">
        <v>907</v>
      </c>
      <c r="W406" t="str">
        <f t="shared" si="96"/>
        <v>Union St</v>
      </c>
      <c r="X406" t="str">
        <f>IF(ISBLANK(S406),"Intersection","Non-Intersection")</f>
        <v>Intersection</v>
      </c>
      <c r="Y406" t="s">
        <v>908</v>
      </c>
      <c r="Z406" t="str">
        <f t="shared" si="97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84"/>
        <v>40179</v>
      </c>
      <c r="D407" s="4">
        <f t="shared" si="85"/>
        <v>0.29315068493150687</v>
      </c>
      <c r="E407" s="3">
        <f t="shared" si="86"/>
        <v>2010</v>
      </c>
      <c r="F407" s="3">
        <f t="shared" si="87"/>
        <v>4</v>
      </c>
      <c r="G407" s="3">
        <f t="shared" si="88"/>
        <v>18</v>
      </c>
      <c r="H407" s="3">
        <f t="shared" si="89"/>
        <v>17</v>
      </c>
      <c r="I407" s="3">
        <f t="shared" si="90"/>
        <v>15</v>
      </c>
      <c r="J407" s="3">
        <f t="shared" si="91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2"/>
        <v>NO</v>
      </c>
      <c r="Q407" t="str">
        <f t="shared" si="93"/>
        <v>NO</v>
      </c>
      <c r="R407" t="str">
        <f t="shared" si="94"/>
        <v>NO</v>
      </c>
      <c r="T407" t="s">
        <v>50</v>
      </c>
      <c r="U407" t="str">
        <f t="shared" si="95"/>
        <v>Belmont St</v>
      </c>
      <c r="V407" t="s">
        <v>198</v>
      </c>
      <c r="W407" t="str">
        <f t="shared" si="96"/>
        <v>Mount Auburn St</v>
      </c>
      <c r="X407" t="str">
        <f>IF(ISBLANK(S407),"Intersection","Non-Intersection")</f>
        <v>Intersection</v>
      </c>
      <c r="Y407" t="s">
        <v>910</v>
      </c>
      <c r="Z407" t="str">
        <f t="shared" si="97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84"/>
        <v>40179</v>
      </c>
      <c r="D408" s="4">
        <f t="shared" si="85"/>
        <v>0.29315068493150687</v>
      </c>
      <c r="E408" s="3">
        <f t="shared" si="86"/>
        <v>2010</v>
      </c>
      <c r="F408" s="3">
        <f t="shared" si="87"/>
        <v>4</v>
      </c>
      <c r="G408" s="3">
        <f t="shared" si="88"/>
        <v>18</v>
      </c>
      <c r="H408" s="3">
        <f t="shared" si="89"/>
        <v>21</v>
      </c>
      <c r="I408" s="3">
        <f t="shared" si="90"/>
        <v>45</v>
      </c>
      <c r="J408" s="3">
        <f t="shared" si="91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2"/>
        <v>YES</v>
      </c>
      <c r="Q408" t="str">
        <f t="shared" si="93"/>
        <v>NO</v>
      </c>
      <c r="R408" t="str">
        <f t="shared" si="94"/>
        <v>NO</v>
      </c>
      <c r="S408">
        <v>5</v>
      </c>
      <c r="T408" t="s">
        <v>260</v>
      </c>
      <c r="U408" t="str">
        <f t="shared" si="95"/>
        <v>Third St</v>
      </c>
      <c r="W408" t="str">
        <f t="shared" si="96"/>
        <v/>
      </c>
      <c r="X408" t="str">
        <f>IF(ISBLANK(S408),"Intersection","Non-Intersection")</f>
        <v>Non-Intersection</v>
      </c>
      <c r="Y408" t="s">
        <v>912</v>
      </c>
      <c r="Z408" t="str">
        <f t="shared" si="97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84"/>
        <v>40179</v>
      </c>
      <c r="D409" s="4">
        <f t="shared" si="85"/>
        <v>0.29589041095890412</v>
      </c>
      <c r="E409" s="3">
        <f t="shared" si="86"/>
        <v>2010</v>
      </c>
      <c r="F409" s="3">
        <f t="shared" si="87"/>
        <v>4</v>
      </c>
      <c r="G409" s="3">
        <f t="shared" si="88"/>
        <v>19</v>
      </c>
      <c r="H409" s="3">
        <f t="shared" si="89"/>
        <v>0</v>
      </c>
      <c r="I409" s="3">
        <f t="shared" si="90"/>
        <v>4</v>
      </c>
      <c r="J409" s="3">
        <f t="shared" si="91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2"/>
        <v>YES</v>
      </c>
      <c r="Q409" t="str">
        <f t="shared" si="93"/>
        <v>NO</v>
      </c>
      <c r="R409" t="str">
        <f t="shared" si="94"/>
        <v>NO</v>
      </c>
      <c r="S409">
        <v>259</v>
      </c>
      <c r="T409" t="s">
        <v>550</v>
      </c>
      <c r="U409" t="str">
        <f t="shared" si="95"/>
        <v>Upland Rd</v>
      </c>
      <c r="V409" t="s">
        <v>915</v>
      </c>
      <c r="W409" t="str">
        <f t="shared" si="96"/>
        <v>Newell St</v>
      </c>
      <c r="X409" t="str">
        <f>IF(ISBLANK(S409),"Intersection","Non-Intersection")</f>
        <v>Non-Intersection</v>
      </c>
      <c r="Y409" t="s">
        <v>916</v>
      </c>
      <c r="Z409" t="str">
        <f t="shared" si="97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84"/>
        <v>40179</v>
      </c>
      <c r="D410" s="4">
        <f t="shared" si="85"/>
        <v>0.29589041095890412</v>
      </c>
      <c r="E410" s="3">
        <f t="shared" si="86"/>
        <v>2010</v>
      </c>
      <c r="F410" s="3">
        <f t="shared" si="87"/>
        <v>4</v>
      </c>
      <c r="G410" s="3">
        <f t="shared" si="88"/>
        <v>19</v>
      </c>
      <c r="H410" s="3">
        <f t="shared" si="89"/>
        <v>21</v>
      </c>
      <c r="I410" s="3">
        <f t="shared" si="90"/>
        <v>0</v>
      </c>
      <c r="J410" s="3">
        <f t="shared" si="91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2"/>
        <v>YES</v>
      </c>
      <c r="Q410" t="str">
        <f t="shared" si="93"/>
        <v>NO</v>
      </c>
      <c r="R410" t="str">
        <f t="shared" si="94"/>
        <v>NO</v>
      </c>
      <c r="T410" t="s">
        <v>19</v>
      </c>
      <c r="U410" t="str">
        <f t="shared" si="95"/>
        <v>Cambridge St</v>
      </c>
      <c r="V410" t="s">
        <v>918</v>
      </c>
      <c r="W410" t="str">
        <f t="shared" si="96"/>
        <v>Camelia Ave</v>
      </c>
      <c r="X410" t="str">
        <f>IF(ISBLANK(S410),"Intersection","Non-Intersection")</f>
        <v>Intersection</v>
      </c>
      <c r="Y410" t="s">
        <v>919</v>
      </c>
      <c r="Z410" t="str">
        <f t="shared" si="97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84"/>
        <v>40179</v>
      </c>
      <c r="D411" s="4">
        <f t="shared" si="85"/>
        <v>0.29589041095890412</v>
      </c>
      <c r="E411" s="3">
        <f t="shared" si="86"/>
        <v>2010</v>
      </c>
      <c r="F411" s="3">
        <f t="shared" si="87"/>
        <v>4</v>
      </c>
      <c r="G411" s="3">
        <f t="shared" si="88"/>
        <v>19</v>
      </c>
      <c r="H411" s="3">
        <f t="shared" si="89"/>
        <v>11</v>
      </c>
      <c r="I411" s="3">
        <f t="shared" si="90"/>
        <v>35</v>
      </c>
      <c r="J411" s="3">
        <f t="shared" si="91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2"/>
        <v>YES</v>
      </c>
      <c r="Q411" t="str">
        <f t="shared" si="93"/>
        <v>NO</v>
      </c>
      <c r="R411" t="str">
        <f t="shared" si="94"/>
        <v>NO</v>
      </c>
      <c r="S411">
        <v>820</v>
      </c>
      <c r="T411" t="s">
        <v>203</v>
      </c>
      <c r="U411" t="str">
        <f t="shared" si="95"/>
        <v>Memorial Dr</v>
      </c>
      <c r="W411" t="str">
        <f t="shared" si="96"/>
        <v/>
      </c>
      <c r="X411" t="str">
        <f>IF(ISBLANK(S411),"Intersection","Non-Intersection")</f>
        <v>Non-Intersection</v>
      </c>
      <c r="Y411" t="s">
        <v>921</v>
      </c>
      <c r="Z411" t="str">
        <f t="shared" si="97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84"/>
        <v>40179</v>
      </c>
      <c r="D412" s="4">
        <f t="shared" si="85"/>
        <v>0.29589041095890412</v>
      </c>
      <c r="E412" s="3">
        <f t="shared" si="86"/>
        <v>2010</v>
      </c>
      <c r="F412" s="3">
        <f t="shared" si="87"/>
        <v>4</v>
      </c>
      <c r="G412" s="3">
        <f t="shared" si="88"/>
        <v>19</v>
      </c>
      <c r="H412" s="3">
        <f t="shared" si="89"/>
        <v>11</v>
      </c>
      <c r="I412" s="3">
        <f t="shared" si="90"/>
        <v>35</v>
      </c>
      <c r="J412" s="3">
        <f t="shared" si="91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2"/>
        <v>YES</v>
      </c>
      <c r="Q412" t="str">
        <f t="shared" si="93"/>
        <v>NO</v>
      </c>
      <c r="R412" t="str">
        <f t="shared" si="94"/>
        <v>NO</v>
      </c>
      <c r="S412">
        <v>820</v>
      </c>
      <c r="T412" t="s">
        <v>203</v>
      </c>
      <c r="U412" t="str">
        <f t="shared" si="95"/>
        <v>Memorial Dr</v>
      </c>
      <c r="W412" t="str">
        <f t="shared" si="96"/>
        <v/>
      </c>
      <c r="X412" t="str">
        <f>IF(ISBLANK(S412),"Intersection","Non-Intersection")</f>
        <v>Non-Intersection</v>
      </c>
      <c r="Y412" t="s">
        <v>921</v>
      </c>
      <c r="Z412" t="str">
        <f t="shared" si="97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84"/>
        <v>40179</v>
      </c>
      <c r="D413" s="4">
        <f t="shared" si="85"/>
        <v>0.29589041095890412</v>
      </c>
      <c r="E413" s="3">
        <f t="shared" si="86"/>
        <v>2010</v>
      </c>
      <c r="F413" s="3">
        <f t="shared" si="87"/>
        <v>4</v>
      </c>
      <c r="G413" s="3">
        <f t="shared" si="88"/>
        <v>19</v>
      </c>
      <c r="H413" s="3">
        <f t="shared" si="89"/>
        <v>15</v>
      </c>
      <c r="I413" s="3">
        <f t="shared" si="90"/>
        <v>0</v>
      </c>
      <c r="J413" s="3">
        <f t="shared" si="91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2"/>
        <v>YES</v>
      </c>
      <c r="Q413" t="str">
        <f t="shared" si="93"/>
        <v>NO</v>
      </c>
      <c r="R413" t="str">
        <f t="shared" si="94"/>
        <v>NO</v>
      </c>
      <c r="T413" t="s">
        <v>269</v>
      </c>
      <c r="U413" t="str">
        <f t="shared" si="95"/>
        <v>Porter Sq</v>
      </c>
      <c r="W413" t="str">
        <f t="shared" si="96"/>
        <v/>
      </c>
      <c r="X413" t="str">
        <f>IF(ISBLANK(S413),"Intersection","Non-Intersection")</f>
        <v>Intersection</v>
      </c>
      <c r="Y413" t="s">
        <v>923</v>
      </c>
      <c r="Z413" t="str">
        <f t="shared" si="97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84"/>
        <v>40179</v>
      </c>
      <c r="D414" s="4">
        <f t="shared" si="85"/>
        <v>0.29863013698630136</v>
      </c>
      <c r="E414" s="3">
        <f t="shared" si="86"/>
        <v>2010</v>
      </c>
      <c r="F414" s="3">
        <f t="shared" si="87"/>
        <v>4</v>
      </c>
      <c r="G414" s="3">
        <f t="shared" si="88"/>
        <v>20</v>
      </c>
      <c r="H414" s="3">
        <f t="shared" si="89"/>
        <v>12</v>
      </c>
      <c r="I414" s="3">
        <f t="shared" si="90"/>
        <v>0</v>
      </c>
      <c r="J414" s="3">
        <f t="shared" si="91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2"/>
        <v>YES</v>
      </c>
      <c r="Q414" t="str">
        <f t="shared" si="93"/>
        <v>NO</v>
      </c>
      <c r="R414" t="str">
        <f t="shared" si="94"/>
        <v>NO</v>
      </c>
      <c r="T414" t="s">
        <v>924</v>
      </c>
      <c r="U414" t="str">
        <f t="shared" si="95"/>
        <v>Carlisle St</v>
      </c>
      <c r="V414" t="s">
        <v>667</v>
      </c>
      <c r="W414" t="str">
        <f t="shared" si="96"/>
        <v>Tremont St</v>
      </c>
      <c r="X414" t="str">
        <f>IF(ISBLANK(S414),"Intersection","Non-Intersection")</f>
        <v>Intersection</v>
      </c>
      <c r="Y414" t="s">
        <v>925</v>
      </c>
      <c r="Z414" t="str">
        <f t="shared" si="97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84"/>
        <v>40179</v>
      </c>
      <c r="D415" s="4">
        <f t="shared" si="85"/>
        <v>0.29863013698630136</v>
      </c>
      <c r="E415" s="3">
        <f t="shared" si="86"/>
        <v>2010</v>
      </c>
      <c r="F415" s="3">
        <f t="shared" si="87"/>
        <v>4</v>
      </c>
      <c r="G415" s="3">
        <f t="shared" si="88"/>
        <v>20</v>
      </c>
      <c r="H415" s="3">
        <f t="shared" si="89"/>
        <v>17</v>
      </c>
      <c r="I415" s="3">
        <f t="shared" si="90"/>
        <v>0</v>
      </c>
      <c r="J415" s="3">
        <f t="shared" si="91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2"/>
        <v>YES</v>
      </c>
      <c r="Q415" t="str">
        <f t="shared" si="93"/>
        <v>YES</v>
      </c>
      <c r="R415" t="str">
        <f t="shared" si="94"/>
        <v>NO</v>
      </c>
      <c r="S415">
        <v>336</v>
      </c>
      <c r="T415" t="s">
        <v>15</v>
      </c>
      <c r="U415" t="str">
        <f t="shared" si="95"/>
        <v>Rindge Ave</v>
      </c>
      <c r="W415" t="str">
        <f t="shared" si="96"/>
        <v/>
      </c>
      <c r="X415" t="str">
        <f>IF(ISBLANK(S415),"Intersection","Non-Intersection")</f>
        <v>Non-Intersection</v>
      </c>
      <c r="Y415" t="s">
        <v>927</v>
      </c>
      <c r="Z415" t="str">
        <f t="shared" si="97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84"/>
        <v>40179</v>
      </c>
      <c r="D416" s="4">
        <f t="shared" si="85"/>
        <v>0.29863013698630136</v>
      </c>
      <c r="E416" s="3">
        <f t="shared" si="86"/>
        <v>2010</v>
      </c>
      <c r="F416" s="3">
        <f t="shared" si="87"/>
        <v>4</v>
      </c>
      <c r="G416" s="3">
        <f t="shared" si="88"/>
        <v>20</v>
      </c>
      <c r="H416" s="3">
        <f t="shared" si="89"/>
        <v>13</v>
      </c>
      <c r="I416" s="3">
        <f t="shared" si="90"/>
        <v>54</v>
      </c>
      <c r="J416" s="3">
        <f t="shared" si="91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2"/>
        <v>YES</v>
      </c>
      <c r="Q416" t="str">
        <f t="shared" si="93"/>
        <v>NO</v>
      </c>
      <c r="R416" t="str">
        <f t="shared" si="94"/>
        <v>NO</v>
      </c>
      <c r="S416">
        <v>259</v>
      </c>
      <c r="T416" t="s">
        <v>198</v>
      </c>
      <c r="U416" t="str">
        <f t="shared" si="95"/>
        <v>Mount Auburn St</v>
      </c>
      <c r="V416" t="s">
        <v>929</v>
      </c>
      <c r="W416" t="str">
        <f t="shared" si="96"/>
        <v>Maynard Pl</v>
      </c>
      <c r="X416" t="str">
        <f>IF(ISBLANK(S416),"Intersection","Non-Intersection")</f>
        <v>Non-Intersection</v>
      </c>
      <c r="Y416" t="s">
        <v>930</v>
      </c>
      <c r="Z416" t="str">
        <f t="shared" si="97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84"/>
        <v>40179</v>
      </c>
      <c r="D417" s="4">
        <f t="shared" si="85"/>
        <v>0.29863013698630136</v>
      </c>
      <c r="E417" s="3">
        <f t="shared" si="86"/>
        <v>2010</v>
      </c>
      <c r="F417" s="3">
        <f t="shared" si="87"/>
        <v>4</v>
      </c>
      <c r="G417" s="3">
        <f t="shared" si="88"/>
        <v>20</v>
      </c>
      <c r="H417" s="3">
        <f t="shared" si="89"/>
        <v>1</v>
      </c>
      <c r="I417" s="3">
        <f t="shared" si="90"/>
        <v>30</v>
      </c>
      <c r="J417" s="3">
        <f t="shared" si="91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2"/>
        <v>YES</v>
      </c>
      <c r="Q417" t="str">
        <f t="shared" si="93"/>
        <v>NO</v>
      </c>
      <c r="R417" t="str">
        <f t="shared" si="94"/>
        <v>NO</v>
      </c>
      <c r="T417" t="s">
        <v>32</v>
      </c>
      <c r="U417" t="str">
        <f t="shared" si="95"/>
        <v>Main St</v>
      </c>
      <c r="V417" t="s">
        <v>796</v>
      </c>
      <c r="W417" t="str">
        <f t="shared" si="96"/>
        <v>Portland St</v>
      </c>
      <c r="X417" t="str">
        <f>IF(ISBLANK(S417),"Intersection","Non-Intersection")</f>
        <v>Intersection</v>
      </c>
      <c r="Y417" t="s">
        <v>932</v>
      </c>
      <c r="Z417" t="str">
        <f t="shared" si="97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84"/>
        <v>40179</v>
      </c>
      <c r="D418" s="4">
        <f t="shared" si="85"/>
        <v>0.29863013698630136</v>
      </c>
      <c r="E418" s="3">
        <f t="shared" si="86"/>
        <v>2010</v>
      </c>
      <c r="F418" s="3">
        <f t="shared" si="87"/>
        <v>4</v>
      </c>
      <c r="G418" s="3">
        <f t="shared" si="88"/>
        <v>20</v>
      </c>
      <c r="H418" s="3">
        <f t="shared" si="89"/>
        <v>11</v>
      </c>
      <c r="I418" s="3">
        <f t="shared" si="90"/>
        <v>49</v>
      </c>
      <c r="J418" s="3">
        <f t="shared" si="91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2"/>
        <v>YES</v>
      </c>
      <c r="Q418" t="str">
        <f t="shared" si="93"/>
        <v>NO</v>
      </c>
      <c r="R418" t="str">
        <f t="shared" si="94"/>
        <v>NO</v>
      </c>
      <c r="S418">
        <v>35</v>
      </c>
      <c r="T418" t="s">
        <v>268</v>
      </c>
      <c r="U418" t="str">
        <f t="shared" si="95"/>
        <v>White St</v>
      </c>
      <c r="W418" t="str">
        <f t="shared" si="96"/>
        <v/>
      </c>
      <c r="X418" t="str">
        <f>IF(ISBLANK(S418),"Intersection","Non-Intersection")</f>
        <v>Non-Intersection</v>
      </c>
      <c r="Y418" t="s">
        <v>933</v>
      </c>
      <c r="Z418" t="str">
        <f t="shared" si="97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84"/>
        <v>40179</v>
      </c>
      <c r="D419" s="4">
        <f t="shared" si="85"/>
        <v>0.30136986301369861</v>
      </c>
      <c r="E419" s="3">
        <f t="shared" si="86"/>
        <v>2010</v>
      </c>
      <c r="F419" s="3">
        <f t="shared" si="87"/>
        <v>4</v>
      </c>
      <c r="G419" s="3">
        <f t="shared" si="88"/>
        <v>21</v>
      </c>
      <c r="H419" s="3">
        <f t="shared" si="89"/>
        <v>9</v>
      </c>
      <c r="I419" s="3">
        <f t="shared" si="90"/>
        <v>14</v>
      </c>
      <c r="J419" s="3">
        <f t="shared" si="91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2"/>
        <v>YES</v>
      </c>
      <c r="Q419" t="str">
        <f t="shared" si="93"/>
        <v>NO</v>
      </c>
      <c r="R419" t="str">
        <f t="shared" si="94"/>
        <v>YES</v>
      </c>
      <c r="T419" t="s">
        <v>935</v>
      </c>
      <c r="U419" t="str">
        <f t="shared" si="95"/>
        <v>Hawthorne St</v>
      </c>
      <c r="V419" t="s">
        <v>198</v>
      </c>
      <c r="W419" t="str">
        <f t="shared" si="96"/>
        <v>Mount Auburn St</v>
      </c>
      <c r="X419" t="str">
        <f>IF(ISBLANK(S419),"Intersection","Non-Intersection")</f>
        <v>Intersection</v>
      </c>
      <c r="Y419" t="s">
        <v>936</v>
      </c>
      <c r="Z419" t="str">
        <f t="shared" si="97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84"/>
        <v>40179</v>
      </c>
      <c r="D420" s="4">
        <f t="shared" si="85"/>
        <v>0.30136986301369861</v>
      </c>
      <c r="E420" s="3">
        <f t="shared" si="86"/>
        <v>2010</v>
      </c>
      <c r="F420" s="3">
        <f t="shared" si="87"/>
        <v>4</v>
      </c>
      <c r="G420" s="3">
        <f t="shared" si="88"/>
        <v>21</v>
      </c>
      <c r="H420" s="3">
        <f t="shared" si="89"/>
        <v>16</v>
      </c>
      <c r="I420" s="3">
        <f t="shared" si="90"/>
        <v>30</v>
      </c>
      <c r="J420" s="3">
        <f t="shared" si="91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2"/>
        <v>YES</v>
      </c>
      <c r="Q420" t="str">
        <f t="shared" si="93"/>
        <v>YES</v>
      </c>
      <c r="R420" t="str">
        <f t="shared" si="94"/>
        <v>NO</v>
      </c>
      <c r="S420">
        <v>432</v>
      </c>
      <c r="T420" t="s">
        <v>14</v>
      </c>
      <c r="U420" t="str">
        <f t="shared" si="95"/>
        <v>Massachusetts Ave</v>
      </c>
      <c r="W420" t="str">
        <f t="shared" si="96"/>
        <v/>
      </c>
      <c r="X420" t="str">
        <f>IF(ISBLANK(S420),"Intersection","Non-Intersection")</f>
        <v>Non-Intersection</v>
      </c>
      <c r="Y420" t="s">
        <v>937</v>
      </c>
      <c r="Z420" t="str">
        <f t="shared" si="97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84"/>
        <v>40179</v>
      </c>
      <c r="D421" s="4">
        <f t="shared" si="85"/>
        <v>0.30136986301369861</v>
      </c>
      <c r="E421" s="3">
        <f t="shared" si="86"/>
        <v>2010</v>
      </c>
      <c r="F421" s="3">
        <f t="shared" si="87"/>
        <v>4</v>
      </c>
      <c r="G421" s="3">
        <f t="shared" si="88"/>
        <v>21</v>
      </c>
      <c r="H421" s="3">
        <f t="shared" si="89"/>
        <v>16</v>
      </c>
      <c r="I421" s="3">
        <f t="shared" si="90"/>
        <v>50</v>
      </c>
      <c r="J421" s="3">
        <f t="shared" si="91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2"/>
        <v>YES</v>
      </c>
      <c r="Q421" t="str">
        <f t="shared" si="93"/>
        <v>YES</v>
      </c>
      <c r="R421" t="str">
        <f t="shared" si="94"/>
        <v>NO</v>
      </c>
      <c r="T421" t="s">
        <v>74</v>
      </c>
      <c r="U421" t="str">
        <f t="shared" si="95"/>
        <v>Hampshire St</v>
      </c>
      <c r="V421" t="s">
        <v>101</v>
      </c>
      <c r="W421" t="str">
        <f t="shared" si="96"/>
        <v>Columbia St</v>
      </c>
      <c r="X421" t="str">
        <f>IF(ISBLANK(S421),"Intersection","Non-Intersection")</f>
        <v>Intersection</v>
      </c>
      <c r="Y421" t="s">
        <v>939</v>
      </c>
      <c r="Z421" t="str">
        <f t="shared" si="97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84"/>
        <v>40179</v>
      </c>
      <c r="D422" s="4">
        <f t="shared" si="85"/>
        <v>0.30136986301369861</v>
      </c>
      <c r="E422" s="3">
        <f t="shared" si="86"/>
        <v>2010</v>
      </c>
      <c r="F422" s="3">
        <f t="shared" si="87"/>
        <v>4</v>
      </c>
      <c r="G422" s="3">
        <f t="shared" si="88"/>
        <v>21</v>
      </c>
      <c r="H422" s="3">
        <f t="shared" si="89"/>
        <v>18</v>
      </c>
      <c r="I422" s="3">
        <f t="shared" si="90"/>
        <v>14</v>
      </c>
      <c r="J422" s="3">
        <f t="shared" si="91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2"/>
        <v>YES</v>
      </c>
      <c r="Q422" t="str">
        <f t="shared" si="93"/>
        <v>YES</v>
      </c>
      <c r="R422" t="str">
        <f t="shared" si="94"/>
        <v>NO</v>
      </c>
      <c r="S422">
        <v>110</v>
      </c>
      <c r="T422" t="s">
        <v>37</v>
      </c>
      <c r="U422" t="str">
        <f t="shared" si="95"/>
        <v>Magazine St</v>
      </c>
      <c r="W422" t="str">
        <f t="shared" si="96"/>
        <v/>
      </c>
      <c r="X422" t="str">
        <f>IF(ISBLANK(S422),"Intersection","Non-Intersection")</f>
        <v>Non-Intersection</v>
      </c>
      <c r="Y422" t="s">
        <v>940</v>
      </c>
      <c r="Z422" t="str">
        <f t="shared" si="97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84"/>
        <v>40179</v>
      </c>
      <c r="D423" s="4">
        <f t="shared" si="85"/>
        <v>0.30136986301369861</v>
      </c>
      <c r="E423" s="3">
        <f t="shared" si="86"/>
        <v>2010</v>
      </c>
      <c r="F423" s="3">
        <f t="shared" si="87"/>
        <v>4</v>
      </c>
      <c r="G423" s="3">
        <f t="shared" si="88"/>
        <v>21</v>
      </c>
      <c r="H423" s="3">
        <f t="shared" si="89"/>
        <v>9</v>
      </c>
      <c r="I423" s="3">
        <f t="shared" si="90"/>
        <v>0</v>
      </c>
      <c r="J423" s="3">
        <f t="shared" si="91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2"/>
        <v>YES</v>
      </c>
      <c r="Q423" t="str">
        <f t="shared" si="93"/>
        <v>NO</v>
      </c>
      <c r="R423" t="str">
        <f t="shared" si="94"/>
        <v>NO</v>
      </c>
      <c r="S423">
        <v>83</v>
      </c>
      <c r="T423" t="s">
        <v>942</v>
      </c>
      <c r="U423" t="str">
        <f t="shared" si="95"/>
        <v>Amory St</v>
      </c>
      <c r="W423" t="str">
        <f t="shared" si="96"/>
        <v/>
      </c>
      <c r="X423" t="str">
        <f>IF(ISBLANK(S423),"Intersection","Non-Intersection")</f>
        <v>Non-Intersection</v>
      </c>
      <c r="Y423" t="s">
        <v>943</v>
      </c>
      <c r="Z423" t="str">
        <f t="shared" si="97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84"/>
        <v>40179</v>
      </c>
      <c r="D424" s="4">
        <f t="shared" si="85"/>
        <v>0.30410958904109592</v>
      </c>
      <c r="E424" s="3">
        <f t="shared" si="86"/>
        <v>2010</v>
      </c>
      <c r="F424" s="3">
        <f t="shared" si="87"/>
        <v>4</v>
      </c>
      <c r="G424" s="3">
        <f t="shared" si="88"/>
        <v>22</v>
      </c>
      <c r="H424" s="3">
        <f t="shared" si="89"/>
        <v>8</v>
      </c>
      <c r="I424" s="3">
        <f t="shared" si="90"/>
        <v>0</v>
      </c>
      <c r="J424" s="3">
        <f t="shared" si="91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2"/>
        <v>YES</v>
      </c>
      <c r="Q424" t="str">
        <f t="shared" si="93"/>
        <v>NO</v>
      </c>
      <c r="R424" t="str">
        <f t="shared" si="94"/>
        <v>NO</v>
      </c>
      <c r="T424" t="s">
        <v>19</v>
      </c>
      <c r="U424" t="str">
        <f t="shared" si="95"/>
        <v>Cambridge St</v>
      </c>
      <c r="V424" t="s">
        <v>14</v>
      </c>
      <c r="W424" t="str">
        <f t="shared" si="96"/>
        <v>Massachusetts Ave</v>
      </c>
      <c r="X424" t="str">
        <f>IF(ISBLANK(S424),"Intersection","Non-Intersection")</f>
        <v>Intersection</v>
      </c>
      <c r="Y424" t="s">
        <v>945</v>
      </c>
      <c r="Z424" t="str">
        <f t="shared" si="97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84"/>
        <v>40179</v>
      </c>
      <c r="D425" s="4">
        <f t="shared" si="85"/>
        <v>0.30410958904109592</v>
      </c>
      <c r="E425" s="3">
        <f t="shared" si="86"/>
        <v>2010</v>
      </c>
      <c r="F425" s="3">
        <f t="shared" si="87"/>
        <v>4</v>
      </c>
      <c r="G425" s="3">
        <f t="shared" si="88"/>
        <v>22</v>
      </c>
      <c r="H425" s="3">
        <f t="shared" si="89"/>
        <v>17</v>
      </c>
      <c r="I425" s="3">
        <f t="shared" si="90"/>
        <v>45</v>
      </c>
      <c r="J425" s="3">
        <f t="shared" si="91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2"/>
        <v>YES</v>
      </c>
      <c r="Q425" t="str">
        <f t="shared" si="93"/>
        <v>NO</v>
      </c>
      <c r="R425" t="str">
        <f t="shared" si="94"/>
        <v>YES</v>
      </c>
      <c r="S425">
        <v>90</v>
      </c>
      <c r="T425" t="s">
        <v>14</v>
      </c>
      <c r="U425" t="str">
        <f t="shared" si="95"/>
        <v>Massachusetts Ave</v>
      </c>
      <c r="W425" t="str">
        <f t="shared" si="96"/>
        <v/>
      </c>
      <c r="X425" t="str">
        <f>IF(ISBLANK(S425),"Intersection","Non-Intersection")</f>
        <v>Non-Intersection</v>
      </c>
      <c r="Y425" t="s">
        <v>947</v>
      </c>
      <c r="Z425" t="str">
        <f t="shared" si="97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84"/>
        <v>40179</v>
      </c>
      <c r="D426" s="4">
        <f t="shared" si="85"/>
        <v>0.30410958904109592</v>
      </c>
      <c r="E426" s="3">
        <f t="shared" si="86"/>
        <v>2010</v>
      </c>
      <c r="F426" s="3">
        <f t="shared" si="87"/>
        <v>4</v>
      </c>
      <c r="G426" s="3">
        <f t="shared" si="88"/>
        <v>22</v>
      </c>
      <c r="H426" s="3">
        <f t="shared" si="89"/>
        <v>23</v>
      </c>
      <c r="I426" s="3">
        <f t="shared" si="90"/>
        <v>0</v>
      </c>
      <c r="J426" s="3">
        <f t="shared" si="91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2"/>
        <v>YES</v>
      </c>
      <c r="Q426" t="str">
        <f t="shared" si="93"/>
        <v>NO</v>
      </c>
      <c r="R426" t="str">
        <f t="shared" si="94"/>
        <v>NO</v>
      </c>
      <c r="T426" t="s">
        <v>105</v>
      </c>
      <c r="U426" t="str">
        <f t="shared" si="95"/>
        <v>Broadway</v>
      </c>
      <c r="V426" t="s">
        <v>288</v>
      </c>
      <c r="W426" t="str">
        <f t="shared" si="96"/>
        <v>Galileo Galilei Way</v>
      </c>
      <c r="X426" t="str">
        <f>IF(ISBLANK(S426),"Intersection","Non-Intersection")</f>
        <v>Intersection</v>
      </c>
      <c r="Y426" t="s">
        <v>289</v>
      </c>
      <c r="Z426" t="str">
        <f t="shared" si="97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98">EOMONTH(B427,MONTH(B427)*-1)+1</f>
        <v>40179</v>
      </c>
      <c r="D427" s="4">
        <f t="shared" ref="D427:D486" si="99">YEARFRAC(C427,B427,1)</f>
        <v>0.30410958904109592</v>
      </c>
      <c r="E427" s="3">
        <f t="shared" ref="E427:E486" si="100">YEAR(B427)</f>
        <v>2010</v>
      </c>
      <c r="F427" s="3">
        <f t="shared" ref="F427:F486" si="101">MONTH(B427)</f>
        <v>4</v>
      </c>
      <c r="G427" s="3">
        <f t="shared" ref="G427:G486" si="102">DAY(B427)</f>
        <v>22</v>
      </c>
      <c r="H427" s="3">
        <f t="shared" ref="H427:H486" si="103">HOUR(B427)</f>
        <v>14</v>
      </c>
      <c r="I427" s="3">
        <f t="shared" ref="I427:I486" si="104">MINUTE(B427)</f>
        <v>29</v>
      </c>
      <c r="J427" s="3">
        <f t="shared" ref="J427:J486" si="105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06">IF(OR(N427="Auto",O427="Auto"),"YES",IF(OR(N427="Taxi",O427="Taxi"),"YES",IF(OR(N427="Van",O427="Van"),"YES",IF(OR(N427="Truck",O427="Truck"),"YES","NO"))))</f>
        <v>YES</v>
      </c>
      <c r="Q427" t="str">
        <f t="shared" ref="Q427:Q486" si="107">IF(OR(N427="Bicycle",O427="Bicycle"),"YES","NO")</f>
        <v>YES</v>
      </c>
      <c r="R427" t="str">
        <f t="shared" ref="R427:R486" si="108">IF(OR(N427="Pedestrian",O427="Pedestrian"),"YES","NO")</f>
        <v>NO</v>
      </c>
      <c r="T427" t="s">
        <v>198</v>
      </c>
      <c r="U427" t="str">
        <f t="shared" si="95"/>
        <v>Mount Auburn St</v>
      </c>
      <c r="V427" t="s">
        <v>199</v>
      </c>
      <c r="W427" t="str">
        <f t="shared" si="96"/>
        <v>Brattle St</v>
      </c>
      <c r="X427" t="str">
        <f>IF(ISBLANK(S427),"Intersection","Non-Intersection")</f>
        <v>Intersection</v>
      </c>
      <c r="Y427" t="s">
        <v>767</v>
      </c>
      <c r="Z427" t="str">
        <f t="shared" si="97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98"/>
        <v>40179</v>
      </c>
      <c r="D428" s="4">
        <f t="shared" si="99"/>
        <v>0.30410958904109592</v>
      </c>
      <c r="E428" s="3">
        <f t="shared" si="100"/>
        <v>2010</v>
      </c>
      <c r="F428" s="3">
        <f t="shared" si="101"/>
        <v>4</v>
      </c>
      <c r="G428" s="3">
        <f t="shared" si="102"/>
        <v>22</v>
      </c>
      <c r="H428" s="3">
        <f t="shared" si="103"/>
        <v>19</v>
      </c>
      <c r="I428" s="3">
        <f t="shared" si="104"/>
        <v>30</v>
      </c>
      <c r="J428" s="3">
        <f t="shared" si="105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06"/>
        <v>YES</v>
      </c>
      <c r="Q428" t="str">
        <f t="shared" si="107"/>
        <v>NO</v>
      </c>
      <c r="R428" t="str">
        <f t="shared" si="108"/>
        <v>NO</v>
      </c>
      <c r="T428" t="s">
        <v>268</v>
      </c>
      <c r="U428" t="str">
        <f t="shared" si="95"/>
        <v>White St</v>
      </c>
      <c r="W428" t="str">
        <f t="shared" si="96"/>
        <v/>
      </c>
      <c r="X428" t="str">
        <f>IF(ISBLANK(S428),"Intersection","Non-Intersection")</f>
        <v>Intersection</v>
      </c>
      <c r="Y428" t="s">
        <v>949</v>
      </c>
      <c r="Z428" t="str">
        <f t="shared" si="97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98"/>
        <v>40179</v>
      </c>
      <c r="D429" s="4">
        <f t="shared" si="99"/>
        <v>0.30684931506849317</v>
      </c>
      <c r="E429" s="3">
        <f t="shared" si="100"/>
        <v>2010</v>
      </c>
      <c r="F429" s="3">
        <f t="shared" si="101"/>
        <v>4</v>
      </c>
      <c r="G429" s="3">
        <f t="shared" si="102"/>
        <v>23</v>
      </c>
      <c r="H429" s="3">
        <f t="shared" si="103"/>
        <v>8</v>
      </c>
      <c r="I429" s="3">
        <f t="shared" si="104"/>
        <v>29</v>
      </c>
      <c r="J429" s="3">
        <f t="shared" si="105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06"/>
        <v>YES</v>
      </c>
      <c r="Q429" t="str">
        <f t="shared" si="107"/>
        <v>NO</v>
      </c>
      <c r="R429" t="str">
        <f t="shared" si="108"/>
        <v>NO</v>
      </c>
      <c r="T429" t="s">
        <v>27</v>
      </c>
      <c r="U429" t="str">
        <f t="shared" si="95"/>
        <v>Western Ave</v>
      </c>
      <c r="V429" t="s">
        <v>178</v>
      </c>
      <c r="W429" t="str">
        <f t="shared" si="96"/>
        <v>Pleasant St</v>
      </c>
      <c r="X429" t="str">
        <f>IF(ISBLANK(S429),"Intersection","Non-Intersection")</f>
        <v>Intersection</v>
      </c>
      <c r="Y429" t="s">
        <v>950</v>
      </c>
      <c r="Z429" t="str">
        <f t="shared" si="97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98"/>
        <v>40179</v>
      </c>
      <c r="D430" s="4">
        <f t="shared" si="99"/>
        <v>0.30684931506849317</v>
      </c>
      <c r="E430" s="3">
        <f t="shared" si="100"/>
        <v>2010</v>
      </c>
      <c r="F430" s="3">
        <f t="shared" si="101"/>
        <v>4</v>
      </c>
      <c r="G430" s="3">
        <f t="shared" si="102"/>
        <v>23</v>
      </c>
      <c r="H430" s="3">
        <f t="shared" si="103"/>
        <v>9</v>
      </c>
      <c r="I430" s="3">
        <f t="shared" si="104"/>
        <v>5</v>
      </c>
      <c r="J430" s="3">
        <f t="shared" si="105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06"/>
        <v>YES</v>
      </c>
      <c r="Q430" t="str">
        <f t="shared" si="107"/>
        <v>NO</v>
      </c>
      <c r="R430" t="str">
        <f t="shared" si="108"/>
        <v>NO</v>
      </c>
      <c r="S430">
        <v>221</v>
      </c>
      <c r="T430" t="s">
        <v>198</v>
      </c>
      <c r="U430" t="str">
        <f t="shared" si="95"/>
        <v>Mount Auburn St</v>
      </c>
      <c r="W430" t="str">
        <f t="shared" si="96"/>
        <v/>
      </c>
      <c r="X430" t="str">
        <f>IF(ISBLANK(S430),"Intersection","Non-Intersection")</f>
        <v>Non-Intersection</v>
      </c>
      <c r="Y430" t="s">
        <v>374</v>
      </c>
      <c r="Z430" t="str">
        <f t="shared" si="97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98"/>
        <v>40179</v>
      </c>
      <c r="D431" s="4">
        <f t="shared" si="99"/>
        <v>0.30684931506849317</v>
      </c>
      <c r="E431" s="3">
        <f t="shared" si="100"/>
        <v>2010</v>
      </c>
      <c r="F431" s="3">
        <f t="shared" si="101"/>
        <v>4</v>
      </c>
      <c r="G431" s="3">
        <f t="shared" si="102"/>
        <v>23</v>
      </c>
      <c r="H431" s="3">
        <f t="shared" si="103"/>
        <v>9</v>
      </c>
      <c r="I431" s="3">
        <f t="shared" si="104"/>
        <v>58</v>
      </c>
      <c r="J431" s="3">
        <f t="shared" si="105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06"/>
        <v>YES</v>
      </c>
      <c r="Q431" t="str">
        <f t="shared" si="107"/>
        <v>NO</v>
      </c>
      <c r="R431" t="str">
        <f t="shared" si="108"/>
        <v>NO</v>
      </c>
      <c r="T431" t="s">
        <v>19</v>
      </c>
      <c r="U431" t="str">
        <f t="shared" si="95"/>
        <v>Cambridge St</v>
      </c>
      <c r="V431" t="s">
        <v>387</v>
      </c>
      <c r="W431" t="str">
        <f t="shared" si="96"/>
        <v>Antrim St</v>
      </c>
      <c r="X431" t="str">
        <f>IF(ISBLANK(S431),"Intersection","Non-Intersection")</f>
        <v>Intersection</v>
      </c>
      <c r="Y431" t="s">
        <v>952</v>
      </c>
      <c r="Z431" t="str">
        <f t="shared" si="97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98"/>
        <v>40179</v>
      </c>
      <c r="D432" s="4">
        <f t="shared" si="99"/>
        <v>0.30684931506849317</v>
      </c>
      <c r="E432" s="3">
        <f t="shared" si="100"/>
        <v>2010</v>
      </c>
      <c r="F432" s="3">
        <f t="shared" si="101"/>
        <v>4</v>
      </c>
      <c r="G432" s="3">
        <f t="shared" si="102"/>
        <v>23</v>
      </c>
      <c r="H432" s="3">
        <f t="shared" si="103"/>
        <v>12</v>
      </c>
      <c r="I432" s="3">
        <f t="shared" si="104"/>
        <v>59</v>
      </c>
      <c r="J432" s="3">
        <f t="shared" si="105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06"/>
        <v>YES</v>
      </c>
      <c r="Q432" t="str">
        <f t="shared" si="107"/>
        <v>NO</v>
      </c>
      <c r="R432" t="str">
        <f t="shared" si="108"/>
        <v>NO</v>
      </c>
      <c r="S432">
        <v>50</v>
      </c>
      <c r="T432" t="s">
        <v>287</v>
      </c>
      <c r="U432" t="str">
        <f t="shared" si="95"/>
        <v>Alpine St</v>
      </c>
      <c r="W432" t="str">
        <f t="shared" si="96"/>
        <v/>
      </c>
      <c r="X432" t="str">
        <f>IF(ISBLANK(S432),"Intersection","Non-Intersection")</f>
        <v>Non-Intersection</v>
      </c>
      <c r="Y432" t="s">
        <v>954</v>
      </c>
      <c r="Z432" t="str">
        <f t="shared" si="97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98"/>
        <v>40179</v>
      </c>
      <c r="D433" s="4">
        <f t="shared" si="99"/>
        <v>0.30684931506849317</v>
      </c>
      <c r="E433" s="3">
        <f t="shared" si="100"/>
        <v>2010</v>
      </c>
      <c r="F433" s="3">
        <f t="shared" si="101"/>
        <v>4</v>
      </c>
      <c r="G433" s="3">
        <f t="shared" si="102"/>
        <v>23</v>
      </c>
      <c r="H433" s="3">
        <f t="shared" si="103"/>
        <v>13</v>
      </c>
      <c r="I433" s="3">
        <f t="shared" si="104"/>
        <v>12</v>
      </c>
      <c r="J433" s="3">
        <f t="shared" si="105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06"/>
        <v>YES</v>
      </c>
      <c r="Q433" t="str">
        <f t="shared" si="107"/>
        <v>NO</v>
      </c>
      <c r="R433" t="str">
        <f t="shared" si="108"/>
        <v>NO</v>
      </c>
      <c r="S433">
        <v>156</v>
      </c>
      <c r="T433" t="s">
        <v>199</v>
      </c>
      <c r="U433" t="str">
        <f t="shared" si="95"/>
        <v>Brattle St</v>
      </c>
      <c r="V433" t="s">
        <v>409</v>
      </c>
      <c r="W433" t="str">
        <f t="shared" si="96"/>
        <v>Appleton St</v>
      </c>
      <c r="X433" t="str">
        <f>IF(ISBLANK(S433),"Intersection","Non-Intersection")</f>
        <v>Non-Intersection</v>
      </c>
      <c r="Y433" t="s">
        <v>956</v>
      </c>
      <c r="Z433" t="str">
        <f t="shared" si="97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98"/>
        <v>40179</v>
      </c>
      <c r="D434" s="4">
        <f t="shared" si="99"/>
        <v>0.30684931506849317</v>
      </c>
      <c r="E434" s="3">
        <f t="shared" si="100"/>
        <v>2010</v>
      </c>
      <c r="F434" s="3">
        <f t="shared" si="101"/>
        <v>4</v>
      </c>
      <c r="G434" s="3">
        <f t="shared" si="102"/>
        <v>23</v>
      </c>
      <c r="H434" s="3">
        <f t="shared" si="103"/>
        <v>15</v>
      </c>
      <c r="I434" s="3">
        <f t="shared" si="104"/>
        <v>40</v>
      </c>
      <c r="J434" s="3">
        <f t="shared" si="105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06"/>
        <v>YES</v>
      </c>
      <c r="Q434" t="str">
        <f t="shared" si="107"/>
        <v>YES</v>
      </c>
      <c r="R434" t="str">
        <f t="shared" si="108"/>
        <v>NO</v>
      </c>
      <c r="T434" t="s">
        <v>14</v>
      </c>
      <c r="U434" t="str">
        <f t="shared" si="95"/>
        <v>Massachusetts Ave</v>
      </c>
      <c r="W434" t="str">
        <f t="shared" si="96"/>
        <v/>
      </c>
      <c r="X434" t="str">
        <f>IF(ISBLANK(S434),"Intersection","Non-Intersection")</f>
        <v>Intersection</v>
      </c>
      <c r="Y434" t="s">
        <v>137</v>
      </c>
      <c r="Z434" t="str">
        <f t="shared" si="97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98"/>
        <v>40179</v>
      </c>
      <c r="D435" s="4">
        <f t="shared" si="99"/>
        <v>0.30684931506849317</v>
      </c>
      <c r="E435" s="3">
        <f t="shared" si="100"/>
        <v>2010</v>
      </c>
      <c r="F435" s="3">
        <f t="shared" si="101"/>
        <v>4</v>
      </c>
      <c r="G435" s="3">
        <f t="shared" si="102"/>
        <v>23</v>
      </c>
      <c r="H435" s="3">
        <f t="shared" si="103"/>
        <v>19</v>
      </c>
      <c r="I435" s="3">
        <f t="shared" si="104"/>
        <v>38</v>
      </c>
      <c r="J435" s="3">
        <f t="shared" si="105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06"/>
        <v>YES</v>
      </c>
      <c r="Q435" t="str">
        <f t="shared" si="107"/>
        <v>YES</v>
      </c>
      <c r="R435" t="str">
        <f t="shared" si="108"/>
        <v>NO</v>
      </c>
      <c r="T435" t="s">
        <v>119</v>
      </c>
      <c r="U435" t="str">
        <f t="shared" si="95"/>
        <v>Albany St</v>
      </c>
      <c r="V435" t="s">
        <v>958</v>
      </c>
      <c r="W435" t="str">
        <f t="shared" si="96"/>
        <v>Pacific St</v>
      </c>
      <c r="X435" t="str">
        <f>IF(ISBLANK(S435),"Intersection","Non-Intersection")</f>
        <v>Intersection</v>
      </c>
      <c r="Y435" t="s">
        <v>959</v>
      </c>
      <c r="Z435" t="str">
        <f t="shared" si="97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98"/>
        <v>40179</v>
      </c>
      <c r="D436" s="4">
        <f t="shared" si="99"/>
        <v>0.30958904109589042</v>
      </c>
      <c r="E436" s="3">
        <f t="shared" si="100"/>
        <v>2010</v>
      </c>
      <c r="F436" s="3">
        <f t="shared" si="101"/>
        <v>4</v>
      </c>
      <c r="G436" s="3">
        <f t="shared" si="102"/>
        <v>24</v>
      </c>
      <c r="H436" s="3">
        <f t="shared" si="103"/>
        <v>10</v>
      </c>
      <c r="I436" s="3">
        <f t="shared" si="104"/>
        <v>50</v>
      </c>
      <c r="J436" s="3">
        <f t="shared" si="105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06"/>
        <v>YES</v>
      </c>
      <c r="Q436" t="str">
        <f t="shared" si="107"/>
        <v>NO</v>
      </c>
      <c r="R436" t="str">
        <f t="shared" si="108"/>
        <v>NO</v>
      </c>
      <c r="S436">
        <v>220</v>
      </c>
      <c r="T436" t="s">
        <v>186</v>
      </c>
      <c r="U436" t="str">
        <f t="shared" si="95"/>
        <v>Concord Ave</v>
      </c>
      <c r="W436" t="str">
        <f t="shared" si="96"/>
        <v/>
      </c>
      <c r="X436" t="str">
        <f>IF(ISBLANK(S436),"Intersection","Non-Intersection")</f>
        <v>Non-Intersection</v>
      </c>
      <c r="Y436" t="s">
        <v>961</v>
      </c>
      <c r="Z436" t="str">
        <f t="shared" si="97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98"/>
        <v>40179</v>
      </c>
      <c r="D437" s="4">
        <f t="shared" si="99"/>
        <v>0.31232876712328766</v>
      </c>
      <c r="E437" s="3">
        <f t="shared" si="100"/>
        <v>2010</v>
      </c>
      <c r="F437" s="3">
        <f t="shared" si="101"/>
        <v>4</v>
      </c>
      <c r="G437" s="3">
        <f t="shared" si="102"/>
        <v>25</v>
      </c>
      <c r="H437" s="3">
        <f t="shared" si="103"/>
        <v>16</v>
      </c>
      <c r="I437" s="3">
        <f t="shared" si="104"/>
        <v>25</v>
      </c>
      <c r="J437" s="3">
        <f t="shared" si="105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06"/>
        <v>YES</v>
      </c>
      <c r="Q437" t="str">
        <f t="shared" si="107"/>
        <v>NO</v>
      </c>
      <c r="R437" t="str">
        <f t="shared" si="108"/>
        <v>NO</v>
      </c>
      <c r="T437" t="s">
        <v>342</v>
      </c>
      <c r="U437" t="str">
        <f t="shared" si="95"/>
        <v>Prospect St</v>
      </c>
      <c r="V437" t="s">
        <v>74</v>
      </c>
      <c r="W437" t="str">
        <f t="shared" si="96"/>
        <v>Hampshire St</v>
      </c>
      <c r="X437" t="str">
        <f>IF(ISBLANK(S437),"Intersection","Non-Intersection")</f>
        <v>Intersection</v>
      </c>
      <c r="Y437" t="s">
        <v>964</v>
      </c>
      <c r="Z437" t="str">
        <f t="shared" si="97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98"/>
        <v>40179</v>
      </c>
      <c r="D438" s="4">
        <f t="shared" si="99"/>
        <v>0.31232876712328766</v>
      </c>
      <c r="E438" s="3">
        <f t="shared" si="100"/>
        <v>2010</v>
      </c>
      <c r="F438" s="3">
        <f t="shared" si="101"/>
        <v>4</v>
      </c>
      <c r="G438" s="3">
        <f t="shared" si="102"/>
        <v>25</v>
      </c>
      <c r="H438" s="3">
        <f t="shared" si="103"/>
        <v>21</v>
      </c>
      <c r="I438" s="3">
        <f t="shared" si="104"/>
        <v>1</v>
      </c>
      <c r="J438" s="3">
        <f t="shared" si="105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06"/>
        <v>YES</v>
      </c>
      <c r="Q438" t="str">
        <f t="shared" si="107"/>
        <v>NO</v>
      </c>
      <c r="R438" t="str">
        <f t="shared" si="108"/>
        <v>NO</v>
      </c>
      <c r="T438" t="s">
        <v>260</v>
      </c>
      <c r="U438" t="str">
        <f t="shared" si="95"/>
        <v>Third St</v>
      </c>
      <c r="V438" t="s">
        <v>146</v>
      </c>
      <c r="W438" t="str">
        <f t="shared" si="96"/>
        <v>Spring St</v>
      </c>
      <c r="X438" t="str">
        <f>IF(ISBLANK(S438),"Intersection","Non-Intersection")</f>
        <v>Intersection</v>
      </c>
      <c r="Y438" t="s">
        <v>544</v>
      </c>
      <c r="Z438" t="str">
        <f t="shared" si="97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98"/>
        <v>40179</v>
      </c>
      <c r="D439" s="4">
        <f t="shared" si="99"/>
        <v>0.31232876712328766</v>
      </c>
      <c r="E439" s="3">
        <f t="shared" si="100"/>
        <v>2010</v>
      </c>
      <c r="F439" s="3">
        <f t="shared" si="101"/>
        <v>4</v>
      </c>
      <c r="G439" s="3">
        <f t="shared" si="102"/>
        <v>25</v>
      </c>
      <c r="H439" s="3">
        <f t="shared" si="103"/>
        <v>2</v>
      </c>
      <c r="I439" s="3">
        <f t="shared" si="104"/>
        <v>4</v>
      </c>
      <c r="J439" s="3">
        <f t="shared" si="105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06"/>
        <v>YES</v>
      </c>
      <c r="Q439" t="str">
        <f t="shared" si="107"/>
        <v>NO</v>
      </c>
      <c r="R439" t="str">
        <f t="shared" si="108"/>
        <v>NO</v>
      </c>
      <c r="T439" t="s">
        <v>119</v>
      </c>
      <c r="U439" t="str">
        <f t="shared" si="95"/>
        <v>Albany St</v>
      </c>
      <c r="V439" t="s">
        <v>444</v>
      </c>
      <c r="W439" t="str">
        <f t="shared" si="96"/>
        <v>Osborn St</v>
      </c>
      <c r="X439" t="str">
        <f>IF(ISBLANK(S439),"Intersection","Non-Intersection")</f>
        <v>Intersection</v>
      </c>
      <c r="Y439" t="s">
        <v>965</v>
      </c>
      <c r="Z439" t="str">
        <f t="shared" si="97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98"/>
        <v>40179</v>
      </c>
      <c r="D440" s="4">
        <f t="shared" si="99"/>
        <v>0.31506849315068491</v>
      </c>
      <c r="E440" s="3">
        <f t="shared" si="100"/>
        <v>2010</v>
      </c>
      <c r="F440" s="3">
        <f t="shared" si="101"/>
        <v>4</v>
      </c>
      <c r="G440" s="3">
        <f t="shared" si="102"/>
        <v>26</v>
      </c>
      <c r="H440" s="3">
        <f t="shared" si="103"/>
        <v>7</v>
      </c>
      <c r="I440" s="3">
        <f t="shared" si="104"/>
        <v>43</v>
      </c>
      <c r="J440" s="3">
        <f t="shared" si="105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06"/>
        <v>YES</v>
      </c>
      <c r="Q440" t="str">
        <f t="shared" si="107"/>
        <v>NO</v>
      </c>
      <c r="R440" t="str">
        <f t="shared" si="108"/>
        <v>NO</v>
      </c>
      <c r="T440" t="s">
        <v>74</v>
      </c>
      <c r="U440" t="str">
        <f t="shared" si="95"/>
        <v>Hampshire St</v>
      </c>
      <c r="V440" t="s">
        <v>942</v>
      </c>
      <c r="W440" t="str">
        <f t="shared" si="96"/>
        <v>Amory St</v>
      </c>
      <c r="X440" t="str">
        <f>IF(ISBLANK(S440),"Intersection","Non-Intersection")</f>
        <v>Intersection</v>
      </c>
      <c r="Y440" t="s">
        <v>967</v>
      </c>
      <c r="Z440" t="str">
        <f t="shared" si="97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98"/>
        <v>40179</v>
      </c>
      <c r="D441" s="4">
        <f t="shared" si="99"/>
        <v>0.31506849315068491</v>
      </c>
      <c r="E441" s="3">
        <f t="shared" si="100"/>
        <v>2010</v>
      </c>
      <c r="F441" s="3">
        <f t="shared" si="101"/>
        <v>4</v>
      </c>
      <c r="G441" s="3">
        <f t="shared" si="102"/>
        <v>26</v>
      </c>
      <c r="H441" s="3">
        <f t="shared" si="103"/>
        <v>14</v>
      </c>
      <c r="I441" s="3">
        <f t="shared" si="104"/>
        <v>15</v>
      </c>
      <c r="J441" s="3">
        <f t="shared" si="105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06"/>
        <v>YES</v>
      </c>
      <c r="Q441" t="str">
        <f t="shared" si="107"/>
        <v>NO</v>
      </c>
      <c r="R441" t="str">
        <f t="shared" si="108"/>
        <v>NO</v>
      </c>
      <c r="T441" t="s">
        <v>14</v>
      </c>
      <c r="U441" t="str">
        <f t="shared" si="95"/>
        <v>Massachusetts Ave</v>
      </c>
      <c r="V441" t="s">
        <v>189</v>
      </c>
      <c r="W441" t="str">
        <f t="shared" si="96"/>
        <v>Windsor St</v>
      </c>
      <c r="X441" t="str">
        <f>IF(ISBLANK(S441),"Intersection","Non-Intersection")</f>
        <v>Intersection</v>
      </c>
      <c r="Y441" t="s">
        <v>595</v>
      </c>
      <c r="Z441" t="str">
        <f t="shared" si="97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98"/>
        <v>40179</v>
      </c>
      <c r="D442" s="4">
        <f t="shared" si="99"/>
        <v>0.31506849315068491</v>
      </c>
      <c r="E442" s="3">
        <f t="shared" si="100"/>
        <v>2010</v>
      </c>
      <c r="F442" s="3">
        <f t="shared" si="101"/>
        <v>4</v>
      </c>
      <c r="G442" s="3">
        <f t="shared" si="102"/>
        <v>26</v>
      </c>
      <c r="H442" s="3">
        <f t="shared" si="103"/>
        <v>10</v>
      </c>
      <c r="I442" s="3">
        <f t="shared" si="104"/>
        <v>15</v>
      </c>
      <c r="J442" s="3">
        <f t="shared" si="105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06"/>
        <v>YES</v>
      </c>
      <c r="Q442" t="str">
        <f t="shared" si="107"/>
        <v>NO</v>
      </c>
      <c r="R442" t="str">
        <f t="shared" si="108"/>
        <v>NO</v>
      </c>
      <c r="T442" t="s">
        <v>19</v>
      </c>
      <c r="U442" t="str">
        <f t="shared" si="95"/>
        <v>Cambridge St</v>
      </c>
      <c r="V442" t="s">
        <v>189</v>
      </c>
      <c r="W442" t="str">
        <f t="shared" si="96"/>
        <v>Windsor St</v>
      </c>
      <c r="X442" t="str">
        <f>IF(ISBLANK(S442),"Intersection","Non-Intersection")</f>
        <v>Intersection</v>
      </c>
      <c r="Y442" t="s">
        <v>244</v>
      </c>
      <c r="Z442" t="str">
        <f t="shared" si="97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98"/>
        <v>40179</v>
      </c>
      <c r="D443" s="4">
        <f t="shared" si="99"/>
        <v>0.31506849315068491</v>
      </c>
      <c r="E443" s="3">
        <f t="shared" si="100"/>
        <v>2010</v>
      </c>
      <c r="F443" s="3">
        <f t="shared" si="101"/>
        <v>4</v>
      </c>
      <c r="G443" s="3">
        <f t="shared" si="102"/>
        <v>26</v>
      </c>
      <c r="H443" s="3">
        <f t="shared" si="103"/>
        <v>22</v>
      </c>
      <c r="I443" s="3">
        <f t="shared" si="104"/>
        <v>54</v>
      </c>
      <c r="J443" s="3">
        <f t="shared" si="105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06"/>
        <v>YES</v>
      </c>
      <c r="Q443" t="str">
        <f t="shared" si="107"/>
        <v>NO</v>
      </c>
      <c r="R443" t="str">
        <f t="shared" si="108"/>
        <v>NO</v>
      </c>
      <c r="T443" t="s">
        <v>41</v>
      </c>
      <c r="U443" t="str">
        <f t="shared" si="95"/>
        <v>River St</v>
      </c>
      <c r="V443" t="s">
        <v>108</v>
      </c>
      <c r="W443" t="str">
        <f t="shared" si="96"/>
        <v>Franklin St</v>
      </c>
      <c r="X443" t="str">
        <f>IF(ISBLANK(S443),"Intersection","Non-Intersection")</f>
        <v>Intersection</v>
      </c>
      <c r="Y443" t="s">
        <v>427</v>
      </c>
      <c r="Z443" t="str">
        <f t="shared" si="97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98"/>
        <v>40179</v>
      </c>
      <c r="D444" s="4">
        <f t="shared" si="99"/>
        <v>0.31506849315068491</v>
      </c>
      <c r="E444" s="3">
        <f t="shared" si="100"/>
        <v>2010</v>
      </c>
      <c r="F444" s="3">
        <f t="shared" si="101"/>
        <v>4</v>
      </c>
      <c r="G444" s="3">
        <f t="shared" si="102"/>
        <v>26</v>
      </c>
      <c r="H444" s="3">
        <f t="shared" si="103"/>
        <v>21</v>
      </c>
      <c r="I444" s="3">
        <f t="shared" si="104"/>
        <v>59</v>
      </c>
      <c r="J444" s="3">
        <f t="shared" si="105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06"/>
        <v>YES</v>
      </c>
      <c r="Q444" t="str">
        <f t="shared" si="107"/>
        <v>NO</v>
      </c>
      <c r="R444" t="str">
        <f t="shared" si="108"/>
        <v>NO</v>
      </c>
      <c r="S444">
        <v>1</v>
      </c>
      <c r="T444" t="s">
        <v>268</v>
      </c>
      <c r="U444" t="str">
        <f t="shared" si="95"/>
        <v>White St</v>
      </c>
      <c r="W444" t="str">
        <f t="shared" si="96"/>
        <v/>
      </c>
      <c r="X444" t="str">
        <f>IF(ISBLANK(S444),"Intersection","Non-Intersection")</f>
        <v>Non-Intersection</v>
      </c>
      <c r="Y444" t="s">
        <v>272</v>
      </c>
      <c r="Z444" t="str">
        <f t="shared" si="97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98"/>
        <v>40179</v>
      </c>
      <c r="D445" s="4">
        <f t="shared" si="99"/>
        <v>0.31780821917808222</v>
      </c>
      <c r="E445" s="3">
        <f t="shared" si="100"/>
        <v>2010</v>
      </c>
      <c r="F445" s="3">
        <f t="shared" si="101"/>
        <v>4</v>
      </c>
      <c r="G445" s="3">
        <f t="shared" si="102"/>
        <v>27</v>
      </c>
      <c r="H445" s="3">
        <f t="shared" si="103"/>
        <v>17</v>
      </c>
      <c r="I445" s="3">
        <f t="shared" si="104"/>
        <v>10</v>
      </c>
      <c r="J445" s="3">
        <f t="shared" si="105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06"/>
        <v>YES</v>
      </c>
      <c r="Q445" t="str">
        <f t="shared" si="107"/>
        <v>NO</v>
      </c>
      <c r="R445" t="str">
        <f t="shared" si="108"/>
        <v>NO</v>
      </c>
      <c r="S445">
        <v>1555</v>
      </c>
      <c r="T445" t="s">
        <v>14</v>
      </c>
      <c r="U445" t="str">
        <f t="shared" si="95"/>
        <v>Massachusetts Ave</v>
      </c>
      <c r="W445" t="str">
        <f t="shared" si="96"/>
        <v/>
      </c>
      <c r="X445" t="str">
        <f>IF(ISBLANK(S445),"Intersection","Non-Intersection")</f>
        <v>Non-Intersection</v>
      </c>
      <c r="Y445" t="s">
        <v>969</v>
      </c>
      <c r="Z445" t="str">
        <f t="shared" si="97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98"/>
        <v>40179</v>
      </c>
      <c r="D446" s="4">
        <f t="shared" si="99"/>
        <v>0.31780821917808222</v>
      </c>
      <c r="E446" s="3">
        <f t="shared" si="100"/>
        <v>2010</v>
      </c>
      <c r="F446" s="3">
        <f t="shared" si="101"/>
        <v>4</v>
      </c>
      <c r="G446" s="3">
        <f t="shared" si="102"/>
        <v>27</v>
      </c>
      <c r="H446" s="3">
        <f t="shared" si="103"/>
        <v>18</v>
      </c>
      <c r="I446" s="3">
        <f t="shared" si="104"/>
        <v>0</v>
      </c>
      <c r="J446" s="3">
        <f t="shared" si="105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06"/>
        <v>YES</v>
      </c>
      <c r="Q446" t="str">
        <f t="shared" si="107"/>
        <v>YES</v>
      </c>
      <c r="R446" t="str">
        <f t="shared" si="108"/>
        <v>NO</v>
      </c>
      <c r="T446" t="s">
        <v>166</v>
      </c>
      <c r="U446" t="str">
        <f t="shared" si="95"/>
        <v>Oxford Ave</v>
      </c>
      <c r="V446" t="s">
        <v>167</v>
      </c>
      <c r="W446" t="str">
        <f t="shared" si="96"/>
        <v>Wendell St</v>
      </c>
      <c r="X446" t="str">
        <f>IF(ISBLANK(S446),"Intersection","Non-Intersection")</f>
        <v>Intersection</v>
      </c>
      <c r="Y446" t="s">
        <v>168</v>
      </c>
      <c r="Z446" t="str">
        <f t="shared" si="97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98"/>
        <v>40179</v>
      </c>
      <c r="D447" s="4">
        <f t="shared" si="99"/>
        <v>0.32054794520547947</v>
      </c>
      <c r="E447" s="3">
        <f t="shared" si="100"/>
        <v>2010</v>
      </c>
      <c r="F447" s="3">
        <f t="shared" si="101"/>
        <v>4</v>
      </c>
      <c r="G447" s="3">
        <f t="shared" si="102"/>
        <v>28</v>
      </c>
      <c r="H447" s="3">
        <f t="shared" si="103"/>
        <v>0</v>
      </c>
      <c r="I447" s="3">
        <f t="shared" si="104"/>
        <v>1</v>
      </c>
      <c r="J447" s="3">
        <f t="shared" si="105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06"/>
        <v>YES</v>
      </c>
      <c r="Q447" t="str">
        <f t="shared" si="107"/>
        <v>NO</v>
      </c>
      <c r="R447" t="str">
        <f t="shared" si="108"/>
        <v>NO</v>
      </c>
      <c r="T447" t="s">
        <v>971</v>
      </c>
      <c r="U447" t="str">
        <f t="shared" si="95"/>
        <v>Ellsworth Ave</v>
      </c>
      <c r="V447" t="s">
        <v>19</v>
      </c>
      <c r="W447" t="str">
        <f t="shared" si="96"/>
        <v>Cambridge St</v>
      </c>
      <c r="X447" t="str">
        <f>IF(ISBLANK(S447),"Intersection","Non-Intersection")</f>
        <v>Intersection</v>
      </c>
      <c r="Y447" t="s">
        <v>972</v>
      </c>
      <c r="Z447" t="str">
        <f t="shared" si="97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98"/>
        <v>40179</v>
      </c>
      <c r="D448" s="4">
        <f t="shared" si="99"/>
        <v>0.32054794520547947</v>
      </c>
      <c r="E448" s="3">
        <f t="shared" si="100"/>
        <v>2010</v>
      </c>
      <c r="F448" s="3">
        <f t="shared" si="101"/>
        <v>4</v>
      </c>
      <c r="G448" s="3">
        <f t="shared" si="102"/>
        <v>28</v>
      </c>
      <c r="H448" s="3">
        <f t="shared" si="103"/>
        <v>8</v>
      </c>
      <c r="I448" s="3">
        <f t="shared" si="104"/>
        <v>0</v>
      </c>
      <c r="J448" s="3">
        <f t="shared" si="105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06"/>
        <v>YES</v>
      </c>
      <c r="Q448" t="str">
        <f t="shared" si="107"/>
        <v>NO</v>
      </c>
      <c r="R448" t="str">
        <f t="shared" si="108"/>
        <v>NO</v>
      </c>
      <c r="T448" t="s">
        <v>105</v>
      </c>
      <c r="U448" t="str">
        <f t="shared" si="95"/>
        <v>Broadway</v>
      </c>
      <c r="W448" t="str">
        <f t="shared" si="96"/>
        <v/>
      </c>
      <c r="X448" t="str">
        <f>IF(ISBLANK(S448),"Intersection","Non-Intersection")</f>
        <v>Intersection</v>
      </c>
      <c r="Y448" t="s">
        <v>974</v>
      </c>
      <c r="Z448" t="str">
        <f t="shared" si="97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98"/>
        <v>40179</v>
      </c>
      <c r="D449" s="4">
        <f t="shared" si="99"/>
        <v>0.32054794520547947</v>
      </c>
      <c r="E449" s="3">
        <f t="shared" si="100"/>
        <v>2010</v>
      </c>
      <c r="F449" s="3">
        <f t="shared" si="101"/>
        <v>4</v>
      </c>
      <c r="G449" s="3">
        <f t="shared" si="102"/>
        <v>28</v>
      </c>
      <c r="H449" s="3">
        <f t="shared" si="103"/>
        <v>10</v>
      </c>
      <c r="I449" s="3">
        <f t="shared" si="104"/>
        <v>30</v>
      </c>
      <c r="J449" s="3">
        <f t="shared" si="105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06"/>
        <v>YES</v>
      </c>
      <c r="Q449" t="str">
        <f t="shared" si="107"/>
        <v>NO</v>
      </c>
      <c r="R449" t="str">
        <f t="shared" si="108"/>
        <v>NO</v>
      </c>
      <c r="S449">
        <v>22</v>
      </c>
      <c r="T449" t="s">
        <v>185</v>
      </c>
      <c r="U449" t="str">
        <f t="shared" si="95"/>
        <v>Garden St</v>
      </c>
      <c r="W449" t="str">
        <f t="shared" si="96"/>
        <v/>
      </c>
      <c r="X449" t="str">
        <f>IF(ISBLANK(S449),"Intersection","Non-Intersection")</f>
        <v>Non-Intersection</v>
      </c>
      <c r="Y449" t="s">
        <v>975</v>
      </c>
      <c r="Z449" t="str">
        <f t="shared" si="97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98"/>
        <v>40179</v>
      </c>
      <c r="D450" s="4">
        <f t="shared" si="99"/>
        <v>0.32054794520547947</v>
      </c>
      <c r="E450" s="3">
        <f t="shared" si="100"/>
        <v>2010</v>
      </c>
      <c r="F450" s="3">
        <f t="shared" si="101"/>
        <v>4</v>
      </c>
      <c r="G450" s="3">
        <f t="shared" si="102"/>
        <v>28</v>
      </c>
      <c r="H450" s="3">
        <f t="shared" si="103"/>
        <v>21</v>
      </c>
      <c r="I450" s="3">
        <f t="shared" si="104"/>
        <v>27</v>
      </c>
      <c r="J450" s="3">
        <f t="shared" si="105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06"/>
        <v>YES</v>
      </c>
      <c r="Q450" t="str">
        <f t="shared" si="107"/>
        <v>NO</v>
      </c>
      <c r="R450" t="str">
        <f t="shared" si="108"/>
        <v>NO</v>
      </c>
      <c r="T450" t="s">
        <v>14</v>
      </c>
      <c r="U450" t="str">
        <f t="shared" si="95"/>
        <v>Massachusetts Ave</v>
      </c>
      <c r="V450" t="s">
        <v>977</v>
      </c>
      <c r="W450" t="str">
        <f t="shared" si="96"/>
        <v>Russell St</v>
      </c>
      <c r="X450" t="str">
        <f>IF(ISBLANK(S450),"Intersection","Non-Intersection")</f>
        <v>Intersection</v>
      </c>
      <c r="Y450" t="s">
        <v>978</v>
      </c>
      <c r="Z450" t="str">
        <f t="shared" si="97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98"/>
        <v>40179</v>
      </c>
      <c r="D451" s="4">
        <f t="shared" si="99"/>
        <v>0.32054794520547947</v>
      </c>
      <c r="E451" s="3">
        <f t="shared" si="100"/>
        <v>2010</v>
      </c>
      <c r="F451" s="3">
        <f t="shared" si="101"/>
        <v>4</v>
      </c>
      <c r="G451" s="3">
        <f t="shared" si="102"/>
        <v>28</v>
      </c>
      <c r="H451" s="3">
        <f t="shared" si="103"/>
        <v>10</v>
      </c>
      <c r="I451" s="3">
        <f t="shared" si="104"/>
        <v>30</v>
      </c>
      <c r="J451" s="3">
        <f t="shared" si="105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06"/>
        <v>NO</v>
      </c>
      <c r="Q451" t="str">
        <f t="shared" si="107"/>
        <v>NO</v>
      </c>
      <c r="R451" t="str">
        <f t="shared" si="108"/>
        <v>NO</v>
      </c>
      <c r="T451" t="s">
        <v>166</v>
      </c>
      <c r="U451" t="str">
        <f t="shared" ref="U451:U514" si="109">TRIM(PROPER(T451))</f>
        <v>Oxford Ave</v>
      </c>
      <c r="V451" t="s">
        <v>57</v>
      </c>
      <c r="W451" t="str">
        <f t="shared" ref="W451:W514" si="110">TRIM(PROPER(V451))</f>
        <v>Everett St</v>
      </c>
      <c r="X451" t="str">
        <f>IF(ISBLANK(S451),"Intersection","Non-Intersection")</f>
        <v>Intersection</v>
      </c>
      <c r="Y451" t="s">
        <v>264</v>
      </c>
      <c r="Z451" t="str">
        <f t="shared" ref="Z451:Z514" si="111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98"/>
        <v>40179</v>
      </c>
      <c r="D452" s="4">
        <f t="shared" si="99"/>
        <v>0.32054794520547947</v>
      </c>
      <c r="E452" s="3">
        <f t="shared" si="100"/>
        <v>2010</v>
      </c>
      <c r="F452" s="3">
        <f t="shared" si="101"/>
        <v>4</v>
      </c>
      <c r="G452" s="3">
        <f t="shared" si="102"/>
        <v>28</v>
      </c>
      <c r="H452" s="3">
        <f t="shared" si="103"/>
        <v>9</v>
      </c>
      <c r="I452" s="3">
        <f t="shared" si="104"/>
        <v>59</v>
      </c>
      <c r="J452" s="3">
        <f t="shared" si="105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06"/>
        <v>YES</v>
      </c>
      <c r="Q452" t="str">
        <f t="shared" si="107"/>
        <v>NO</v>
      </c>
      <c r="R452" t="str">
        <f t="shared" si="108"/>
        <v>NO</v>
      </c>
      <c r="S452">
        <v>244</v>
      </c>
      <c r="T452" t="s">
        <v>980</v>
      </c>
      <c r="U452" t="str">
        <f t="shared" si="109"/>
        <v>Lexington Ave</v>
      </c>
      <c r="W452" t="str">
        <f t="shared" si="110"/>
        <v/>
      </c>
      <c r="X452" t="str">
        <f>IF(ISBLANK(S452),"Intersection","Non-Intersection")</f>
        <v>Non-Intersection</v>
      </c>
      <c r="Y452" t="s">
        <v>981</v>
      </c>
      <c r="Z452" t="str">
        <f t="shared" si="111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98"/>
        <v>40179</v>
      </c>
      <c r="D453" s="4">
        <f t="shared" si="99"/>
        <v>0.32054794520547947</v>
      </c>
      <c r="E453" s="3">
        <f t="shared" si="100"/>
        <v>2010</v>
      </c>
      <c r="F453" s="3">
        <f t="shared" si="101"/>
        <v>4</v>
      </c>
      <c r="G453" s="3">
        <f t="shared" si="102"/>
        <v>28</v>
      </c>
      <c r="H453" s="3">
        <f t="shared" si="103"/>
        <v>18</v>
      </c>
      <c r="I453" s="3">
        <f t="shared" si="104"/>
        <v>40</v>
      </c>
      <c r="J453" s="3">
        <f t="shared" si="105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06"/>
        <v>YES</v>
      </c>
      <c r="Q453" t="str">
        <f t="shared" si="107"/>
        <v>YES</v>
      </c>
      <c r="R453" t="str">
        <f t="shared" si="108"/>
        <v>NO</v>
      </c>
      <c r="T453" t="s">
        <v>74</v>
      </c>
      <c r="U453" t="str">
        <f t="shared" si="109"/>
        <v>Hampshire St</v>
      </c>
      <c r="V453" t="s">
        <v>942</v>
      </c>
      <c r="W453" t="str">
        <f t="shared" si="110"/>
        <v>Amory St</v>
      </c>
      <c r="X453" t="str">
        <f>IF(ISBLANK(S453),"Intersection","Non-Intersection")</f>
        <v>Intersection</v>
      </c>
      <c r="Y453" t="s">
        <v>967</v>
      </c>
      <c r="Z453" t="str">
        <f t="shared" si="111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98"/>
        <v>40179</v>
      </c>
      <c r="D454" s="4">
        <f t="shared" si="99"/>
        <v>0.32328767123287672</v>
      </c>
      <c r="E454" s="3">
        <f t="shared" si="100"/>
        <v>2010</v>
      </c>
      <c r="F454" s="3">
        <f t="shared" si="101"/>
        <v>4</v>
      </c>
      <c r="G454" s="3">
        <f t="shared" si="102"/>
        <v>29</v>
      </c>
      <c r="H454" s="3">
        <f t="shared" si="103"/>
        <v>15</v>
      </c>
      <c r="I454" s="3">
        <f t="shared" si="104"/>
        <v>45</v>
      </c>
      <c r="J454" s="3">
        <f t="shared" si="105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06"/>
        <v>YES</v>
      </c>
      <c r="Q454" t="str">
        <f t="shared" si="107"/>
        <v>NO</v>
      </c>
      <c r="R454" t="str">
        <f t="shared" si="108"/>
        <v>NO</v>
      </c>
      <c r="T454" t="s">
        <v>209</v>
      </c>
      <c r="U454" t="str">
        <f t="shared" si="109"/>
        <v>Binney St</v>
      </c>
      <c r="V454" t="s">
        <v>260</v>
      </c>
      <c r="W454" t="str">
        <f t="shared" si="110"/>
        <v>Third St</v>
      </c>
      <c r="X454" t="str">
        <f>IF(ISBLANK(S454),"Intersection","Non-Intersection")</f>
        <v>Intersection</v>
      </c>
      <c r="Y454" t="s">
        <v>531</v>
      </c>
      <c r="Z454" t="str">
        <f t="shared" si="111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98"/>
        <v>40179</v>
      </c>
      <c r="D455" s="4">
        <f t="shared" si="99"/>
        <v>0.32328767123287672</v>
      </c>
      <c r="E455" s="3">
        <f t="shared" si="100"/>
        <v>2010</v>
      </c>
      <c r="F455" s="3">
        <f t="shared" si="101"/>
        <v>4</v>
      </c>
      <c r="G455" s="3">
        <f t="shared" si="102"/>
        <v>29</v>
      </c>
      <c r="H455" s="3">
        <f t="shared" si="103"/>
        <v>16</v>
      </c>
      <c r="I455" s="3">
        <f t="shared" si="104"/>
        <v>41</v>
      </c>
      <c r="J455" s="3">
        <f t="shared" si="105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06"/>
        <v>YES</v>
      </c>
      <c r="Q455" t="str">
        <f t="shared" si="107"/>
        <v>NO</v>
      </c>
      <c r="R455" t="str">
        <f t="shared" si="108"/>
        <v>NO</v>
      </c>
      <c r="T455" t="s">
        <v>14</v>
      </c>
      <c r="U455" t="str">
        <f t="shared" si="109"/>
        <v>Massachusetts Ave</v>
      </c>
      <c r="V455" t="s">
        <v>195</v>
      </c>
      <c r="W455" t="str">
        <f t="shared" si="110"/>
        <v>Sidney St</v>
      </c>
      <c r="X455" t="str">
        <f>IF(ISBLANK(S455),"Intersection","Non-Intersection")</f>
        <v>Intersection</v>
      </c>
      <c r="Y455" t="s">
        <v>196</v>
      </c>
      <c r="Z455" t="str">
        <f t="shared" si="111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98"/>
        <v>40179</v>
      </c>
      <c r="D456" s="4">
        <f t="shared" si="99"/>
        <v>0.32602739726027397</v>
      </c>
      <c r="E456" s="3">
        <f t="shared" si="100"/>
        <v>2010</v>
      </c>
      <c r="F456" s="3">
        <f t="shared" si="101"/>
        <v>4</v>
      </c>
      <c r="G456" s="3">
        <f t="shared" si="102"/>
        <v>30</v>
      </c>
      <c r="H456" s="3">
        <f t="shared" si="103"/>
        <v>9</v>
      </c>
      <c r="I456" s="3">
        <f t="shared" si="104"/>
        <v>0</v>
      </c>
      <c r="J456" s="3">
        <f t="shared" si="105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06"/>
        <v>YES</v>
      </c>
      <c r="Q456" t="str">
        <f t="shared" si="107"/>
        <v>NO</v>
      </c>
      <c r="R456" t="str">
        <f t="shared" si="108"/>
        <v>NO</v>
      </c>
      <c r="T456" t="s">
        <v>238</v>
      </c>
      <c r="U456" t="str">
        <f t="shared" si="109"/>
        <v>Kirkland St</v>
      </c>
      <c r="V456" t="s">
        <v>805</v>
      </c>
      <c r="W456" t="str">
        <f t="shared" si="110"/>
        <v>Trowbridge St</v>
      </c>
      <c r="X456" t="str">
        <f>IF(ISBLANK(S456),"Intersection","Non-Intersection")</f>
        <v>Intersection</v>
      </c>
      <c r="Y456" t="s">
        <v>983</v>
      </c>
      <c r="Z456" t="str">
        <f t="shared" si="111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98"/>
        <v>40179</v>
      </c>
      <c r="D457" s="4">
        <f t="shared" si="99"/>
        <v>0.32602739726027397</v>
      </c>
      <c r="E457" s="3">
        <f t="shared" si="100"/>
        <v>2010</v>
      </c>
      <c r="F457" s="3">
        <f t="shared" si="101"/>
        <v>4</v>
      </c>
      <c r="G457" s="3">
        <f t="shared" si="102"/>
        <v>30</v>
      </c>
      <c r="H457" s="3">
        <f t="shared" si="103"/>
        <v>15</v>
      </c>
      <c r="I457" s="3">
        <f t="shared" si="104"/>
        <v>0</v>
      </c>
      <c r="J457" s="3">
        <f t="shared" si="105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06"/>
        <v>YES</v>
      </c>
      <c r="Q457" t="str">
        <f t="shared" si="107"/>
        <v>NO</v>
      </c>
      <c r="R457" t="str">
        <f t="shared" si="108"/>
        <v>NO</v>
      </c>
      <c r="S457">
        <v>39</v>
      </c>
      <c r="T457" t="s">
        <v>985</v>
      </c>
      <c r="U457" t="str">
        <f t="shared" si="109"/>
        <v>Plymouth St</v>
      </c>
      <c r="W457" t="str">
        <f t="shared" si="110"/>
        <v/>
      </c>
      <c r="X457" t="str">
        <f>IF(ISBLANK(S457),"Intersection","Non-Intersection")</f>
        <v>Non-Intersection</v>
      </c>
      <c r="Y457" t="s">
        <v>986</v>
      </c>
      <c r="Z457" t="str">
        <f t="shared" si="111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98"/>
        <v>40179</v>
      </c>
      <c r="D458" s="4">
        <f t="shared" si="99"/>
        <v>0.32602739726027397</v>
      </c>
      <c r="E458" s="3">
        <f t="shared" si="100"/>
        <v>2010</v>
      </c>
      <c r="F458" s="3">
        <f t="shared" si="101"/>
        <v>4</v>
      </c>
      <c r="G458" s="3">
        <f t="shared" si="102"/>
        <v>30</v>
      </c>
      <c r="H458" s="3">
        <f t="shared" si="103"/>
        <v>15</v>
      </c>
      <c r="I458" s="3">
        <f t="shared" si="104"/>
        <v>59</v>
      </c>
      <c r="J458" s="3">
        <f t="shared" si="105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06"/>
        <v>YES</v>
      </c>
      <c r="Q458" t="str">
        <f t="shared" si="107"/>
        <v>NO</v>
      </c>
      <c r="R458" t="str">
        <f t="shared" si="108"/>
        <v>NO</v>
      </c>
      <c r="S458">
        <v>2</v>
      </c>
      <c r="T458" t="s">
        <v>988</v>
      </c>
      <c r="U458" t="str">
        <f t="shared" si="109"/>
        <v>Bond St</v>
      </c>
      <c r="W458" t="str">
        <f t="shared" si="110"/>
        <v/>
      </c>
      <c r="X458" t="str">
        <f>IF(ISBLANK(S458),"Intersection","Non-Intersection")</f>
        <v>Non-Intersection</v>
      </c>
      <c r="Y458" t="s">
        <v>989</v>
      </c>
      <c r="Z458" t="str">
        <f t="shared" si="111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98"/>
        <v>40179</v>
      </c>
      <c r="D459" s="4">
        <f t="shared" si="99"/>
        <v>0.32602739726027397</v>
      </c>
      <c r="E459" s="3">
        <f t="shared" si="100"/>
        <v>2010</v>
      </c>
      <c r="F459" s="3">
        <f t="shared" si="101"/>
        <v>4</v>
      </c>
      <c r="G459" s="3">
        <f t="shared" si="102"/>
        <v>30</v>
      </c>
      <c r="H459" s="3">
        <f t="shared" si="103"/>
        <v>17</v>
      </c>
      <c r="I459" s="3">
        <f t="shared" si="104"/>
        <v>3</v>
      </c>
      <c r="J459" s="3">
        <f t="shared" si="105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06"/>
        <v>NO</v>
      </c>
      <c r="Q459" t="str">
        <f t="shared" si="107"/>
        <v>YES</v>
      </c>
      <c r="R459" t="str">
        <f t="shared" si="108"/>
        <v>NO</v>
      </c>
      <c r="S459">
        <v>100</v>
      </c>
      <c r="T459" t="s">
        <v>32</v>
      </c>
      <c r="U459" t="str">
        <f t="shared" si="109"/>
        <v>Main St</v>
      </c>
      <c r="W459" t="str">
        <f t="shared" si="110"/>
        <v/>
      </c>
      <c r="X459" t="str">
        <f>IF(ISBLANK(S459),"Intersection","Non-Intersection")</f>
        <v>Non-Intersection</v>
      </c>
      <c r="Y459" t="s">
        <v>991</v>
      </c>
      <c r="Z459" t="str">
        <f t="shared" si="111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98"/>
        <v>40179</v>
      </c>
      <c r="D460" s="4">
        <f t="shared" si="99"/>
        <v>0.32602739726027397</v>
      </c>
      <c r="E460" s="3">
        <f t="shared" si="100"/>
        <v>2010</v>
      </c>
      <c r="F460" s="3">
        <f t="shared" si="101"/>
        <v>4</v>
      </c>
      <c r="G460" s="3">
        <f t="shared" si="102"/>
        <v>30</v>
      </c>
      <c r="H460" s="3">
        <f t="shared" si="103"/>
        <v>17</v>
      </c>
      <c r="I460" s="3">
        <f t="shared" si="104"/>
        <v>45</v>
      </c>
      <c r="J460" s="3">
        <f t="shared" si="105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06"/>
        <v>YES</v>
      </c>
      <c r="Q460" t="str">
        <f t="shared" si="107"/>
        <v>NO</v>
      </c>
      <c r="R460" t="str">
        <f t="shared" si="108"/>
        <v>NO</v>
      </c>
      <c r="S460">
        <v>35</v>
      </c>
      <c r="T460" t="s">
        <v>268</v>
      </c>
      <c r="U460" t="str">
        <f t="shared" si="109"/>
        <v>White St</v>
      </c>
      <c r="W460" t="str">
        <f t="shared" si="110"/>
        <v/>
      </c>
      <c r="X460" t="str">
        <f>IF(ISBLANK(S460),"Intersection","Non-Intersection")</f>
        <v>Non-Intersection</v>
      </c>
      <c r="Y460" t="s">
        <v>933</v>
      </c>
      <c r="Z460" t="str">
        <f t="shared" si="111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98"/>
        <v>40179</v>
      </c>
      <c r="D461" s="4">
        <f t="shared" si="99"/>
        <v>0.32602739726027397</v>
      </c>
      <c r="E461" s="3">
        <f t="shared" si="100"/>
        <v>2010</v>
      </c>
      <c r="F461" s="3">
        <f t="shared" si="101"/>
        <v>4</v>
      </c>
      <c r="G461" s="3">
        <f t="shared" si="102"/>
        <v>30</v>
      </c>
      <c r="H461" s="3">
        <f t="shared" si="103"/>
        <v>22</v>
      </c>
      <c r="I461" s="3">
        <f t="shared" si="104"/>
        <v>30</v>
      </c>
      <c r="J461" s="3">
        <f t="shared" si="105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06"/>
        <v>YES</v>
      </c>
      <c r="Q461" t="str">
        <f t="shared" si="107"/>
        <v>NO</v>
      </c>
      <c r="R461" t="str">
        <f t="shared" si="108"/>
        <v>NO</v>
      </c>
      <c r="S461">
        <v>105</v>
      </c>
      <c r="T461" t="s">
        <v>993</v>
      </c>
      <c r="U461" t="str">
        <f t="shared" si="109"/>
        <v>Fifth St</v>
      </c>
      <c r="W461" t="str">
        <f t="shared" si="110"/>
        <v/>
      </c>
      <c r="X461" t="str">
        <f>IF(ISBLANK(S461),"Intersection","Non-Intersection")</f>
        <v>Non-Intersection</v>
      </c>
      <c r="Y461" t="s">
        <v>994</v>
      </c>
      <c r="Z461" t="str">
        <f t="shared" si="111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98"/>
        <v>40179</v>
      </c>
      <c r="D462" s="4">
        <f t="shared" si="99"/>
        <v>0.32602739726027397</v>
      </c>
      <c r="E462" s="3">
        <f t="shared" si="100"/>
        <v>2010</v>
      </c>
      <c r="F462" s="3">
        <f t="shared" si="101"/>
        <v>4</v>
      </c>
      <c r="G462" s="3">
        <f t="shared" si="102"/>
        <v>30</v>
      </c>
      <c r="H462" s="3">
        <f t="shared" si="103"/>
        <v>13</v>
      </c>
      <c r="I462" s="3">
        <f t="shared" si="104"/>
        <v>25</v>
      </c>
      <c r="J462" s="3">
        <f t="shared" si="105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06"/>
        <v>YES</v>
      </c>
      <c r="Q462" t="str">
        <f t="shared" si="107"/>
        <v>NO</v>
      </c>
      <c r="R462" t="str">
        <f t="shared" si="108"/>
        <v>NO</v>
      </c>
      <c r="S462">
        <v>159</v>
      </c>
      <c r="T462" t="s">
        <v>199</v>
      </c>
      <c r="U462" t="str">
        <f t="shared" si="109"/>
        <v>Brattle St</v>
      </c>
      <c r="W462" t="str">
        <f t="shared" si="110"/>
        <v/>
      </c>
      <c r="X462" t="str">
        <f>IF(ISBLANK(S462),"Intersection","Non-Intersection")</f>
        <v>Non-Intersection</v>
      </c>
      <c r="Y462" t="s">
        <v>996</v>
      </c>
      <c r="Z462" t="str">
        <f t="shared" si="111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98"/>
        <v>40179</v>
      </c>
      <c r="D463" s="4">
        <f t="shared" si="99"/>
        <v>0.32876712328767121</v>
      </c>
      <c r="E463" s="3">
        <f t="shared" si="100"/>
        <v>2010</v>
      </c>
      <c r="F463" s="3">
        <f t="shared" si="101"/>
        <v>5</v>
      </c>
      <c r="G463" s="3">
        <f t="shared" si="102"/>
        <v>1</v>
      </c>
      <c r="H463" s="3">
        <f t="shared" si="103"/>
        <v>1</v>
      </c>
      <c r="I463" s="3">
        <f t="shared" si="104"/>
        <v>25</v>
      </c>
      <c r="J463" s="3">
        <f t="shared" si="105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06"/>
        <v>YES</v>
      </c>
      <c r="Q463" t="str">
        <f t="shared" si="107"/>
        <v>NO</v>
      </c>
      <c r="R463" t="str">
        <f t="shared" si="108"/>
        <v>NO</v>
      </c>
      <c r="S463">
        <v>485</v>
      </c>
      <c r="T463" t="s">
        <v>14</v>
      </c>
      <c r="U463" t="str">
        <f t="shared" si="109"/>
        <v>Massachusetts Ave</v>
      </c>
      <c r="W463" t="str">
        <f t="shared" si="110"/>
        <v/>
      </c>
      <c r="X463" t="str">
        <f>IF(ISBLANK(S463),"Intersection","Non-Intersection")</f>
        <v>Non-Intersection</v>
      </c>
      <c r="Y463" t="s">
        <v>998</v>
      </c>
      <c r="Z463" t="str">
        <f t="shared" si="111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98"/>
        <v>40179</v>
      </c>
      <c r="D464" s="4">
        <f t="shared" si="99"/>
        <v>0.32876712328767121</v>
      </c>
      <c r="E464" s="3">
        <f t="shared" si="100"/>
        <v>2010</v>
      </c>
      <c r="F464" s="3">
        <f t="shared" si="101"/>
        <v>5</v>
      </c>
      <c r="G464" s="3">
        <f t="shared" si="102"/>
        <v>1</v>
      </c>
      <c r="H464" s="3">
        <f t="shared" si="103"/>
        <v>12</v>
      </c>
      <c r="I464" s="3">
        <f t="shared" si="104"/>
        <v>49</v>
      </c>
      <c r="J464" s="3">
        <f t="shared" si="105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06"/>
        <v>YES</v>
      </c>
      <c r="Q464" t="str">
        <f t="shared" si="107"/>
        <v>NO</v>
      </c>
      <c r="R464" t="str">
        <f t="shared" si="108"/>
        <v>NO</v>
      </c>
      <c r="T464" t="s">
        <v>119</v>
      </c>
      <c r="U464" t="str">
        <f t="shared" si="109"/>
        <v>Albany St</v>
      </c>
      <c r="V464" t="s">
        <v>14</v>
      </c>
      <c r="W464" t="str">
        <f t="shared" si="110"/>
        <v>Massachusetts Ave</v>
      </c>
      <c r="X464" t="str">
        <f>IF(ISBLANK(S464),"Intersection","Non-Intersection")</f>
        <v>Intersection</v>
      </c>
      <c r="Y464" t="s">
        <v>1000</v>
      </c>
      <c r="Z464" t="str">
        <f t="shared" si="111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98"/>
        <v>40179</v>
      </c>
      <c r="D465" s="4">
        <f t="shared" si="99"/>
        <v>0.32876712328767121</v>
      </c>
      <c r="E465" s="3">
        <f t="shared" si="100"/>
        <v>2010</v>
      </c>
      <c r="F465" s="3">
        <f t="shared" si="101"/>
        <v>5</v>
      </c>
      <c r="G465" s="3">
        <f t="shared" si="102"/>
        <v>1</v>
      </c>
      <c r="H465" s="3">
        <f t="shared" si="103"/>
        <v>17</v>
      </c>
      <c r="I465" s="3">
        <f t="shared" si="104"/>
        <v>25</v>
      </c>
      <c r="J465" s="3">
        <f t="shared" si="105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06"/>
        <v>YES</v>
      </c>
      <c r="Q465" t="str">
        <f t="shared" si="107"/>
        <v>NO</v>
      </c>
      <c r="R465" t="str">
        <f t="shared" si="108"/>
        <v>NO</v>
      </c>
      <c r="T465" t="s">
        <v>14</v>
      </c>
      <c r="U465" t="str">
        <f t="shared" si="109"/>
        <v>Massachusetts Ave</v>
      </c>
      <c r="V465" t="s">
        <v>105</v>
      </c>
      <c r="W465" t="str">
        <f t="shared" si="110"/>
        <v>Broadway</v>
      </c>
      <c r="X465" t="str">
        <f>IF(ISBLANK(S465),"Intersection","Non-Intersection")</f>
        <v>Intersection</v>
      </c>
      <c r="Y465" t="s">
        <v>1001</v>
      </c>
      <c r="Z465" t="str">
        <f t="shared" si="111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98"/>
        <v>40179</v>
      </c>
      <c r="D466" s="4">
        <f t="shared" si="99"/>
        <v>0.32876712328767121</v>
      </c>
      <c r="E466" s="3">
        <f t="shared" si="100"/>
        <v>2010</v>
      </c>
      <c r="F466" s="3">
        <f t="shared" si="101"/>
        <v>5</v>
      </c>
      <c r="G466" s="3">
        <f t="shared" si="102"/>
        <v>1</v>
      </c>
      <c r="H466" s="3">
        <f t="shared" si="103"/>
        <v>16</v>
      </c>
      <c r="I466" s="3">
        <f t="shared" si="104"/>
        <v>19</v>
      </c>
      <c r="J466" s="3">
        <f t="shared" si="105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06"/>
        <v>YES</v>
      </c>
      <c r="Q466" t="str">
        <f t="shared" si="107"/>
        <v>NO</v>
      </c>
      <c r="R466" t="str">
        <f t="shared" si="108"/>
        <v>NO</v>
      </c>
      <c r="T466" t="s">
        <v>19</v>
      </c>
      <c r="U466" t="str">
        <f t="shared" si="109"/>
        <v>Cambridge St</v>
      </c>
      <c r="V466" t="s">
        <v>431</v>
      </c>
      <c r="W466" t="str">
        <f t="shared" si="110"/>
        <v>Hovey Ave</v>
      </c>
      <c r="X466" t="str">
        <f>IF(ISBLANK(S466),"Intersection","Non-Intersection")</f>
        <v>Intersection</v>
      </c>
      <c r="Y466" t="s">
        <v>432</v>
      </c>
      <c r="Z466" t="str">
        <f t="shared" si="111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98"/>
        <v>40179</v>
      </c>
      <c r="D467" s="4">
        <f t="shared" si="99"/>
        <v>0.32876712328767121</v>
      </c>
      <c r="E467" s="3">
        <f t="shared" si="100"/>
        <v>2010</v>
      </c>
      <c r="F467" s="3">
        <f t="shared" si="101"/>
        <v>5</v>
      </c>
      <c r="G467" s="3">
        <f t="shared" si="102"/>
        <v>1</v>
      </c>
      <c r="H467" s="3">
        <f t="shared" si="103"/>
        <v>18</v>
      </c>
      <c r="I467" s="3">
        <f t="shared" si="104"/>
        <v>8</v>
      </c>
      <c r="J467" s="3">
        <f t="shared" si="105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06"/>
        <v>YES</v>
      </c>
      <c r="Q467" t="str">
        <f t="shared" si="107"/>
        <v>NO</v>
      </c>
      <c r="R467" t="str">
        <f t="shared" si="108"/>
        <v>NO</v>
      </c>
      <c r="T467" t="s">
        <v>185</v>
      </c>
      <c r="U467" t="str">
        <f t="shared" si="109"/>
        <v>Garden St</v>
      </c>
      <c r="V467" t="s">
        <v>14</v>
      </c>
      <c r="W467" t="str">
        <f t="shared" si="110"/>
        <v>Massachusetts Ave</v>
      </c>
      <c r="X467" t="str">
        <f>IF(ISBLANK(S467),"Intersection","Non-Intersection")</f>
        <v>Intersection</v>
      </c>
      <c r="Y467" t="s">
        <v>1003</v>
      </c>
      <c r="Z467" t="str">
        <f t="shared" si="111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98"/>
        <v>40179</v>
      </c>
      <c r="D468" s="4">
        <f t="shared" si="99"/>
        <v>0.32876712328767121</v>
      </c>
      <c r="E468" s="3">
        <f t="shared" si="100"/>
        <v>2010</v>
      </c>
      <c r="F468" s="3">
        <f t="shared" si="101"/>
        <v>5</v>
      </c>
      <c r="G468" s="3">
        <f t="shared" si="102"/>
        <v>1</v>
      </c>
      <c r="H468" s="3">
        <f t="shared" si="103"/>
        <v>23</v>
      </c>
      <c r="I468" s="3">
        <f t="shared" si="104"/>
        <v>29</v>
      </c>
      <c r="J468" s="3">
        <f t="shared" si="105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06"/>
        <v>YES</v>
      </c>
      <c r="Q468" t="str">
        <f t="shared" si="107"/>
        <v>NO</v>
      </c>
      <c r="R468" t="str">
        <f t="shared" si="108"/>
        <v>NO</v>
      </c>
      <c r="S468">
        <v>2406</v>
      </c>
      <c r="T468" t="s">
        <v>14</v>
      </c>
      <c r="U468" t="str">
        <f t="shared" si="109"/>
        <v>Massachusetts Ave</v>
      </c>
      <c r="W468" t="str">
        <f t="shared" si="110"/>
        <v/>
      </c>
      <c r="X468" t="str">
        <f>IF(ISBLANK(S468),"Intersection","Non-Intersection")</f>
        <v>Non-Intersection</v>
      </c>
      <c r="Y468" t="s">
        <v>1005</v>
      </c>
      <c r="Z468" t="str">
        <f t="shared" si="111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98"/>
        <v>40179</v>
      </c>
      <c r="D469" s="4">
        <f t="shared" si="99"/>
        <v>0.32876712328767121</v>
      </c>
      <c r="E469" s="3">
        <f t="shared" si="100"/>
        <v>2010</v>
      </c>
      <c r="F469" s="3">
        <f t="shared" si="101"/>
        <v>5</v>
      </c>
      <c r="G469" s="3">
        <f t="shared" si="102"/>
        <v>1</v>
      </c>
      <c r="H469" s="3">
        <f t="shared" si="103"/>
        <v>21</v>
      </c>
      <c r="I469" s="3">
        <f t="shared" si="104"/>
        <v>59</v>
      </c>
      <c r="J469" s="3">
        <f t="shared" si="105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06"/>
        <v>YES</v>
      </c>
      <c r="Q469" t="str">
        <f t="shared" si="107"/>
        <v>NO</v>
      </c>
      <c r="R469" t="str">
        <f t="shared" si="108"/>
        <v>NO</v>
      </c>
      <c r="T469" t="s">
        <v>1006</v>
      </c>
      <c r="U469" t="str">
        <f t="shared" si="109"/>
        <v>Irving St</v>
      </c>
      <c r="W469" t="str">
        <f t="shared" si="110"/>
        <v/>
      </c>
      <c r="X469" t="str">
        <f>IF(ISBLANK(S469),"Intersection","Non-Intersection")</f>
        <v>Intersection</v>
      </c>
      <c r="Y469" t="s">
        <v>1007</v>
      </c>
      <c r="Z469" t="str">
        <f t="shared" si="111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98"/>
        <v>40179</v>
      </c>
      <c r="D470" s="4">
        <f t="shared" si="99"/>
        <v>0.33424657534246577</v>
      </c>
      <c r="E470" s="3">
        <f t="shared" si="100"/>
        <v>2010</v>
      </c>
      <c r="F470" s="3">
        <f t="shared" si="101"/>
        <v>5</v>
      </c>
      <c r="G470" s="3">
        <f t="shared" si="102"/>
        <v>3</v>
      </c>
      <c r="H470" s="3">
        <f t="shared" si="103"/>
        <v>15</v>
      </c>
      <c r="I470" s="3">
        <f t="shared" si="104"/>
        <v>11</v>
      </c>
      <c r="J470" s="3">
        <f t="shared" si="105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06"/>
        <v>YES</v>
      </c>
      <c r="Q470" t="str">
        <f t="shared" si="107"/>
        <v>NO</v>
      </c>
      <c r="R470" t="str">
        <f t="shared" si="108"/>
        <v>NO</v>
      </c>
      <c r="T470" t="s">
        <v>178</v>
      </c>
      <c r="U470" t="str">
        <f t="shared" si="109"/>
        <v>Pleasant St</v>
      </c>
      <c r="V470" t="s">
        <v>509</v>
      </c>
      <c r="W470" t="str">
        <f t="shared" si="110"/>
        <v>Green St</v>
      </c>
      <c r="X470" t="str">
        <f>IF(ISBLANK(S470),"Intersection","Non-Intersection")</f>
        <v>Intersection</v>
      </c>
      <c r="Y470" t="s">
        <v>1008</v>
      </c>
      <c r="Z470" t="str">
        <f t="shared" si="111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98"/>
        <v>40179</v>
      </c>
      <c r="D471" s="4">
        <f t="shared" si="99"/>
        <v>0.33424657534246577</v>
      </c>
      <c r="E471" s="3">
        <f t="shared" si="100"/>
        <v>2010</v>
      </c>
      <c r="F471" s="3">
        <f t="shared" si="101"/>
        <v>5</v>
      </c>
      <c r="G471" s="3">
        <f t="shared" si="102"/>
        <v>3</v>
      </c>
      <c r="H471" s="3">
        <f t="shared" si="103"/>
        <v>16</v>
      </c>
      <c r="I471" s="3">
        <f t="shared" si="104"/>
        <v>30</v>
      </c>
      <c r="J471" s="3">
        <f t="shared" si="105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06"/>
        <v>YES</v>
      </c>
      <c r="Q471" t="str">
        <f t="shared" si="107"/>
        <v>NO</v>
      </c>
      <c r="R471" t="str">
        <f t="shared" si="108"/>
        <v>NO</v>
      </c>
      <c r="T471" t="s">
        <v>199</v>
      </c>
      <c r="U471" t="str">
        <f t="shared" si="109"/>
        <v>Brattle St</v>
      </c>
      <c r="W471" t="str">
        <f t="shared" si="110"/>
        <v/>
      </c>
      <c r="X471" t="str">
        <f>IF(ISBLANK(S471),"Intersection","Non-Intersection")</f>
        <v>Intersection</v>
      </c>
      <c r="Y471" t="s">
        <v>1010</v>
      </c>
      <c r="Z471" t="str">
        <f t="shared" si="111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98"/>
        <v>40179</v>
      </c>
      <c r="D472" s="4">
        <f t="shared" si="99"/>
        <v>0.33698630136986302</v>
      </c>
      <c r="E472" s="3">
        <f t="shared" si="100"/>
        <v>2010</v>
      </c>
      <c r="F472" s="3">
        <f t="shared" si="101"/>
        <v>5</v>
      </c>
      <c r="G472" s="3">
        <f t="shared" si="102"/>
        <v>4</v>
      </c>
      <c r="H472" s="3">
        <f t="shared" si="103"/>
        <v>8</v>
      </c>
      <c r="I472" s="3">
        <f t="shared" si="104"/>
        <v>0</v>
      </c>
      <c r="J472" s="3">
        <f t="shared" si="105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06"/>
        <v>YES</v>
      </c>
      <c r="Q472" t="str">
        <f t="shared" si="107"/>
        <v>NO</v>
      </c>
      <c r="R472" t="str">
        <f t="shared" si="108"/>
        <v>NO</v>
      </c>
      <c r="T472" t="s">
        <v>14</v>
      </c>
      <c r="U472" t="str">
        <f t="shared" si="109"/>
        <v>Massachusetts Ave</v>
      </c>
      <c r="V472" t="s">
        <v>101</v>
      </c>
      <c r="W472" t="str">
        <f t="shared" si="110"/>
        <v>Columbia St</v>
      </c>
      <c r="X472" t="str">
        <f>IF(ISBLANK(S472),"Intersection","Non-Intersection")</f>
        <v>Intersection</v>
      </c>
      <c r="Y472" t="s">
        <v>1011</v>
      </c>
      <c r="Z472" t="str">
        <f t="shared" si="111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98"/>
        <v>40179</v>
      </c>
      <c r="D473" s="4">
        <f t="shared" si="99"/>
        <v>0.33698630136986302</v>
      </c>
      <c r="E473" s="3">
        <f t="shared" si="100"/>
        <v>2010</v>
      </c>
      <c r="F473" s="3">
        <f t="shared" si="101"/>
        <v>5</v>
      </c>
      <c r="G473" s="3">
        <f t="shared" si="102"/>
        <v>4</v>
      </c>
      <c r="H473" s="3">
        <f t="shared" si="103"/>
        <v>9</v>
      </c>
      <c r="I473" s="3">
        <f t="shared" si="104"/>
        <v>30</v>
      </c>
      <c r="J473" s="3">
        <f t="shared" si="105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06"/>
        <v>YES</v>
      </c>
      <c r="Q473" t="str">
        <f t="shared" si="107"/>
        <v>NO</v>
      </c>
      <c r="R473" t="str">
        <f t="shared" si="108"/>
        <v>NO</v>
      </c>
      <c r="T473" t="s">
        <v>186</v>
      </c>
      <c r="U473" t="str">
        <f t="shared" si="109"/>
        <v>Concord Ave</v>
      </c>
      <c r="V473" t="s">
        <v>1013</v>
      </c>
      <c r="W473" t="str">
        <f t="shared" si="110"/>
        <v>Blanchard Rd</v>
      </c>
      <c r="X473" t="str">
        <f>IF(ISBLANK(S473),"Intersection","Non-Intersection")</f>
        <v>Intersection</v>
      </c>
      <c r="Y473" t="s">
        <v>1014</v>
      </c>
      <c r="Z473" t="str">
        <f t="shared" si="111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98"/>
        <v>40179</v>
      </c>
      <c r="D474" s="4">
        <f t="shared" si="99"/>
        <v>0.33698630136986302</v>
      </c>
      <c r="E474" s="3">
        <f t="shared" si="100"/>
        <v>2010</v>
      </c>
      <c r="F474" s="3">
        <f t="shared" si="101"/>
        <v>5</v>
      </c>
      <c r="G474" s="3">
        <f t="shared" si="102"/>
        <v>4</v>
      </c>
      <c r="H474" s="3">
        <f t="shared" si="103"/>
        <v>13</v>
      </c>
      <c r="I474" s="3">
        <f t="shared" si="104"/>
        <v>30</v>
      </c>
      <c r="J474" s="3">
        <f t="shared" si="105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06"/>
        <v>YES</v>
      </c>
      <c r="Q474" t="str">
        <f t="shared" si="107"/>
        <v>NO</v>
      </c>
      <c r="R474" t="str">
        <f t="shared" si="108"/>
        <v>NO</v>
      </c>
      <c r="S474">
        <v>5</v>
      </c>
      <c r="T474" t="s">
        <v>1016</v>
      </c>
      <c r="U474" t="str">
        <f t="shared" si="109"/>
        <v>Maple Ave</v>
      </c>
      <c r="W474" t="str">
        <f t="shared" si="110"/>
        <v/>
      </c>
      <c r="X474" t="str">
        <f>IF(ISBLANK(S474),"Intersection","Non-Intersection")</f>
        <v>Non-Intersection</v>
      </c>
      <c r="Y474" t="s">
        <v>1017</v>
      </c>
      <c r="Z474" t="str">
        <f t="shared" si="111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98"/>
        <v>40179</v>
      </c>
      <c r="D475" s="4">
        <f t="shared" si="99"/>
        <v>0.33972602739726027</v>
      </c>
      <c r="E475" s="3">
        <f t="shared" si="100"/>
        <v>2010</v>
      </c>
      <c r="F475" s="3">
        <f t="shared" si="101"/>
        <v>5</v>
      </c>
      <c r="G475" s="3">
        <f t="shared" si="102"/>
        <v>5</v>
      </c>
      <c r="H475" s="3">
        <f t="shared" si="103"/>
        <v>20</v>
      </c>
      <c r="I475" s="3">
        <f t="shared" si="104"/>
        <v>0</v>
      </c>
      <c r="J475" s="3">
        <f t="shared" si="105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06"/>
        <v>YES</v>
      </c>
      <c r="Q475" t="str">
        <f t="shared" si="107"/>
        <v>NO</v>
      </c>
      <c r="R475" t="str">
        <f t="shared" si="108"/>
        <v>NO</v>
      </c>
      <c r="T475" t="s">
        <v>509</v>
      </c>
      <c r="U475" t="str">
        <f t="shared" si="109"/>
        <v>Green St</v>
      </c>
      <c r="V475" t="s">
        <v>1019</v>
      </c>
      <c r="W475" t="str">
        <f t="shared" si="110"/>
        <v>Sellers St</v>
      </c>
      <c r="X475" t="str">
        <f>IF(ISBLANK(S475),"Intersection","Non-Intersection")</f>
        <v>Intersection</v>
      </c>
      <c r="Y475" t="s">
        <v>1020</v>
      </c>
      <c r="Z475" t="str">
        <f t="shared" si="111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98"/>
        <v>40179</v>
      </c>
      <c r="D476" s="4">
        <f t="shared" si="99"/>
        <v>0.33972602739726027</v>
      </c>
      <c r="E476" s="3">
        <f t="shared" si="100"/>
        <v>2010</v>
      </c>
      <c r="F476" s="3">
        <f t="shared" si="101"/>
        <v>5</v>
      </c>
      <c r="G476" s="3">
        <f t="shared" si="102"/>
        <v>5</v>
      </c>
      <c r="H476" s="3">
        <f t="shared" si="103"/>
        <v>23</v>
      </c>
      <c r="I476" s="3">
        <f t="shared" si="104"/>
        <v>33</v>
      </c>
      <c r="J476" s="3">
        <f t="shared" si="105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06"/>
        <v>YES</v>
      </c>
      <c r="Q476" t="str">
        <f t="shared" si="107"/>
        <v>YES</v>
      </c>
      <c r="R476" t="str">
        <f t="shared" si="108"/>
        <v>NO</v>
      </c>
      <c r="T476" t="s">
        <v>27</v>
      </c>
      <c r="U476" t="str">
        <f t="shared" si="109"/>
        <v>Western Ave</v>
      </c>
      <c r="V476" t="s">
        <v>42</v>
      </c>
      <c r="W476" t="str">
        <f t="shared" si="110"/>
        <v>Putnam Ave</v>
      </c>
      <c r="X476" t="str">
        <f>IF(ISBLANK(S476),"Intersection","Non-Intersection")</f>
        <v>Intersection</v>
      </c>
      <c r="Y476" t="s">
        <v>1022</v>
      </c>
      <c r="Z476" t="str">
        <f t="shared" si="111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98"/>
        <v>40179</v>
      </c>
      <c r="D477" s="4">
        <f t="shared" si="99"/>
        <v>0.33972602739726027</v>
      </c>
      <c r="E477" s="3">
        <f t="shared" si="100"/>
        <v>2010</v>
      </c>
      <c r="F477" s="3">
        <f t="shared" si="101"/>
        <v>5</v>
      </c>
      <c r="G477" s="3">
        <f t="shared" si="102"/>
        <v>5</v>
      </c>
      <c r="H477" s="3">
        <f t="shared" si="103"/>
        <v>6</v>
      </c>
      <c r="I477" s="3">
        <f t="shared" si="104"/>
        <v>11</v>
      </c>
      <c r="J477" s="3">
        <f t="shared" si="105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06"/>
        <v>YES</v>
      </c>
      <c r="Q477" t="str">
        <f t="shared" si="107"/>
        <v>NO</v>
      </c>
      <c r="R477" t="str">
        <f t="shared" si="108"/>
        <v>NO</v>
      </c>
      <c r="T477" t="s">
        <v>14</v>
      </c>
      <c r="U477" t="str">
        <f t="shared" si="109"/>
        <v>Massachusetts Ave</v>
      </c>
      <c r="V477" t="s">
        <v>195</v>
      </c>
      <c r="W477" t="str">
        <f t="shared" si="110"/>
        <v>Sidney St</v>
      </c>
      <c r="X477" t="str">
        <f>IF(ISBLANK(S477),"Intersection","Non-Intersection")</f>
        <v>Intersection</v>
      </c>
      <c r="Y477" t="s">
        <v>196</v>
      </c>
      <c r="Z477" t="str">
        <f t="shared" si="111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98"/>
        <v>40179</v>
      </c>
      <c r="D478" s="4">
        <f t="shared" si="99"/>
        <v>0.34246575342465752</v>
      </c>
      <c r="E478" s="3">
        <f t="shared" si="100"/>
        <v>2010</v>
      </c>
      <c r="F478" s="3">
        <f t="shared" si="101"/>
        <v>5</v>
      </c>
      <c r="G478" s="3">
        <f t="shared" si="102"/>
        <v>6</v>
      </c>
      <c r="H478" s="3">
        <f t="shared" si="103"/>
        <v>9</v>
      </c>
      <c r="I478" s="3">
        <f t="shared" si="104"/>
        <v>24</v>
      </c>
      <c r="J478" s="3">
        <f t="shared" si="105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06"/>
        <v>YES</v>
      </c>
      <c r="Q478" t="str">
        <f t="shared" si="107"/>
        <v>NO</v>
      </c>
      <c r="R478" t="str">
        <f t="shared" si="108"/>
        <v>NO</v>
      </c>
      <c r="T478" t="s">
        <v>832</v>
      </c>
      <c r="U478" t="str">
        <f t="shared" si="109"/>
        <v>Fairmont Ave</v>
      </c>
      <c r="V478" t="s">
        <v>1025</v>
      </c>
      <c r="W478" t="str">
        <f t="shared" si="110"/>
        <v>Andrew St</v>
      </c>
      <c r="X478" t="str">
        <f>IF(ISBLANK(S478),"Intersection","Non-Intersection")</f>
        <v>Intersection</v>
      </c>
      <c r="Y478" t="s">
        <v>1026</v>
      </c>
      <c r="Z478" t="str">
        <f t="shared" si="111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98"/>
        <v>40179</v>
      </c>
      <c r="D479" s="4">
        <f t="shared" si="99"/>
        <v>0.34246575342465752</v>
      </c>
      <c r="E479" s="3">
        <f t="shared" si="100"/>
        <v>2010</v>
      </c>
      <c r="F479" s="3">
        <f t="shared" si="101"/>
        <v>5</v>
      </c>
      <c r="G479" s="3">
        <f t="shared" si="102"/>
        <v>6</v>
      </c>
      <c r="H479" s="3">
        <f t="shared" si="103"/>
        <v>10</v>
      </c>
      <c r="I479" s="3">
        <f t="shared" si="104"/>
        <v>21</v>
      </c>
      <c r="J479" s="3">
        <f t="shared" si="105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06"/>
        <v>YES</v>
      </c>
      <c r="Q479" t="str">
        <f t="shared" si="107"/>
        <v>YES</v>
      </c>
      <c r="R479" t="str">
        <f t="shared" si="108"/>
        <v>NO</v>
      </c>
      <c r="S479">
        <v>675</v>
      </c>
      <c r="T479" t="s">
        <v>14</v>
      </c>
      <c r="U479" t="str">
        <f t="shared" si="109"/>
        <v>Massachusetts Ave</v>
      </c>
      <c r="W479" t="str">
        <f t="shared" si="110"/>
        <v/>
      </c>
      <c r="X479" t="str">
        <f>IF(ISBLANK(S479),"Intersection","Non-Intersection")</f>
        <v>Non-Intersection</v>
      </c>
      <c r="Y479" t="s">
        <v>1028</v>
      </c>
      <c r="Z479" t="str">
        <f t="shared" si="111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98"/>
        <v>40179</v>
      </c>
      <c r="D480" s="4">
        <f t="shared" si="99"/>
        <v>0.34246575342465752</v>
      </c>
      <c r="E480" s="3">
        <f t="shared" si="100"/>
        <v>2010</v>
      </c>
      <c r="F480" s="3">
        <f t="shared" si="101"/>
        <v>5</v>
      </c>
      <c r="G480" s="3">
        <f t="shared" si="102"/>
        <v>6</v>
      </c>
      <c r="H480" s="3">
        <f t="shared" si="103"/>
        <v>11</v>
      </c>
      <c r="I480" s="3">
        <f t="shared" si="104"/>
        <v>35</v>
      </c>
      <c r="J480" s="3">
        <f t="shared" si="105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06"/>
        <v>YES</v>
      </c>
      <c r="Q480" t="str">
        <f t="shared" si="107"/>
        <v>NO</v>
      </c>
      <c r="R480" t="str">
        <f t="shared" si="108"/>
        <v>NO</v>
      </c>
      <c r="S480">
        <v>119</v>
      </c>
      <c r="T480" t="s">
        <v>189</v>
      </c>
      <c r="U480" t="str">
        <f t="shared" si="109"/>
        <v>Windsor St</v>
      </c>
      <c r="W480" t="str">
        <f t="shared" si="110"/>
        <v/>
      </c>
      <c r="X480" t="str">
        <f>IF(ISBLANK(S480),"Intersection","Non-Intersection")</f>
        <v>Non-Intersection</v>
      </c>
      <c r="Y480" t="s">
        <v>1030</v>
      </c>
      <c r="Z480" t="str">
        <f t="shared" si="111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98"/>
        <v>40179</v>
      </c>
      <c r="D481" s="4">
        <f t="shared" si="99"/>
        <v>0.34246575342465752</v>
      </c>
      <c r="E481" s="3">
        <f t="shared" si="100"/>
        <v>2010</v>
      </c>
      <c r="F481" s="3">
        <f t="shared" si="101"/>
        <v>5</v>
      </c>
      <c r="G481" s="3">
        <f t="shared" si="102"/>
        <v>6</v>
      </c>
      <c r="H481" s="3">
        <f t="shared" si="103"/>
        <v>15</v>
      </c>
      <c r="I481" s="3">
        <f t="shared" si="104"/>
        <v>10</v>
      </c>
      <c r="J481" s="3">
        <f t="shared" si="105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06"/>
        <v>YES</v>
      </c>
      <c r="Q481" t="str">
        <f t="shared" si="107"/>
        <v>NO</v>
      </c>
      <c r="R481" t="str">
        <f t="shared" si="108"/>
        <v>NO</v>
      </c>
      <c r="T481" t="s">
        <v>14</v>
      </c>
      <c r="U481" t="str">
        <f t="shared" si="109"/>
        <v>Massachusetts Ave</v>
      </c>
      <c r="V481" t="s">
        <v>1032</v>
      </c>
      <c r="W481" t="str">
        <f t="shared" si="110"/>
        <v>Meacham Rd</v>
      </c>
      <c r="X481" t="str">
        <f>IF(ISBLANK(S481),"Intersection","Non-Intersection")</f>
        <v>Intersection</v>
      </c>
      <c r="Y481" t="s">
        <v>1033</v>
      </c>
      <c r="Z481" t="str">
        <f t="shared" si="111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98"/>
        <v>40179</v>
      </c>
      <c r="D482" s="4">
        <f t="shared" si="99"/>
        <v>0.34246575342465752</v>
      </c>
      <c r="E482" s="3">
        <f t="shared" si="100"/>
        <v>2010</v>
      </c>
      <c r="F482" s="3">
        <f t="shared" si="101"/>
        <v>5</v>
      </c>
      <c r="G482" s="3">
        <f t="shared" si="102"/>
        <v>6</v>
      </c>
      <c r="H482" s="3">
        <f t="shared" si="103"/>
        <v>15</v>
      </c>
      <c r="I482" s="3">
        <f t="shared" si="104"/>
        <v>40</v>
      </c>
      <c r="J482" s="3">
        <f t="shared" si="105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06"/>
        <v>YES</v>
      </c>
      <c r="Q482" t="str">
        <f t="shared" si="107"/>
        <v>YES</v>
      </c>
      <c r="R482" t="str">
        <f t="shared" si="108"/>
        <v>NO</v>
      </c>
      <c r="S482">
        <v>931</v>
      </c>
      <c r="T482" t="s">
        <v>14</v>
      </c>
      <c r="U482" t="str">
        <f t="shared" si="109"/>
        <v>Massachusetts Ave</v>
      </c>
      <c r="W482" t="str">
        <f t="shared" si="110"/>
        <v/>
      </c>
      <c r="X482" t="str">
        <f>IF(ISBLANK(S482),"Intersection","Non-Intersection")</f>
        <v>Non-Intersection</v>
      </c>
      <c r="Y482" t="s">
        <v>1035</v>
      </c>
      <c r="Z482" t="str">
        <f t="shared" si="111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98"/>
        <v>40179</v>
      </c>
      <c r="D483" s="4">
        <f t="shared" si="99"/>
        <v>0.34246575342465752</v>
      </c>
      <c r="E483" s="3">
        <f t="shared" si="100"/>
        <v>2010</v>
      </c>
      <c r="F483" s="3">
        <f t="shared" si="101"/>
        <v>5</v>
      </c>
      <c r="G483" s="3">
        <f t="shared" si="102"/>
        <v>6</v>
      </c>
      <c r="H483" s="3">
        <f t="shared" si="103"/>
        <v>18</v>
      </c>
      <c r="I483" s="3">
        <f t="shared" si="104"/>
        <v>49</v>
      </c>
      <c r="J483" s="3">
        <f t="shared" si="105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06"/>
        <v>YES</v>
      </c>
      <c r="Q483" t="str">
        <f t="shared" si="107"/>
        <v>NO</v>
      </c>
      <c r="R483" t="str">
        <f t="shared" si="108"/>
        <v>YES</v>
      </c>
      <c r="T483" t="s">
        <v>134</v>
      </c>
      <c r="U483" t="str">
        <f t="shared" si="109"/>
        <v>Quincy St</v>
      </c>
      <c r="V483" t="s">
        <v>166</v>
      </c>
      <c r="W483" t="str">
        <f t="shared" si="110"/>
        <v>Oxford Ave</v>
      </c>
      <c r="X483" t="str">
        <f>IF(ISBLANK(S483),"Intersection","Non-Intersection")</f>
        <v>Intersection</v>
      </c>
      <c r="Y483" t="s">
        <v>1037</v>
      </c>
      <c r="Z483" t="str">
        <f t="shared" si="111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98"/>
        <v>40179</v>
      </c>
      <c r="D484" s="4">
        <f t="shared" si="99"/>
        <v>0.34246575342465752</v>
      </c>
      <c r="E484" s="3">
        <f t="shared" si="100"/>
        <v>2010</v>
      </c>
      <c r="F484" s="3">
        <f t="shared" si="101"/>
        <v>5</v>
      </c>
      <c r="G484" s="3">
        <f t="shared" si="102"/>
        <v>6</v>
      </c>
      <c r="H484" s="3">
        <f t="shared" si="103"/>
        <v>21</v>
      </c>
      <c r="I484" s="3">
        <f t="shared" si="104"/>
        <v>59</v>
      </c>
      <c r="J484" s="3">
        <f t="shared" si="105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06"/>
        <v>YES</v>
      </c>
      <c r="Q484" t="str">
        <f t="shared" si="107"/>
        <v>NO</v>
      </c>
      <c r="R484" t="str">
        <f t="shared" si="108"/>
        <v>NO</v>
      </c>
      <c r="S484">
        <v>140</v>
      </c>
      <c r="T484" t="s">
        <v>155</v>
      </c>
      <c r="U484" t="str">
        <f t="shared" si="109"/>
        <v>Richdale Ave</v>
      </c>
      <c r="W484" t="str">
        <f t="shared" si="110"/>
        <v/>
      </c>
      <c r="X484" t="str">
        <f>IF(ISBLANK(S484),"Intersection","Non-Intersection")</f>
        <v>Non-Intersection</v>
      </c>
      <c r="Y484" t="s">
        <v>1038</v>
      </c>
      <c r="Z484" t="str">
        <f t="shared" si="111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98"/>
        <v>40179</v>
      </c>
      <c r="D485" s="4">
        <f t="shared" si="99"/>
        <v>0.34520547945205482</v>
      </c>
      <c r="E485" s="3">
        <f t="shared" si="100"/>
        <v>2010</v>
      </c>
      <c r="F485" s="3">
        <f t="shared" si="101"/>
        <v>5</v>
      </c>
      <c r="G485" s="3">
        <f t="shared" si="102"/>
        <v>7</v>
      </c>
      <c r="H485" s="3">
        <f t="shared" si="103"/>
        <v>8</v>
      </c>
      <c r="I485" s="3">
        <f t="shared" si="104"/>
        <v>0</v>
      </c>
      <c r="J485" s="3">
        <f t="shared" si="105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06"/>
        <v>YES</v>
      </c>
      <c r="Q485" t="str">
        <f t="shared" si="107"/>
        <v>YES</v>
      </c>
      <c r="R485" t="str">
        <f t="shared" si="108"/>
        <v>NO</v>
      </c>
      <c r="T485" t="s">
        <v>19</v>
      </c>
      <c r="U485" t="str">
        <f t="shared" si="109"/>
        <v>Cambridge St</v>
      </c>
      <c r="V485" t="s">
        <v>61</v>
      </c>
      <c r="W485" t="str">
        <f t="shared" si="110"/>
        <v>First St</v>
      </c>
      <c r="X485" t="str">
        <f>IF(ISBLANK(S485),"Intersection","Non-Intersection")</f>
        <v>Intersection</v>
      </c>
      <c r="Y485" t="s">
        <v>494</v>
      </c>
      <c r="Z485" t="str">
        <f t="shared" si="111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98"/>
        <v>40179</v>
      </c>
      <c r="D486" s="4">
        <f t="shared" si="99"/>
        <v>0.34520547945205482</v>
      </c>
      <c r="E486" s="3">
        <f t="shared" si="100"/>
        <v>2010</v>
      </c>
      <c r="F486" s="3">
        <f t="shared" si="101"/>
        <v>5</v>
      </c>
      <c r="G486" s="3">
        <f t="shared" si="102"/>
        <v>7</v>
      </c>
      <c r="H486" s="3">
        <f t="shared" si="103"/>
        <v>8</v>
      </c>
      <c r="I486" s="3">
        <f t="shared" si="104"/>
        <v>39</v>
      </c>
      <c r="J486" s="3">
        <f t="shared" si="105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06"/>
        <v>YES</v>
      </c>
      <c r="Q486" t="str">
        <f t="shared" si="107"/>
        <v>NO</v>
      </c>
      <c r="R486" t="str">
        <f t="shared" si="108"/>
        <v>NO</v>
      </c>
      <c r="T486" t="s">
        <v>332</v>
      </c>
      <c r="U486" t="str">
        <f t="shared" si="109"/>
        <v>Allston St</v>
      </c>
      <c r="V486" t="s">
        <v>453</v>
      </c>
      <c r="W486" t="str">
        <f t="shared" si="110"/>
        <v>Brookline St</v>
      </c>
      <c r="X486" t="str">
        <f>IF(ISBLANK(S486),"Intersection","Non-Intersection")</f>
        <v>Intersection</v>
      </c>
      <c r="Y486" t="s">
        <v>1040</v>
      </c>
      <c r="Z486" t="str">
        <f t="shared" si="111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12">EOMONTH(B487,MONTH(B487)*-1)+1</f>
        <v>40179</v>
      </c>
      <c r="D487" s="4">
        <f t="shared" ref="D487:D550" si="113">YEARFRAC(C487,B487,1)</f>
        <v>0.34520547945205482</v>
      </c>
      <c r="E487" s="3">
        <f t="shared" ref="E487:E550" si="114">YEAR(B487)</f>
        <v>2010</v>
      </c>
      <c r="F487" s="3">
        <f t="shared" ref="F487:F550" si="115">MONTH(B487)</f>
        <v>5</v>
      </c>
      <c r="G487" s="3">
        <f t="shared" ref="G487:G550" si="116">DAY(B487)</f>
        <v>7</v>
      </c>
      <c r="H487" s="3">
        <f t="shared" ref="H487:H550" si="117">HOUR(B487)</f>
        <v>14</v>
      </c>
      <c r="I487" s="3">
        <f t="shared" ref="I487:I550" si="118">MINUTE(B487)</f>
        <v>28</v>
      </c>
      <c r="J487" s="3">
        <f t="shared" ref="J487:J550" si="119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0">IF(OR(N487="Auto",O487="Auto"),"YES",IF(OR(N487="Taxi",O487="Taxi"),"YES",IF(OR(N487="Van",O487="Van"),"YES",IF(OR(N487="Truck",O487="Truck"),"YES","NO"))))</f>
        <v>YES</v>
      </c>
      <c r="Q487" t="str">
        <f t="shared" ref="Q487:Q550" si="121">IF(OR(N487="Bicycle",O487="Bicycle"),"YES","NO")</f>
        <v>NO</v>
      </c>
      <c r="R487" t="str">
        <f t="shared" ref="R487:R550" si="122">IF(OR(N487="Pedestrian",O487="Pedestrian"),"YES","NO")</f>
        <v>NO</v>
      </c>
      <c r="S487">
        <v>147</v>
      </c>
      <c r="T487" t="s">
        <v>74</v>
      </c>
      <c r="U487" t="str">
        <f t="shared" si="109"/>
        <v>Hampshire St</v>
      </c>
      <c r="W487" t="str">
        <f t="shared" si="110"/>
        <v/>
      </c>
      <c r="X487" t="str">
        <f>IF(ISBLANK(S487),"Intersection","Non-Intersection")</f>
        <v>Non-Intersection</v>
      </c>
      <c r="Y487" t="s">
        <v>1042</v>
      </c>
      <c r="Z487" t="str">
        <f t="shared" si="111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12"/>
        <v>40179</v>
      </c>
      <c r="D488" s="4">
        <f t="shared" si="113"/>
        <v>0.34520547945205482</v>
      </c>
      <c r="E488" s="3">
        <f t="shared" si="114"/>
        <v>2010</v>
      </c>
      <c r="F488" s="3">
        <f t="shared" si="115"/>
        <v>5</v>
      </c>
      <c r="G488" s="3">
        <f t="shared" si="116"/>
        <v>7</v>
      </c>
      <c r="H488" s="3">
        <f t="shared" si="117"/>
        <v>18</v>
      </c>
      <c r="I488" s="3">
        <f t="shared" si="118"/>
        <v>30</v>
      </c>
      <c r="J488" s="3">
        <f t="shared" si="119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0"/>
        <v>NO</v>
      </c>
      <c r="Q488" t="str">
        <f t="shared" si="121"/>
        <v>YES</v>
      </c>
      <c r="R488" t="str">
        <f t="shared" si="122"/>
        <v>NO</v>
      </c>
      <c r="T488" t="s">
        <v>19</v>
      </c>
      <c r="U488" t="str">
        <f t="shared" si="109"/>
        <v>Cambridge St</v>
      </c>
      <c r="V488" t="s">
        <v>1044</v>
      </c>
      <c r="W488" t="str">
        <f t="shared" si="110"/>
        <v>Oak St</v>
      </c>
      <c r="X488" t="str">
        <f>IF(ISBLANK(S488),"Intersection","Non-Intersection")</f>
        <v>Intersection</v>
      </c>
      <c r="Y488" t="s">
        <v>1045</v>
      </c>
      <c r="Z488" t="str">
        <f t="shared" si="111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12"/>
        <v>40179</v>
      </c>
      <c r="D489" s="4">
        <f t="shared" si="113"/>
        <v>0.34520547945205482</v>
      </c>
      <c r="E489" s="3">
        <f t="shared" si="114"/>
        <v>2010</v>
      </c>
      <c r="F489" s="3">
        <f t="shared" si="115"/>
        <v>5</v>
      </c>
      <c r="G489" s="3">
        <f t="shared" si="116"/>
        <v>7</v>
      </c>
      <c r="H489" s="3">
        <f t="shared" si="117"/>
        <v>10</v>
      </c>
      <c r="I489" s="3">
        <f t="shared" si="118"/>
        <v>9</v>
      </c>
      <c r="J489" s="3">
        <f t="shared" si="119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0"/>
        <v>YES</v>
      </c>
      <c r="Q489" t="str">
        <f t="shared" si="121"/>
        <v>NO</v>
      </c>
      <c r="R489" t="str">
        <f t="shared" si="122"/>
        <v>NO</v>
      </c>
      <c r="S489">
        <v>213</v>
      </c>
      <c r="T489" t="s">
        <v>186</v>
      </c>
      <c r="U489" t="str">
        <f t="shared" si="109"/>
        <v>Concord Ave</v>
      </c>
      <c r="W489" t="str">
        <f t="shared" si="110"/>
        <v/>
      </c>
      <c r="X489" t="str">
        <f>IF(ISBLANK(S489),"Intersection","Non-Intersection")</f>
        <v>Non-Intersection</v>
      </c>
      <c r="Y489" t="s">
        <v>1047</v>
      </c>
      <c r="Z489" t="str">
        <f t="shared" si="111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12"/>
        <v>40179</v>
      </c>
      <c r="D490" s="4">
        <f t="shared" si="113"/>
        <v>0.34520547945205482</v>
      </c>
      <c r="E490" s="3">
        <f t="shared" si="114"/>
        <v>2010</v>
      </c>
      <c r="F490" s="3">
        <f t="shared" si="115"/>
        <v>5</v>
      </c>
      <c r="G490" s="3">
        <f t="shared" si="116"/>
        <v>7</v>
      </c>
      <c r="H490" s="3">
        <f t="shared" si="117"/>
        <v>11</v>
      </c>
      <c r="I490" s="3">
        <f t="shared" si="118"/>
        <v>29</v>
      </c>
      <c r="J490" s="3">
        <f t="shared" si="119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0"/>
        <v>YES</v>
      </c>
      <c r="Q490" t="str">
        <f t="shared" si="121"/>
        <v>NO</v>
      </c>
      <c r="R490" t="str">
        <f t="shared" si="122"/>
        <v>NO</v>
      </c>
      <c r="S490">
        <v>1600</v>
      </c>
      <c r="T490" t="s">
        <v>19</v>
      </c>
      <c r="U490" t="str">
        <f t="shared" si="109"/>
        <v>Cambridge St</v>
      </c>
      <c r="W490" t="str">
        <f t="shared" si="110"/>
        <v/>
      </c>
      <c r="X490" t="str">
        <f>IF(ISBLANK(S490),"Intersection","Non-Intersection")</f>
        <v>Non-Intersection</v>
      </c>
      <c r="Y490" t="s">
        <v>1049</v>
      </c>
      <c r="Z490" t="str">
        <f t="shared" si="111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12"/>
        <v>40179</v>
      </c>
      <c r="D491" s="4">
        <f t="shared" si="113"/>
        <v>0.34520547945205482</v>
      </c>
      <c r="E491" s="3">
        <f t="shared" si="114"/>
        <v>2010</v>
      </c>
      <c r="F491" s="3">
        <f t="shared" si="115"/>
        <v>5</v>
      </c>
      <c r="G491" s="3">
        <f t="shared" si="116"/>
        <v>7</v>
      </c>
      <c r="H491" s="3">
        <f t="shared" si="117"/>
        <v>14</v>
      </c>
      <c r="I491" s="3">
        <f t="shared" si="118"/>
        <v>20</v>
      </c>
      <c r="J491" s="3">
        <f t="shared" si="119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0"/>
        <v>YES</v>
      </c>
      <c r="Q491" t="str">
        <f t="shared" si="121"/>
        <v>NO</v>
      </c>
      <c r="R491" t="str">
        <f t="shared" si="122"/>
        <v>NO</v>
      </c>
      <c r="S491">
        <v>285</v>
      </c>
      <c r="T491" t="s">
        <v>70</v>
      </c>
      <c r="U491" t="str">
        <f t="shared" si="109"/>
        <v>Pearl St</v>
      </c>
      <c r="W491" t="str">
        <f t="shared" si="110"/>
        <v/>
      </c>
      <c r="X491" t="str">
        <f>IF(ISBLANK(S491),"Intersection","Non-Intersection")</f>
        <v>Non-Intersection</v>
      </c>
      <c r="Y491" t="s">
        <v>1051</v>
      </c>
      <c r="Z491" t="str">
        <f t="shared" si="111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12"/>
        <v>40179</v>
      </c>
      <c r="D492" s="4">
        <f t="shared" si="113"/>
        <v>0.34794520547945207</v>
      </c>
      <c r="E492" s="3">
        <f t="shared" si="114"/>
        <v>2010</v>
      </c>
      <c r="F492" s="3">
        <f t="shared" si="115"/>
        <v>5</v>
      </c>
      <c r="G492" s="3">
        <f t="shared" si="116"/>
        <v>8</v>
      </c>
      <c r="H492" s="3">
        <f t="shared" si="117"/>
        <v>19</v>
      </c>
      <c r="I492" s="3">
        <f t="shared" si="118"/>
        <v>15</v>
      </c>
      <c r="J492" s="3">
        <f t="shared" si="119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0"/>
        <v>YES</v>
      </c>
      <c r="Q492" t="str">
        <f t="shared" si="121"/>
        <v>NO</v>
      </c>
      <c r="R492" t="str">
        <f t="shared" si="122"/>
        <v>YES</v>
      </c>
      <c r="T492" t="s">
        <v>74</v>
      </c>
      <c r="U492" t="str">
        <f t="shared" si="109"/>
        <v>Hampshire St</v>
      </c>
      <c r="V492" t="s">
        <v>1053</v>
      </c>
      <c r="W492" t="str">
        <f t="shared" si="110"/>
        <v>Clark St</v>
      </c>
      <c r="X492" t="str">
        <f>IF(ISBLANK(S492),"Intersection","Non-Intersection")</f>
        <v>Intersection</v>
      </c>
      <c r="Y492" t="s">
        <v>1054</v>
      </c>
      <c r="Z492" t="str">
        <f t="shared" si="111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12"/>
        <v>40179</v>
      </c>
      <c r="D493" s="4">
        <f t="shared" si="113"/>
        <v>0.34794520547945207</v>
      </c>
      <c r="E493" s="3">
        <f t="shared" si="114"/>
        <v>2010</v>
      </c>
      <c r="F493" s="3">
        <f t="shared" si="115"/>
        <v>5</v>
      </c>
      <c r="G493" s="3">
        <f t="shared" si="116"/>
        <v>8</v>
      </c>
      <c r="H493" s="3">
        <f t="shared" si="117"/>
        <v>13</v>
      </c>
      <c r="I493" s="3">
        <f t="shared" si="118"/>
        <v>15</v>
      </c>
      <c r="J493" s="3">
        <f t="shared" si="119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0"/>
        <v>YES</v>
      </c>
      <c r="Q493" t="str">
        <f t="shared" si="121"/>
        <v>NO</v>
      </c>
      <c r="R493" t="str">
        <f t="shared" si="122"/>
        <v>YES</v>
      </c>
      <c r="T493" t="s">
        <v>19</v>
      </c>
      <c r="U493" t="str">
        <f t="shared" si="109"/>
        <v>Cambridge St</v>
      </c>
      <c r="V493" t="s">
        <v>396</v>
      </c>
      <c r="W493" t="str">
        <f t="shared" si="110"/>
        <v>Prescott St</v>
      </c>
      <c r="X493" t="str">
        <f>IF(ISBLANK(S493),"Intersection","Non-Intersection")</f>
        <v>Intersection</v>
      </c>
      <c r="Y493" t="s">
        <v>1056</v>
      </c>
      <c r="Z493" t="str">
        <f t="shared" si="111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12"/>
        <v>40179</v>
      </c>
      <c r="D494" s="4">
        <f t="shared" si="113"/>
        <v>0.34794520547945207</v>
      </c>
      <c r="E494" s="3">
        <f t="shared" si="114"/>
        <v>2010</v>
      </c>
      <c r="F494" s="3">
        <f t="shared" si="115"/>
        <v>5</v>
      </c>
      <c r="G494" s="3">
        <f t="shared" si="116"/>
        <v>8</v>
      </c>
      <c r="H494" s="3">
        <f t="shared" si="117"/>
        <v>20</v>
      </c>
      <c r="I494" s="3">
        <f t="shared" si="118"/>
        <v>49</v>
      </c>
      <c r="J494" s="3">
        <f t="shared" si="119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0"/>
        <v>YES</v>
      </c>
      <c r="Q494" t="str">
        <f t="shared" si="121"/>
        <v>NO</v>
      </c>
      <c r="R494" t="str">
        <f t="shared" si="122"/>
        <v>NO</v>
      </c>
      <c r="T494" t="s">
        <v>14</v>
      </c>
      <c r="U494" t="str">
        <f t="shared" si="109"/>
        <v>Massachusetts Ave</v>
      </c>
      <c r="V494" t="s">
        <v>202</v>
      </c>
      <c r="W494" t="str">
        <f t="shared" si="110"/>
        <v>Vassar St</v>
      </c>
      <c r="X494" t="str">
        <f>IF(ISBLANK(S494),"Intersection","Non-Intersection")</f>
        <v>Intersection</v>
      </c>
      <c r="Y494" t="s">
        <v>361</v>
      </c>
      <c r="Z494" t="str">
        <f t="shared" si="111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12"/>
        <v>40179</v>
      </c>
      <c r="D495" s="4">
        <f t="shared" si="113"/>
        <v>0.34794520547945207</v>
      </c>
      <c r="E495" s="3">
        <f t="shared" si="114"/>
        <v>2010</v>
      </c>
      <c r="F495" s="3">
        <f t="shared" si="115"/>
        <v>5</v>
      </c>
      <c r="G495" s="3">
        <f t="shared" si="116"/>
        <v>8</v>
      </c>
      <c r="H495" s="3">
        <f t="shared" si="117"/>
        <v>21</v>
      </c>
      <c r="I495" s="3">
        <f t="shared" si="118"/>
        <v>23</v>
      </c>
      <c r="J495" s="3">
        <f t="shared" si="119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0"/>
        <v>YES</v>
      </c>
      <c r="Q495" t="str">
        <f t="shared" si="121"/>
        <v>NO</v>
      </c>
      <c r="R495" t="str">
        <f t="shared" si="122"/>
        <v>NO</v>
      </c>
      <c r="S495">
        <v>20</v>
      </c>
      <c r="T495" t="s">
        <v>15</v>
      </c>
      <c r="U495" t="str">
        <f t="shared" si="109"/>
        <v>Rindge Ave</v>
      </c>
      <c r="W495" t="str">
        <f t="shared" si="110"/>
        <v/>
      </c>
      <c r="X495" t="str">
        <f>IF(ISBLANK(S495),"Intersection","Non-Intersection")</f>
        <v>Non-Intersection</v>
      </c>
      <c r="Y495" t="s">
        <v>1058</v>
      </c>
      <c r="Z495" t="str">
        <f t="shared" si="111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12"/>
        <v>40179</v>
      </c>
      <c r="D496" s="4">
        <f t="shared" si="113"/>
        <v>0.35068493150684932</v>
      </c>
      <c r="E496" s="3">
        <f t="shared" si="114"/>
        <v>2010</v>
      </c>
      <c r="F496" s="3">
        <f t="shared" si="115"/>
        <v>5</v>
      </c>
      <c r="G496" s="3">
        <f t="shared" si="116"/>
        <v>9</v>
      </c>
      <c r="H496" s="3">
        <f t="shared" si="117"/>
        <v>17</v>
      </c>
      <c r="I496" s="3">
        <f t="shared" si="118"/>
        <v>42</v>
      </c>
      <c r="J496" s="3">
        <f t="shared" si="119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0"/>
        <v>YES</v>
      </c>
      <c r="Q496" t="str">
        <f t="shared" si="121"/>
        <v>NO</v>
      </c>
      <c r="R496" t="str">
        <f t="shared" si="122"/>
        <v>NO</v>
      </c>
      <c r="S496">
        <v>1305</v>
      </c>
      <c r="T496" t="s">
        <v>19</v>
      </c>
      <c r="U496" t="str">
        <f t="shared" si="109"/>
        <v>Cambridge St</v>
      </c>
      <c r="W496" t="str">
        <f t="shared" si="110"/>
        <v/>
      </c>
      <c r="X496" t="str">
        <f>IF(ISBLANK(S496),"Intersection","Non-Intersection")</f>
        <v>Non-Intersection</v>
      </c>
      <c r="Y496" t="s">
        <v>1060</v>
      </c>
      <c r="Z496" t="str">
        <f t="shared" si="111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12"/>
        <v>40179</v>
      </c>
      <c r="D497" s="4">
        <f t="shared" si="113"/>
        <v>0.35068493150684932</v>
      </c>
      <c r="E497" s="3">
        <f t="shared" si="114"/>
        <v>2010</v>
      </c>
      <c r="F497" s="3">
        <f t="shared" si="115"/>
        <v>5</v>
      </c>
      <c r="G497" s="3">
        <f t="shared" si="116"/>
        <v>9</v>
      </c>
      <c r="H497" s="3">
        <f t="shared" si="117"/>
        <v>15</v>
      </c>
      <c r="I497" s="3">
        <f t="shared" si="118"/>
        <v>30</v>
      </c>
      <c r="J497" s="3">
        <f t="shared" si="119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0"/>
        <v>YES</v>
      </c>
      <c r="Q497" t="str">
        <f t="shared" si="121"/>
        <v>NO</v>
      </c>
      <c r="R497" t="str">
        <f t="shared" si="122"/>
        <v>NO</v>
      </c>
      <c r="S497">
        <v>1</v>
      </c>
      <c r="T497" t="s">
        <v>1062</v>
      </c>
      <c r="U497" t="str">
        <f t="shared" si="109"/>
        <v>Cambridgeside Pl</v>
      </c>
      <c r="W497" t="str">
        <f t="shared" si="110"/>
        <v/>
      </c>
      <c r="X497" t="str">
        <f>IF(ISBLANK(S497),"Intersection","Non-Intersection")</f>
        <v>Non-Intersection</v>
      </c>
      <c r="Y497" t="s">
        <v>1063</v>
      </c>
      <c r="Z497" t="str">
        <f t="shared" si="111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12"/>
        <v>40179</v>
      </c>
      <c r="D498" s="4">
        <f t="shared" si="113"/>
        <v>0.35342465753424657</v>
      </c>
      <c r="E498" s="3">
        <f t="shared" si="114"/>
        <v>2010</v>
      </c>
      <c r="F498" s="3">
        <f t="shared" si="115"/>
        <v>5</v>
      </c>
      <c r="G498" s="3">
        <f t="shared" si="116"/>
        <v>10</v>
      </c>
      <c r="H498" s="3">
        <f t="shared" si="117"/>
        <v>0</v>
      </c>
      <c r="I498" s="3">
        <f t="shared" si="118"/>
        <v>53</v>
      </c>
      <c r="J498" s="3">
        <f t="shared" si="119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0"/>
        <v>YES</v>
      </c>
      <c r="Q498" t="str">
        <f t="shared" si="121"/>
        <v>NO</v>
      </c>
      <c r="R498" t="str">
        <f t="shared" si="122"/>
        <v>NO</v>
      </c>
      <c r="T498" t="s">
        <v>186</v>
      </c>
      <c r="U498" t="str">
        <f t="shared" si="109"/>
        <v>Concord Ave</v>
      </c>
      <c r="V498" t="s">
        <v>1065</v>
      </c>
      <c r="W498" t="str">
        <f t="shared" si="110"/>
        <v>Fern St</v>
      </c>
      <c r="X498" t="str">
        <f>IF(ISBLANK(S498),"Intersection","Non-Intersection")</f>
        <v>Intersection</v>
      </c>
      <c r="Y498" t="s">
        <v>1066</v>
      </c>
      <c r="Z498" t="str">
        <f t="shared" si="111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12"/>
        <v>40179</v>
      </c>
      <c r="D499" s="4">
        <f t="shared" si="113"/>
        <v>0.35342465753424657</v>
      </c>
      <c r="E499" s="3">
        <f t="shared" si="114"/>
        <v>2010</v>
      </c>
      <c r="F499" s="3">
        <f t="shared" si="115"/>
        <v>5</v>
      </c>
      <c r="G499" s="3">
        <f t="shared" si="116"/>
        <v>10</v>
      </c>
      <c r="H499" s="3">
        <f t="shared" si="117"/>
        <v>11</v>
      </c>
      <c r="I499" s="3">
        <f t="shared" si="118"/>
        <v>49</v>
      </c>
      <c r="J499" s="3">
        <f t="shared" si="119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0"/>
        <v>YES</v>
      </c>
      <c r="Q499" t="str">
        <f t="shared" si="121"/>
        <v>NO</v>
      </c>
      <c r="R499" t="str">
        <f t="shared" si="122"/>
        <v>NO</v>
      </c>
      <c r="S499">
        <v>99</v>
      </c>
      <c r="T499" t="s">
        <v>199</v>
      </c>
      <c r="U499" t="str">
        <f t="shared" si="109"/>
        <v>Brattle St</v>
      </c>
      <c r="W499" t="str">
        <f t="shared" si="110"/>
        <v/>
      </c>
      <c r="X499" t="str">
        <f>IF(ISBLANK(S499),"Intersection","Non-Intersection")</f>
        <v>Non-Intersection</v>
      </c>
      <c r="Y499" t="s">
        <v>1068</v>
      </c>
      <c r="Z499" t="str">
        <f t="shared" si="111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12"/>
        <v>40179</v>
      </c>
      <c r="D500" s="4">
        <f t="shared" si="113"/>
        <v>0.35342465753424657</v>
      </c>
      <c r="E500" s="3">
        <f t="shared" si="114"/>
        <v>2010</v>
      </c>
      <c r="F500" s="3">
        <f t="shared" si="115"/>
        <v>5</v>
      </c>
      <c r="G500" s="3">
        <f t="shared" si="116"/>
        <v>10</v>
      </c>
      <c r="H500" s="3">
        <f t="shared" si="117"/>
        <v>15</v>
      </c>
      <c r="I500" s="3">
        <f t="shared" si="118"/>
        <v>30</v>
      </c>
      <c r="J500" s="3">
        <f t="shared" si="119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0"/>
        <v>YES</v>
      </c>
      <c r="Q500" t="str">
        <f t="shared" si="121"/>
        <v>NO</v>
      </c>
      <c r="R500" t="str">
        <f t="shared" si="122"/>
        <v>NO</v>
      </c>
      <c r="T500" t="s">
        <v>186</v>
      </c>
      <c r="U500" t="str">
        <f t="shared" si="109"/>
        <v>Concord Ave</v>
      </c>
      <c r="V500" t="s">
        <v>413</v>
      </c>
      <c r="W500" t="str">
        <f t="shared" si="110"/>
        <v>Smith Pl</v>
      </c>
      <c r="X500" t="str">
        <f>IF(ISBLANK(S500),"Intersection","Non-Intersection")</f>
        <v>Intersection</v>
      </c>
      <c r="Y500" t="s">
        <v>859</v>
      </c>
      <c r="Z500" t="str">
        <f t="shared" si="111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12"/>
        <v>40179</v>
      </c>
      <c r="D501" s="4">
        <f t="shared" si="113"/>
        <v>0.35342465753424657</v>
      </c>
      <c r="E501" s="3">
        <f t="shared" si="114"/>
        <v>2010</v>
      </c>
      <c r="F501" s="3">
        <f t="shared" si="115"/>
        <v>5</v>
      </c>
      <c r="G501" s="3">
        <f t="shared" si="116"/>
        <v>10</v>
      </c>
      <c r="H501" s="3">
        <f t="shared" si="117"/>
        <v>17</v>
      </c>
      <c r="I501" s="3">
        <f t="shared" si="118"/>
        <v>20</v>
      </c>
      <c r="J501" s="3">
        <f t="shared" si="119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0"/>
        <v>YES</v>
      </c>
      <c r="Q501" t="str">
        <f t="shared" si="121"/>
        <v>YES</v>
      </c>
      <c r="R501" t="str">
        <f t="shared" si="122"/>
        <v>NO</v>
      </c>
      <c r="T501" t="s">
        <v>105</v>
      </c>
      <c r="U501" t="str">
        <f t="shared" si="109"/>
        <v>Broadway</v>
      </c>
      <c r="V501" t="s">
        <v>745</v>
      </c>
      <c r="W501" t="str">
        <f t="shared" si="110"/>
        <v>Norfolk St</v>
      </c>
      <c r="X501" t="str">
        <f>IF(ISBLANK(S501),"Intersection","Non-Intersection")</f>
        <v>Intersection</v>
      </c>
      <c r="Y501" t="s">
        <v>1070</v>
      </c>
      <c r="Z501" t="str">
        <f t="shared" si="111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12"/>
        <v>40179</v>
      </c>
      <c r="D502" s="4">
        <f t="shared" si="113"/>
        <v>0.35342465753424657</v>
      </c>
      <c r="E502" s="3">
        <f t="shared" si="114"/>
        <v>2010</v>
      </c>
      <c r="F502" s="3">
        <f t="shared" si="115"/>
        <v>5</v>
      </c>
      <c r="G502" s="3">
        <f t="shared" si="116"/>
        <v>10</v>
      </c>
      <c r="H502" s="3">
        <f t="shared" si="117"/>
        <v>18</v>
      </c>
      <c r="I502" s="3">
        <f t="shared" si="118"/>
        <v>53</v>
      </c>
      <c r="J502" s="3">
        <f t="shared" si="119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0"/>
        <v>YES</v>
      </c>
      <c r="Q502" t="str">
        <f t="shared" si="121"/>
        <v>NO</v>
      </c>
      <c r="R502" t="str">
        <f t="shared" si="122"/>
        <v>NO</v>
      </c>
      <c r="T502" t="s">
        <v>186</v>
      </c>
      <c r="U502" t="str">
        <f t="shared" si="109"/>
        <v>Concord Ave</v>
      </c>
      <c r="V502" t="s">
        <v>92</v>
      </c>
      <c r="W502" t="str">
        <f t="shared" si="110"/>
        <v>Wheeler St</v>
      </c>
      <c r="X502" t="str">
        <f>IF(ISBLANK(S502),"Intersection","Non-Intersection")</f>
        <v>Intersection</v>
      </c>
      <c r="Y502" t="s">
        <v>1072</v>
      </c>
      <c r="Z502" t="str">
        <f t="shared" si="111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12"/>
        <v>40179</v>
      </c>
      <c r="D503" s="4">
        <f t="shared" si="113"/>
        <v>0.35342465753424657</v>
      </c>
      <c r="E503" s="3">
        <f t="shared" si="114"/>
        <v>2010</v>
      </c>
      <c r="F503" s="3">
        <f t="shared" si="115"/>
        <v>5</v>
      </c>
      <c r="G503" s="3">
        <f t="shared" si="116"/>
        <v>10</v>
      </c>
      <c r="H503" s="3">
        <f t="shared" si="117"/>
        <v>7</v>
      </c>
      <c r="I503" s="3">
        <f t="shared" si="118"/>
        <v>47</v>
      </c>
      <c r="J503" s="3">
        <f t="shared" si="119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0"/>
        <v>YES</v>
      </c>
      <c r="Q503" t="str">
        <f t="shared" si="121"/>
        <v>YES</v>
      </c>
      <c r="R503" t="str">
        <f t="shared" si="122"/>
        <v>NO</v>
      </c>
      <c r="T503" t="s">
        <v>105</v>
      </c>
      <c r="U503" t="str">
        <f t="shared" si="109"/>
        <v>Broadway</v>
      </c>
      <c r="V503" t="s">
        <v>342</v>
      </c>
      <c r="W503" t="str">
        <f t="shared" si="110"/>
        <v>Prospect St</v>
      </c>
      <c r="X503" t="str">
        <f>IF(ISBLANK(S503),"Intersection","Non-Intersection")</f>
        <v>Intersection</v>
      </c>
      <c r="Y503" t="s">
        <v>343</v>
      </c>
      <c r="Z503" t="str">
        <f t="shared" si="111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12"/>
        <v>40179</v>
      </c>
      <c r="D504" s="4">
        <f t="shared" si="113"/>
        <v>0.35342465753424657</v>
      </c>
      <c r="E504" s="3">
        <f t="shared" si="114"/>
        <v>2010</v>
      </c>
      <c r="F504" s="3">
        <f t="shared" si="115"/>
        <v>5</v>
      </c>
      <c r="G504" s="3">
        <f t="shared" si="116"/>
        <v>10</v>
      </c>
      <c r="H504" s="3">
        <f t="shared" si="117"/>
        <v>12</v>
      </c>
      <c r="I504" s="3">
        <f t="shared" si="118"/>
        <v>59</v>
      </c>
      <c r="J504" s="3">
        <f t="shared" si="119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0"/>
        <v>YES</v>
      </c>
      <c r="Q504" t="str">
        <f t="shared" si="121"/>
        <v>NO</v>
      </c>
      <c r="R504" t="str">
        <f t="shared" si="122"/>
        <v>NO</v>
      </c>
      <c r="S504">
        <v>795</v>
      </c>
      <c r="T504" t="s">
        <v>14</v>
      </c>
      <c r="U504" t="str">
        <f t="shared" si="109"/>
        <v>Massachusetts Ave</v>
      </c>
      <c r="W504" t="str">
        <f t="shared" si="110"/>
        <v/>
      </c>
      <c r="X504" t="str">
        <f>IF(ISBLANK(S504),"Intersection","Non-Intersection")</f>
        <v>Non-Intersection</v>
      </c>
      <c r="Y504" t="s">
        <v>1074</v>
      </c>
      <c r="Z504" t="str">
        <f t="shared" si="111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12"/>
        <v>40179</v>
      </c>
      <c r="D505" s="4">
        <f t="shared" si="113"/>
        <v>0.35342465753424657</v>
      </c>
      <c r="E505" s="3">
        <f t="shared" si="114"/>
        <v>2010</v>
      </c>
      <c r="F505" s="3">
        <f t="shared" si="115"/>
        <v>5</v>
      </c>
      <c r="G505" s="3">
        <f t="shared" si="116"/>
        <v>10</v>
      </c>
      <c r="H505" s="3">
        <f t="shared" si="117"/>
        <v>8</v>
      </c>
      <c r="I505" s="3">
        <f t="shared" si="118"/>
        <v>0</v>
      </c>
      <c r="J505" s="3">
        <f t="shared" si="119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0"/>
        <v>YES</v>
      </c>
      <c r="Q505" t="str">
        <f t="shared" si="121"/>
        <v>NO</v>
      </c>
      <c r="R505" t="str">
        <f t="shared" si="122"/>
        <v>NO</v>
      </c>
      <c r="T505" t="s">
        <v>199</v>
      </c>
      <c r="U505" t="str">
        <f t="shared" si="109"/>
        <v>Brattle St</v>
      </c>
      <c r="W505" t="str">
        <f t="shared" si="110"/>
        <v/>
      </c>
      <c r="X505" t="str">
        <f>IF(ISBLANK(S505),"Intersection","Non-Intersection")</f>
        <v>Intersection</v>
      </c>
      <c r="Y505" t="s">
        <v>1010</v>
      </c>
      <c r="Z505" t="str">
        <f t="shared" si="111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12"/>
        <v>40179</v>
      </c>
      <c r="D506" s="4">
        <f t="shared" si="113"/>
        <v>0.35342465753424657</v>
      </c>
      <c r="E506" s="3">
        <f t="shared" si="114"/>
        <v>2010</v>
      </c>
      <c r="F506" s="3">
        <f t="shared" si="115"/>
        <v>5</v>
      </c>
      <c r="G506" s="3">
        <f t="shared" si="116"/>
        <v>10</v>
      </c>
      <c r="H506" s="3">
        <f t="shared" si="117"/>
        <v>13</v>
      </c>
      <c r="I506" s="3">
        <f t="shared" si="118"/>
        <v>44</v>
      </c>
      <c r="J506" s="3">
        <f t="shared" si="119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0"/>
        <v>YES</v>
      </c>
      <c r="Q506" t="str">
        <f t="shared" si="121"/>
        <v>NO</v>
      </c>
      <c r="R506" t="str">
        <f t="shared" si="122"/>
        <v>NO</v>
      </c>
      <c r="S506">
        <v>725</v>
      </c>
      <c r="T506" t="s">
        <v>186</v>
      </c>
      <c r="U506" t="str">
        <f t="shared" si="109"/>
        <v>Concord Ave</v>
      </c>
      <c r="W506" t="str">
        <f t="shared" si="110"/>
        <v/>
      </c>
      <c r="X506" t="str">
        <f>IF(ISBLANK(S506),"Intersection","Non-Intersection")</f>
        <v>Non-Intersection</v>
      </c>
      <c r="Y506" t="s">
        <v>617</v>
      </c>
      <c r="Z506" t="str">
        <f t="shared" si="111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12"/>
        <v>40179</v>
      </c>
      <c r="D507" s="4">
        <f t="shared" si="113"/>
        <v>0.35342465753424657</v>
      </c>
      <c r="E507" s="3">
        <f t="shared" si="114"/>
        <v>2010</v>
      </c>
      <c r="F507" s="3">
        <f t="shared" si="115"/>
        <v>5</v>
      </c>
      <c r="G507" s="3">
        <f t="shared" si="116"/>
        <v>10</v>
      </c>
      <c r="H507" s="3">
        <f t="shared" si="117"/>
        <v>15</v>
      </c>
      <c r="I507" s="3">
        <f t="shared" si="118"/>
        <v>14</v>
      </c>
      <c r="J507" s="3">
        <f t="shared" si="119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0"/>
        <v>YES</v>
      </c>
      <c r="Q507" t="str">
        <f t="shared" si="121"/>
        <v>YES</v>
      </c>
      <c r="R507" t="str">
        <f t="shared" si="122"/>
        <v>NO</v>
      </c>
      <c r="S507">
        <v>22</v>
      </c>
      <c r="T507" t="s">
        <v>325</v>
      </c>
      <c r="U507" t="str">
        <f t="shared" si="109"/>
        <v>Eliot St</v>
      </c>
      <c r="W507" t="str">
        <f t="shared" si="110"/>
        <v/>
      </c>
      <c r="X507" t="str">
        <f>IF(ISBLANK(S507),"Intersection","Non-Intersection")</f>
        <v>Non-Intersection</v>
      </c>
      <c r="Y507" t="s">
        <v>1076</v>
      </c>
      <c r="Z507" t="str">
        <f t="shared" si="111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12"/>
        <v>40179</v>
      </c>
      <c r="D508" s="4">
        <f t="shared" si="113"/>
        <v>0.35342465753424657</v>
      </c>
      <c r="E508" s="3">
        <f t="shared" si="114"/>
        <v>2010</v>
      </c>
      <c r="F508" s="3">
        <f t="shared" si="115"/>
        <v>5</v>
      </c>
      <c r="G508" s="3">
        <f t="shared" si="116"/>
        <v>10</v>
      </c>
      <c r="H508" s="3">
        <f t="shared" si="117"/>
        <v>12</v>
      </c>
      <c r="I508" s="3">
        <f t="shared" si="118"/>
        <v>0</v>
      </c>
      <c r="J508" s="3">
        <f t="shared" si="119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0"/>
        <v>YES</v>
      </c>
      <c r="Q508" t="str">
        <f t="shared" si="121"/>
        <v>NO</v>
      </c>
      <c r="R508" t="str">
        <f t="shared" si="122"/>
        <v>NO</v>
      </c>
      <c r="S508">
        <v>491</v>
      </c>
      <c r="T508" t="s">
        <v>105</v>
      </c>
      <c r="U508" t="str">
        <f t="shared" si="109"/>
        <v>Broadway</v>
      </c>
      <c r="W508" t="str">
        <f t="shared" si="110"/>
        <v/>
      </c>
      <c r="X508" t="str">
        <f>IF(ISBLANK(S508),"Intersection","Non-Intersection")</f>
        <v>Non-Intersection</v>
      </c>
      <c r="Y508" t="s">
        <v>1078</v>
      </c>
      <c r="Z508" t="str">
        <f t="shared" si="111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12"/>
        <v>40179</v>
      </c>
      <c r="D509" s="4">
        <f t="shared" si="113"/>
        <v>0.35616438356164382</v>
      </c>
      <c r="E509" s="3">
        <f t="shared" si="114"/>
        <v>2010</v>
      </c>
      <c r="F509" s="3">
        <f t="shared" si="115"/>
        <v>5</v>
      </c>
      <c r="G509" s="3">
        <f t="shared" si="116"/>
        <v>11</v>
      </c>
      <c r="H509" s="3">
        <f t="shared" si="117"/>
        <v>16</v>
      </c>
      <c r="I509" s="3">
        <f t="shared" si="118"/>
        <v>30</v>
      </c>
      <c r="J509" s="3">
        <f t="shared" si="119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0"/>
        <v>YES</v>
      </c>
      <c r="Q509" t="str">
        <f t="shared" si="121"/>
        <v>NO</v>
      </c>
      <c r="R509" t="str">
        <f t="shared" si="122"/>
        <v>NO</v>
      </c>
      <c r="S509">
        <v>71</v>
      </c>
      <c r="T509" t="s">
        <v>760</v>
      </c>
      <c r="U509" t="str">
        <f t="shared" si="109"/>
        <v>Fulkerson St</v>
      </c>
      <c r="W509" t="str">
        <f t="shared" si="110"/>
        <v/>
      </c>
      <c r="X509" t="str">
        <f>IF(ISBLANK(S509),"Intersection","Non-Intersection")</f>
        <v>Non-Intersection</v>
      </c>
      <c r="Y509" t="s">
        <v>1080</v>
      </c>
      <c r="Z509" t="str">
        <f t="shared" si="111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12"/>
        <v>40179</v>
      </c>
      <c r="D510" s="4">
        <f t="shared" si="113"/>
        <v>0.35616438356164382</v>
      </c>
      <c r="E510" s="3">
        <f t="shared" si="114"/>
        <v>2010</v>
      </c>
      <c r="F510" s="3">
        <f t="shared" si="115"/>
        <v>5</v>
      </c>
      <c r="G510" s="3">
        <f t="shared" si="116"/>
        <v>11</v>
      </c>
      <c r="H510" s="3">
        <f t="shared" si="117"/>
        <v>23</v>
      </c>
      <c r="I510" s="3">
        <f t="shared" si="118"/>
        <v>35</v>
      </c>
      <c r="J510" s="3">
        <f t="shared" si="119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0"/>
        <v>YES</v>
      </c>
      <c r="Q510" t="str">
        <f t="shared" si="121"/>
        <v>NO</v>
      </c>
      <c r="R510" t="str">
        <f t="shared" si="122"/>
        <v>NO</v>
      </c>
      <c r="S510">
        <v>411</v>
      </c>
      <c r="T510" t="s">
        <v>745</v>
      </c>
      <c r="U510" t="str">
        <f t="shared" si="109"/>
        <v>Norfolk St</v>
      </c>
      <c r="W510" t="str">
        <f t="shared" si="110"/>
        <v/>
      </c>
      <c r="X510" t="str">
        <f>IF(ISBLANK(S510),"Intersection","Non-Intersection")</f>
        <v>Non-Intersection</v>
      </c>
      <c r="Y510" t="s">
        <v>1082</v>
      </c>
      <c r="Z510" t="str">
        <f t="shared" si="111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12"/>
        <v>40179</v>
      </c>
      <c r="D511" s="4">
        <f t="shared" si="113"/>
        <v>0.35890410958904112</v>
      </c>
      <c r="E511" s="3">
        <f t="shared" si="114"/>
        <v>2010</v>
      </c>
      <c r="F511" s="3">
        <f t="shared" si="115"/>
        <v>5</v>
      </c>
      <c r="G511" s="3">
        <f t="shared" si="116"/>
        <v>12</v>
      </c>
      <c r="H511" s="3">
        <f t="shared" si="117"/>
        <v>7</v>
      </c>
      <c r="I511" s="3">
        <f t="shared" si="118"/>
        <v>50</v>
      </c>
      <c r="J511" s="3">
        <f t="shared" si="119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0"/>
        <v>YES</v>
      </c>
      <c r="Q511" t="str">
        <f t="shared" si="121"/>
        <v>NO</v>
      </c>
      <c r="R511" t="str">
        <f t="shared" si="122"/>
        <v>NO</v>
      </c>
      <c r="T511" t="s">
        <v>133</v>
      </c>
      <c r="U511" t="str">
        <f t="shared" si="109"/>
        <v>Harvard St</v>
      </c>
      <c r="V511" t="s">
        <v>342</v>
      </c>
      <c r="W511" t="str">
        <f t="shared" si="110"/>
        <v>Prospect St</v>
      </c>
      <c r="X511" t="str">
        <f>IF(ISBLANK(S511),"Intersection","Non-Intersection")</f>
        <v>Intersection</v>
      </c>
      <c r="Y511" t="s">
        <v>1084</v>
      </c>
      <c r="Z511" t="str">
        <f t="shared" si="111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12"/>
        <v>40179</v>
      </c>
      <c r="D512" s="4">
        <f t="shared" si="113"/>
        <v>0.35890410958904112</v>
      </c>
      <c r="E512" s="3">
        <f t="shared" si="114"/>
        <v>2010</v>
      </c>
      <c r="F512" s="3">
        <f t="shared" si="115"/>
        <v>5</v>
      </c>
      <c r="G512" s="3">
        <f t="shared" si="116"/>
        <v>12</v>
      </c>
      <c r="H512" s="3">
        <f t="shared" si="117"/>
        <v>14</v>
      </c>
      <c r="I512" s="3">
        <f t="shared" si="118"/>
        <v>29</v>
      </c>
      <c r="J512" s="3">
        <f t="shared" si="119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0"/>
        <v>YES</v>
      </c>
      <c r="Q512" t="str">
        <f t="shared" si="121"/>
        <v>NO</v>
      </c>
      <c r="R512" t="str">
        <f t="shared" si="122"/>
        <v>NO</v>
      </c>
      <c r="S512">
        <v>14</v>
      </c>
      <c r="T512" t="s">
        <v>685</v>
      </c>
      <c r="U512" t="str">
        <f t="shared" si="109"/>
        <v>Warren St</v>
      </c>
      <c r="W512" t="str">
        <f t="shared" si="110"/>
        <v/>
      </c>
      <c r="X512" t="str">
        <f>IF(ISBLANK(S512),"Intersection","Non-Intersection")</f>
        <v>Non-Intersection</v>
      </c>
      <c r="Y512" t="s">
        <v>1086</v>
      </c>
      <c r="Z512" t="str">
        <f t="shared" si="111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12"/>
        <v>40179</v>
      </c>
      <c r="D513" s="4">
        <f t="shared" si="113"/>
        <v>0.35890410958904112</v>
      </c>
      <c r="E513" s="3">
        <f t="shared" si="114"/>
        <v>2010</v>
      </c>
      <c r="F513" s="3">
        <f t="shared" si="115"/>
        <v>5</v>
      </c>
      <c r="G513" s="3">
        <f t="shared" si="116"/>
        <v>12</v>
      </c>
      <c r="H513" s="3">
        <f t="shared" si="117"/>
        <v>21</v>
      </c>
      <c r="I513" s="3">
        <f t="shared" si="118"/>
        <v>59</v>
      </c>
      <c r="J513" s="3">
        <f t="shared" si="119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0"/>
        <v>YES</v>
      </c>
      <c r="Q513" t="str">
        <f t="shared" si="121"/>
        <v>NO</v>
      </c>
      <c r="R513" t="str">
        <f t="shared" si="122"/>
        <v>NO</v>
      </c>
      <c r="T513" t="s">
        <v>14</v>
      </c>
      <c r="U513" t="str">
        <f t="shared" si="109"/>
        <v>Massachusetts Ave</v>
      </c>
      <c r="V513" t="s">
        <v>1088</v>
      </c>
      <c r="W513" t="str">
        <f t="shared" si="110"/>
        <v>Temple St</v>
      </c>
      <c r="X513" t="str">
        <f>IF(ISBLANK(S513),"Intersection","Non-Intersection")</f>
        <v>Intersection</v>
      </c>
      <c r="Y513" t="s">
        <v>1089</v>
      </c>
      <c r="Z513" t="str">
        <f t="shared" si="111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12"/>
        <v>40179</v>
      </c>
      <c r="D514" s="4">
        <f t="shared" si="113"/>
        <v>0.35890410958904112</v>
      </c>
      <c r="E514" s="3">
        <f t="shared" si="114"/>
        <v>2010</v>
      </c>
      <c r="F514" s="3">
        <f t="shared" si="115"/>
        <v>5</v>
      </c>
      <c r="G514" s="3">
        <f t="shared" si="116"/>
        <v>12</v>
      </c>
      <c r="H514" s="3">
        <f t="shared" si="117"/>
        <v>20</v>
      </c>
      <c r="I514" s="3">
        <f t="shared" si="118"/>
        <v>35</v>
      </c>
      <c r="J514" s="3">
        <f t="shared" si="119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0"/>
        <v>YES</v>
      </c>
      <c r="Q514" t="str">
        <f t="shared" si="121"/>
        <v>NO</v>
      </c>
      <c r="R514" t="str">
        <f t="shared" si="122"/>
        <v>NO</v>
      </c>
      <c r="S514">
        <v>599</v>
      </c>
      <c r="T514" t="s">
        <v>19</v>
      </c>
      <c r="U514" t="str">
        <f t="shared" si="109"/>
        <v>Cambridge St</v>
      </c>
      <c r="W514" t="str">
        <f t="shared" si="110"/>
        <v/>
      </c>
      <c r="X514" t="str">
        <f>IF(ISBLANK(S514),"Intersection","Non-Intersection")</f>
        <v>Non-Intersection</v>
      </c>
      <c r="Y514" t="s">
        <v>1091</v>
      </c>
      <c r="Z514" t="str">
        <f t="shared" si="111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12"/>
        <v>40179</v>
      </c>
      <c r="D515" s="4">
        <f t="shared" si="113"/>
        <v>0.36164383561643837</v>
      </c>
      <c r="E515" s="3">
        <f t="shared" si="114"/>
        <v>2010</v>
      </c>
      <c r="F515" s="3">
        <f t="shared" si="115"/>
        <v>5</v>
      </c>
      <c r="G515" s="3">
        <f t="shared" si="116"/>
        <v>13</v>
      </c>
      <c r="H515" s="3">
        <f t="shared" si="117"/>
        <v>9</v>
      </c>
      <c r="I515" s="3">
        <f t="shared" si="118"/>
        <v>14</v>
      </c>
      <c r="J515" s="3">
        <f t="shared" si="119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0"/>
        <v>YES</v>
      </c>
      <c r="Q515" t="str">
        <f t="shared" si="121"/>
        <v>NO</v>
      </c>
      <c r="R515" t="str">
        <f t="shared" si="122"/>
        <v>NO</v>
      </c>
      <c r="S515">
        <v>420</v>
      </c>
      <c r="T515" t="s">
        <v>105</v>
      </c>
      <c r="U515" t="str">
        <f t="shared" ref="U515:U578" si="123">TRIM(PROPER(T515))</f>
        <v>Broadway</v>
      </c>
      <c r="W515" t="str">
        <f t="shared" ref="W515:W578" si="124">TRIM(PROPER(V515))</f>
        <v/>
      </c>
      <c r="X515" t="str">
        <f>IF(ISBLANK(S515),"Intersection","Non-Intersection")</f>
        <v>Non-Intersection</v>
      </c>
      <c r="Y515" t="s">
        <v>1093</v>
      </c>
      <c r="Z515" t="str">
        <f t="shared" ref="Z515:Z578" si="125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12"/>
        <v>40179</v>
      </c>
      <c r="D516" s="4">
        <f t="shared" si="113"/>
        <v>0.36164383561643837</v>
      </c>
      <c r="E516" s="3">
        <f t="shared" si="114"/>
        <v>2010</v>
      </c>
      <c r="F516" s="3">
        <f t="shared" si="115"/>
        <v>5</v>
      </c>
      <c r="G516" s="3">
        <f t="shared" si="116"/>
        <v>13</v>
      </c>
      <c r="H516" s="3">
        <f t="shared" si="117"/>
        <v>11</v>
      </c>
      <c r="I516" s="3">
        <f t="shared" si="118"/>
        <v>4</v>
      </c>
      <c r="J516" s="3">
        <f t="shared" si="119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0"/>
        <v>YES</v>
      </c>
      <c r="Q516" t="str">
        <f t="shared" si="121"/>
        <v>NO</v>
      </c>
      <c r="R516" t="str">
        <f t="shared" si="122"/>
        <v>NO</v>
      </c>
      <c r="S516">
        <v>725</v>
      </c>
      <c r="T516" t="s">
        <v>186</v>
      </c>
      <c r="U516" t="str">
        <f t="shared" si="123"/>
        <v>Concord Ave</v>
      </c>
      <c r="W516" t="str">
        <f t="shared" si="124"/>
        <v/>
      </c>
      <c r="X516" t="str">
        <f>IF(ISBLANK(S516),"Intersection","Non-Intersection")</f>
        <v>Non-Intersection</v>
      </c>
      <c r="Y516" t="s">
        <v>617</v>
      </c>
      <c r="Z516" t="str">
        <f t="shared" si="125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12"/>
        <v>40179</v>
      </c>
      <c r="D517" s="4">
        <f t="shared" si="113"/>
        <v>0.36164383561643837</v>
      </c>
      <c r="E517" s="3">
        <f t="shared" si="114"/>
        <v>2010</v>
      </c>
      <c r="F517" s="3">
        <f t="shared" si="115"/>
        <v>5</v>
      </c>
      <c r="G517" s="3">
        <f t="shared" si="116"/>
        <v>13</v>
      </c>
      <c r="H517" s="3">
        <f t="shared" si="117"/>
        <v>10</v>
      </c>
      <c r="I517" s="3">
        <f t="shared" si="118"/>
        <v>30</v>
      </c>
      <c r="J517" s="3">
        <f t="shared" si="119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0"/>
        <v>YES</v>
      </c>
      <c r="Q517" t="str">
        <f t="shared" si="121"/>
        <v>NO</v>
      </c>
      <c r="R517" t="str">
        <f t="shared" si="122"/>
        <v>NO</v>
      </c>
      <c r="S517">
        <v>50</v>
      </c>
      <c r="T517" t="s">
        <v>1095</v>
      </c>
      <c r="U517" t="str">
        <f t="shared" si="123"/>
        <v>Churchill Ave</v>
      </c>
      <c r="W517" t="str">
        <f t="shared" si="124"/>
        <v/>
      </c>
      <c r="X517" t="str">
        <f>IF(ISBLANK(S517),"Intersection","Non-Intersection")</f>
        <v>Non-Intersection</v>
      </c>
      <c r="Y517" t="s">
        <v>1096</v>
      </c>
      <c r="Z517" t="str">
        <f t="shared" si="125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12"/>
        <v>40179</v>
      </c>
      <c r="D518" s="4">
        <f t="shared" si="113"/>
        <v>0.36164383561643837</v>
      </c>
      <c r="E518" s="3">
        <f t="shared" si="114"/>
        <v>2010</v>
      </c>
      <c r="F518" s="3">
        <f t="shared" si="115"/>
        <v>5</v>
      </c>
      <c r="G518" s="3">
        <f t="shared" si="116"/>
        <v>13</v>
      </c>
      <c r="H518" s="3">
        <f t="shared" si="117"/>
        <v>6</v>
      </c>
      <c r="I518" s="3">
        <f t="shared" si="118"/>
        <v>47</v>
      </c>
      <c r="J518" s="3">
        <f t="shared" si="119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0"/>
        <v>YES</v>
      </c>
      <c r="Q518" t="str">
        <f t="shared" si="121"/>
        <v>NO</v>
      </c>
      <c r="R518" t="str">
        <f t="shared" si="122"/>
        <v>NO</v>
      </c>
      <c r="S518">
        <v>330</v>
      </c>
      <c r="T518" t="s">
        <v>41</v>
      </c>
      <c r="U518" t="str">
        <f t="shared" si="123"/>
        <v>River St</v>
      </c>
      <c r="W518" t="str">
        <f t="shared" si="124"/>
        <v/>
      </c>
      <c r="X518" t="str">
        <f>IF(ISBLANK(S518),"Intersection","Non-Intersection")</f>
        <v>Non-Intersection</v>
      </c>
      <c r="Y518" t="s">
        <v>1098</v>
      </c>
      <c r="Z518" t="str">
        <f t="shared" si="125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12"/>
        <v>40179</v>
      </c>
      <c r="D519" s="4">
        <f t="shared" si="113"/>
        <v>0.36164383561643837</v>
      </c>
      <c r="E519" s="3">
        <f t="shared" si="114"/>
        <v>2010</v>
      </c>
      <c r="F519" s="3">
        <f t="shared" si="115"/>
        <v>5</v>
      </c>
      <c r="G519" s="3">
        <f t="shared" si="116"/>
        <v>13</v>
      </c>
      <c r="H519" s="3">
        <f t="shared" si="117"/>
        <v>14</v>
      </c>
      <c r="I519" s="3">
        <f t="shared" si="118"/>
        <v>45</v>
      </c>
      <c r="J519" s="3">
        <f t="shared" si="119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0"/>
        <v>YES</v>
      </c>
      <c r="Q519" t="str">
        <f t="shared" si="121"/>
        <v>YES</v>
      </c>
      <c r="R519" t="str">
        <f t="shared" si="122"/>
        <v>NO</v>
      </c>
      <c r="S519">
        <v>657</v>
      </c>
      <c r="T519" t="s">
        <v>19</v>
      </c>
      <c r="U519" t="str">
        <f t="shared" si="123"/>
        <v>Cambridge St</v>
      </c>
      <c r="W519" t="str">
        <f t="shared" si="124"/>
        <v/>
      </c>
      <c r="X519" t="str">
        <f>IF(ISBLANK(S519),"Intersection","Non-Intersection")</f>
        <v>Non-Intersection</v>
      </c>
      <c r="Y519" t="s">
        <v>1100</v>
      </c>
      <c r="Z519" t="str">
        <f t="shared" si="125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12"/>
        <v>40179</v>
      </c>
      <c r="D520" s="4">
        <f t="shared" si="113"/>
        <v>0.36438356164383562</v>
      </c>
      <c r="E520" s="3">
        <f t="shared" si="114"/>
        <v>2010</v>
      </c>
      <c r="F520" s="3">
        <f t="shared" si="115"/>
        <v>5</v>
      </c>
      <c r="G520" s="3">
        <f t="shared" si="116"/>
        <v>14</v>
      </c>
      <c r="H520" s="3">
        <f t="shared" si="117"/>
        <v>10</v>
      </c>
      <c r="I520" s="3">
        <f t="shared" si="118"/>
        <v>50</v>
      </c>
      <c r="J520" s="3">
        <f t="shared" si="119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0"/>
        <v>YES</v>
      </c>
      <c r="Q520" t="str">
        <f t="shared" si="121"/>
        <v>NO</v>
      </c>
      <c r="R520" t="str">
        <f t="shared" si="122"/>
        <v>NO</v>
      </c>
      <c r="S520">
        <v>405</v>
      </c>
      <c r="T520" t="s">
        <v>745</v>
      </c>
      <c r="U520" t="str">
        <f t="shared" si="123"/>
        <v>Norfolk St</v>
      </c>
      <c r="W520" t="str">
        <f t="shared" si="124"/>
        <v/>
      </c>
      <c r="X520" t="str">
        <f>IF(ISBLANK(S520),"Intersection","Non-Intersection")</f>
        <v>Non-Intersection</v>
      </c>
      <c r="Y520" t="s">
        <v>1102</v>
      </c>
      <c r="Z520" t="str">
        <f t="shared" si="125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12"/>
        <v>40179</v>
      </c>
      <c r="D521" s="4">
        <f t="shared" si="113"/>
        <v>0.36712328767123287</v>
      </c>
      <c r="E521" s="3">
        <f t="shared" si="114"/>
        <v>2010</v>
      </c>
      <c r="F521" s="3">
        <f t="shared" si="115"/>
        <v>5</v>
      </c>
      <c r="G521" s="3">
        <f t="shared" si="116"/>
        <v>15</v>
      </c>
      <c r="H521" s="3">
        <f t="shared" si="117"/>
        <v>9</v>
      </c>
      <c r="I521" s="3">
        <f t="shared" si="118"/>
        <v>30</v>
      </c>
      <c r="J521" s="3">
        <f t="shared" si="119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0"/>
        <v>YES</v>
      </c>
      <c r="Q521" t="str">
        <f t="shared" si="121"/>
        <v>NO</v>
      </c>
      <c r="R521" t="str">
        <f t="shared" si="122"/>
        <v>NO</v>
      </c>
      <c r="T521" t="s">
        <v>757</v>
      </c>
      <c r="U521" t="str">
        <f t="shared" si="123"/>
        <v>Blackstone St</v>
      </c>
      <c r="V521" t="s">
        <v>41</v>
      </c>
      <c r="W521" t="str">
        <f t="shared" si="124"/>
        <v>River St</v>
      </c>
      <c r="X521" t="str">
        <f>IF(ISBLANK(S521),"Intersection","Non-Intersection")</f>
        <v>Intersection</v>
      </c>
      <c r="Y521" t="s">
        <v>1104</v>
      </c>
      <c r="Z521" t="str">
        <f t="shared" si="125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12"/>
        <v>40179</v>
      </c>
      <c r="D522" s="4">
        <f t="shared" si="113"/>
        <v>0.36712328767123287</v>
      </c>
      <c r="E522" s="3">
        <f t="shared" si="114"/>
        <v>2010</v>
      </c>
      <c r="F522" s="3">
        <f t="shared" si="115"/>
        <v>5</v>
      </c>
      <c r="G522" s="3">
        <f t="shared" si="116"/>
        <v>15</v>
      </c>
      <c r="H522" s="3">
        <f t="shared" si="117"/>
        <v>19</v>
      </c>
      <c r="I522" s="3">
        <f t="shared" si="118"/>
        <v>44</v>
      </c>
      <c r="J522" s="3">
        <f t="shared" si="119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0"/>
        <v>YES</v>
      </c>
      <c r="Q522" t="str">
        <f t="shared" si="121"/>
        <v>NO</v>
      </c>
      <c r="R522" t="str">
        <f t="shared" si="122"/>
        <v>NO</v>
      </c>
      <c r="S522">
        <v>1334</v>
      </c>
      <c r="T522" t="s">
        <v>19</v>
      </c>
      <c r="U522" t="str">
        <f t="shared" si="123"/>
        <v>Cambridge St</v>
      </c>
      <c r="W522" t="str">
        <f t="shared" si="124"/>
        <v/>
      </c>
      <c r="X522" t="str">
        <f>IF(ISBLANK(S522),"Intersection","Non-Intersection")</f>
        <v>Non-Intersection</v>
      </c>
      <c r="Y522" t="s">
        <v>1105</v>
      </c>
      <c r="Z522" t="str">
        <f t="shared" si="125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12"/>
        <v>40179</v>
      </c>
      <c r="D523" s="4">
        <f t="shared" si="113"/>
        <v>0.36712328767123287</v>
      </c>
      <c r="E523" s="3">
        <f t="shared" si="114"/>
        <v>2010</v>
      </c>
      <c r="F523" s="3">
        <f t="shared" si="115"/>
        <v>5</v>
      </c>
      <c r="G523" s="3">
        <f t="shared" si="116"/>
        <v>15</v>
      </c>
      <c r="H523" s="3">
        <f t="shared" si="117"/>
        <v>21</v>
      </c>
      <c r="I523" s="3">
        <f t="shared" si="118"/>
        <v>0</v>
      </c>
      <c r="J523" s="3">
        <f t="shared" si="119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0"/>
        <v>YES</v>
      </c>
      <c r="Q523" t="str">
        <f t="shared" si="121"/>
        <v>NO</v>
      </c>
      <c r="R523" t="str">
        <f t="shared" si="122"/>
        <v>NO</v>
      </c>
      <c r="T523" t="s">
        <v>14</v>
      </c>
      <c r="U523" t="str">
        <f t="shared" si="123"/>
        <v>Massachusetts Ave</v>
      </c>
      <c r="V523" t="s">
        <v>70</v>
      </c>
      <c r="W523" t="str">
        <f t="shared" si="124"/>
        <v>Pearl St</v>
      </c>
      <c r="X523" t="str">
        <f>IF(ISBLANK(S523),"Intersection","Non-Intersection")</f>
        <v>Intersection</v>
      </c>
      <c r="Y523" t="s">
        <v>855</v>
      </c>
      <c r="Z523" t="str">
        <f t="shared" si="125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12"/>
        <v>40179</v>
      </c>
      <c r="D524" s="4">
        <f t="shared" si="113"/>
        <v>0.36986301369863012</v>
      </c>
      <c r="E524" s="3">
        <f t="shared" si="114"/>
        <v>2010</v>
      </c>
      <c r="F524" s="3">
        <f t="shared" si="115"/>
        <v>5</v>
      </c>
      <c r="G524" s="3">
        <f t="shared" si="116"/>
        <v>16</v>
      </c>
      <c r="H524" s="3">
        <f t="shared" si="117"/>
        <v>14</v>
      </c>
      <c r="I524" s="3">
        <f t="shared" si="118"/>
        <v>45</v>
      </c>
      <c r="J524" s="3">
        <f t="shared" si="119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0"/>
        <v>YES</v>
      </c>
      <c r="Q524" t="str">
        <f t="shared" si="121"/>
        <v>NO</v>
      </c>
      <c r="R524" t="str">
        <f t="shared" si="122"/>
        <v>NO</v>
      </c>
      <c r="T524" t="s">
        <v>1024</v>
      </c>
      <c r="U524" t="str">
        <f t="shared" si="123"/>
        <v>Kinnaird St</v>
      </c>
      <c r="V524" t="s">
        <v>42</v>
      </c>
      <c r="W524" t="str">
        <f t="shared" si="124"/>
        <v>Putnam Ave</v>
      </c>
      <c r="X524" t="str">
        <f>IF(ISBLANK(S524),"Intersection","Non-Intersection")</f>
        <v>Intersection</v>
      </c>
      <c r="Y524" t="s">
        <v>1107</v>
      </c>
      <c r="Z524" t="str">
        <f t="shared" si="125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12"/>
        <v>40179</v>
      </c>
      <c r="D525" s="4">
        <f t="shared" si="113"/>
        <v>0.36986301369863012</v>
      </c>
      <c r="E525" s="3">
        <f t="shared" si="114"/>
        <v>2010</v>
      </c>
      <c r="F525" s="3">
        <f t="shared" si="115"/>
        <v>5</v>
      </c>
      <c r="G525" s="3">
        <f t="shared" si="116"/>
        <v>16</v>
      </c>
      <c r="H525" s="3">
        <f t="shared" si="117"/>
        <v>15</v>
      </c>
      <c r="I525" s="3">
        <f t="shared" si="118"/>
        <v>20</v>
      </c>
      <c r="J525" s="3">
        <f t="shared" si="119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0"/>
        <v>YES</v>
      </c>
      <c r="Q525" t="str">
        <f t="shared" si="121"/>
        <v>YES</v>
      </c>
      <c r="R525" t="str">
        <f t="shared" si="122"/>
        <v>NO</v>
      </c>
      <c r="S525">
        <v>445</v>
      </c>
      <c r="T525" t="s">
        <v>14</v>
      </c>
      <c r="U525" t="str">
        <f t="shared" si="123"/>
        <v>Massachusetts Ave</v>
      </c>
      <c r="W525" t="str">
        <f t="shared" si="124"/>
        <v/>
      </c>
      <c r="X525" t="str">
        <f>IF(ISBLANK(S525),"Intersection","Non-Intersection")</f>
        <v>Non-Intersection</v>
      </c>
      <c r="Y525" t="s">
        <v>794</v>
      </c>
      <c r="Z525" t="str">
        <f t="shared" si="125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12"/>
        <v>40179</v>
      </c>
      <c r="D526" s="4">
        <f t="shared" si="113"/>
        <v>0.37260273972602742</v>
      </c>
      <c r="E526" s="3">
        <f t="shared" si="114"/>
        <v>2010</v>
      </c>
      <c r="F526" s="3">
        <f t="shared" si="115"/>
        <v>5</v>
      </c>
      <c r="G526" s="3">
        <f t="shared" si="116"/>
        <v>17</v>
      </c>
      <c r="H526" s="3">
        <f t="shared" si="117"/>
        <v>14</v>
      </c>
      <c r="I526" s="3">
        <f t="shared" si="118"/>
        <v>49</v>
      </c>
      <c r="J526" s="3">
        <f t="shared" si="119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0"/>
        <v>YES</v>
      </c>
      <c r="Q526" t="str">
        <f t="shared" si="121"/>
        <v>YES</v>
      </c>
      <c r="R526" t="str">
        <f t="shared" si="122"/>
        <v>NO</v>
      </c>
      <c r="S526">
        <v>212</v>
      </c>
      <c r="T526" t="s">
        <v>189</v>
      </c>
      <c r="U526" t="str">
        <f t="shared" si="123"/>
        <v>Windsor St</v>
      </c>
      <c r="W526" t="str">
        <f t="shared" si="124"/>
        <v/>
      </c>
      <c r="X526" t="str">
        <f>IF(ISBLANK(S526),"Intersection","Non-Intersection")</f>
        <v>Non-Intersection</v>
      </c>
      <c r="Y526" t="s">
        <v>1109</v>
      </c>
      <c r="Z526" t="str">
        <f t="shared" si="125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12"/>
        <v>40179</v>
      </c>
      <c r="D527" s="4">
        <f t="shared" si="113"/>
        <v>0.37260273972602742</v>
      </c>
      <c r="E527" s="3">
        <f t="shared" si="114"/>
        <v>2010</v>
      </c>
      <c r="F527" s="3">
        <f t="shared" si="115"/>
        <v>5</v>
      </c>
      <c r="G527" s="3">
        <f t="shared" si="116"/>
        <v>17</v>
      </c>
      <c r="H527" s="3">
        <f t="shared" si="117"/>
        <v>12</v>
      </c>
      <c r="I527" s="3">
        <f t="shared" si="118"/>
        <v>0</v>
      </c>
      <c r="J527" s="3">
        <f t="shared" si="119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0"/>
        <v>YES</v>
      </c>
      <c r="Q527" t="str">
        <f t="shared" si="121"/>
        <v>NO</v>
      </c>
      <c r="R527" t="str">
        <f t="shared" si="122"/>
        <v>NO</v>
      </c>
      <c r="T527" t="s">
        <v>27</v>
      </c>
      <c r="U527" t="str">
        <f t="shared" si="123"/>
        <v>Western Ave</v>
      </c>
      <c r="V527" t="s">
        <v>14</v>
      </c>
      <c r="W527" t="str">
        <f t="shared" si="124"/>
        <v>Massachusetts Ave</v>
      </c>
      <c r="X527" t="str">
        <f>IF(ISBLANK(S527),"Intersection","Non-Intersection")</f>
        <v>Intersection</v>
      </c>
      <c r="Y527" t="s">
        <v>266</v>
      </c>
      <c r="Z527" t="str">
        <f t="shared" si="125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12"/>
        <v>40179</v>
      </c>
      <c r="D528" s="4">
        <f t="shared" si="113"/>
        <v>0.37260273972602742</v>
      </c>
      <c r="E528" s="3">
        <f t="shared" si="114"/>
        <v>2010</v>
      </c>
      <c r="F528" s="3">
        <f t="shared" si="115"/>
        <v>5</v>
      </c>
      <c r="G528" s="3">
        <f t="shared" si="116"/>
        <v>17</v>
      </c>
      <c r="H528" s="3">
        <f t="shared" si="117"/>
        <v>15</v>
      </c>
      <c r="I528" s="3">
        <f t="shared" si="118"/>
        <v>34</v>
      </c>
      <c r="J528" s="3">
        <f t="shared" si="119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0"/>
        <v>YES</v>
      </c>
      <c r="Q528" t="str">
        <f t="shared" si="121"/>
        <v>NO</v>
      </c>
      <c r="R528" t="str">
        <f t="shared" si="122"/>
        <v>NO</v>
      </c>
      <c r="S528">
        <v>8</v>
      </c>
      <c r="T528" t="s">
        <v>1111</v>
      </c>
      <c r="U528" t="str">
        <f t="shared" si="123"/>
        <v>Museum Way</v>
      </c>
      <c r="W528" t="str">
        <f t="shared" si="124"/>
        <v/>
      </c>
      <c r="X528" t="str">
        <f>IF(ISBLANK(S528),"Intersection","Non-Intersection")</f>
        <v>Non-Intersection</v>
      </c>
      <c r="Y528" t="s">
        <v>1112</v>
      </c>
      <c r="Z528" t="str">
        <f t="shared" si="125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12"/>
        <v>40179</v>
      </c>
      <c r="D529" s="4">
        <f t="shared" si="113"/>
        <v>0.37260273972602742</v>
      </c>
      <c r="E529" s="3">
        <f t="shared" si="114"/>
        <v>2010</v>
      </c>
      <c r="F529" s="3">
        <f t="shared" si="115"/>
        <v>5</v>
      </c>
      <c r="G529" s="3">
        <f t="shared" si="116"/>
        <v>17</v>
      </c>
      <c r="H529" s="3">
        <f t="shared" si="117"/>
        <v>18</v>
      </c>
      <c r="I529" s="3">
        <f t="shared" si="118"/>
        <v>47</v>
      </c>
      <c r="J529" s="3">
        <f t="shared" si="119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0"/>
        <v>YES</v>
      </c>
      <c r="Q529" t="str">
        <f t="shared" si="121"/>
        <v>NO</v>
      </c>
      <c r="R529" t="str">
        <f t="shared" si="122"/>
        <v>NO</v>
      </c>
      <c r="S529">
        <v>41</v>
      </c>
      <c r="T529" t="s">
        <v>1114</v>
      </c>
      <c r="U529" t="str">
        <f t="shared" si="123"/>
        <v>Market St</v>
      </c>
      <c r="W529" t="str">
        <f t="shared" si="124"/>
        <v/>
      </c>
      <c r="X529" t="str">
        <f>IF(ISBLANK(S529),"Intersection","Non-Intersection")</f>
        <v>Non-Intersection</v>
      </c>
      <c r="Y529" t="s">
        <v>1115</v>
      </c>
      <c r="Z529" t="str">
        <f t="shared" si="125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12"/>
        <v>40179</v>
      </c>
      <c r="D530" s="4">
        <f t="shared" si="113"/>
        <v>0.37260273972602742</v>
      </c>
      <c r="E530" s="3">
        <f t="shared" si="114"/>
        <v>2010</v>
      </c>
      <c r="F530" s="3">
        <f t="shared" si="115"/>
        <v>5</v>
      </c>
      <c r="G530" s="3">
        <f t="shared" si="116"/>
        <v>17</v>
      </c>
      <c r="H530" s="3">
        <f t="shared" si="117"/>
        <v>18</v>
      </c>
      <c r="I530" s="3">
        <f t="shared" si="118"/>
        <v>47</v>
      </c>
      <c r="J530" s="3">
        <f t="shared" si="119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0"/>
        <v>YES</v>
      </c>
      <c r="Q530" t="str">
        <f t="shared" si="121"/>
        <v>NO</v>
      </c>
      <c r="R530" t="str">
        <f t="shared" si="122"/>
        <v>NO</v>
      </c>
      <c r="S530">
        <v>41</v>
      </c>
      <c r="T530" t="s">
        <v>1114</v>
      </c>
      <c r="U530" t="str">
        <f t="shared" si="123"/>
        <v>Market St</v>
      </c>
      <c r="W530" t="str">
        <f t="shared" si="124"/>
        <v/>
      </c>
      <c r="X530" t="str">
        <f>IF(ISBLANK(S530),"Intersection","Non-Intersection")</f>
        <v>Non-Intersection</v>
      </c>
      <c r="Y530" t="s">
        <v>1115</v>
      </c>
      <c r="Z530" t="str">
        <f t="shared" si="125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12"/>
        <v>40179</v>
      </c>
      <c r="D531" s="4">
        <f t="shared" si="113"/>
        <v>0.37534246575342467</v>
      </c>
      <c r="E531" s="3">
        <f t="shared" si="114"/>
        <v>2010</v>
      </c>
      <c r="F531" s="3">
        <f t="shared" si="115"/>
        <v>5</v>
      </c>
      <c r="G531" s="3">
        <f t="shared" si="116"/>
        <v>18</v>
      </c>
      <c r="H531" s="3">
        <f t="shared" si="117"/>
        <v>1</v>
      </c>
      <c r="I531" s="3">
        <f t="shared" si="118"/>
        <v>30</v>
      </c>
      <c r="J531" s="3">
        <f t="shared" si="119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0"/>
        <v>YES</v>
      </c>
      <c r="Q531" t="str">
        <f t="shared" si="121"/>
        <v>NO</v>
      </c>
      <c r="R531" t="str">
        <f t="shared" si="122"/>
        <v>NO</v>
      </c>
      <c r="T531" t="s">
        <v>326</v>
      </c>
      <c r="U531" t="str">
        <f t="shared" si="123"/>
        <v>Jfk St</v>
      </c>
      <c r="V531" t="s">
        <v>199</v>
      </c>
      <c r="W531" t="str">
        <f t="shared" si="124"/>
        <v>Brattle St</v>
      </c>
      <c r="X531" t="str">
        <f>IF(ISBLANK(S531),"Intersection","Non-Intersection")</f>
        <v>Intersection</v>
      </c>
      <c r="Y531" t="s">
        <v>681</v>
      </c>
      <c r="Z531" t="str">
        <f t="shared" si="125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12"/>
        <v>40179</v>
      </c>
      <c r="D532" s="4">
        <f t="shared" si="113"/>
        <v>0.37534246575342467</v>
      </c>
      <c r="E532" s="3">
        <f t="shared" si="114"/>
        <v>2010</v>
      </c>
      <c r="F532" s="3">
        <f t="shared" si="115"/>
        <v>5</v>
      </c>
      <c r="G532" s="3">
        <f t="shared" si="116"/>
        <v>18</v>
      </c>
      <c r="H532" s="3">
        <f t="shared" si="117"/>
        <v>17</v>
      </c>
      <c r="I532" s="3">
        <f t="shared" si="118"/>
        <v>29</v>
      </c>
      <c r="J532" s="3">
        <f t="shared" si="119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0"/>
        <v>YES</v>
      </c>
      <c r="Q532" t="str">
        <f t="shared" si="121"/>
        <v>YES</v>
      </c>
      <c r="R532" t="str">
        <f t="shared" si="122"/>
        <v>NO</v>
      </c>
      <c r="S532">
        <v>159</v>
      </c>
      <c r="T532" t="s">
        <v>74</v>
      </c>
      <c r="U532" t="str">
        <f t="shared" si="123"/>
        <v>Hampshire St</v>
      </c>
      <c r="W532" t="str">
        <f t="shared" si="124"/>
        <v/>
      </c>
      <c r="X532" t="str">
        <f>IF(ISBLANK(S532),"Intersection","Non-Intersection")</f>
        <v>Non-Intersection</v>
      </c>
      <c r="Y532" t="s">
        <v>1117</v>
      </c>
      <c r="Z532" t="str">
        <f t="shared" si="125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12"/>
        <v>40179</v>
      </c>
      <c r="D533" s="4">
        <f t="shared" si="113"/>
        <v>0.37534246575342467</v>
      </c>
      <c r="E533" s="3">
        <f t="shared" si="114"/>
        <v>2010</v>
      </c>
      <c r="F533" s="3">
        <f t="shared" si="115"/>
        <v>5</v>
      </c>
      <c r="G533" s="3">
        <f t="shared" si="116"/>
        <v>18</v>
      </c>
      <c r="H533" s="3">
        <f t="shared" si="117"/>
        <v>17</v>
      </c>
      <c r="I533" s="3">
        <f t="shared" si="118"/>
        <v>45</v>
      </c>
      <c r="J533" s="3">
        <f t="shared" si="119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0"/>
        <v>YES</v>
      </c>
      <c r="Q533" t="str">
        <f t="shared" si="121"/>
        <v>YES</v>
      </c>
      <c r="R533" t="str">
        <f t="shared" si="122"/>
        <v>NO</v>
      </c>
      <c r="T533" t="s">
        <v>1119</v>
      </c>
      <c r="U533" t="str">
        <f t="shared" si="123"/>
        <v>Cottage St</v>
      </c>
      <c r="V533" t="s">
        <v>41</v>
      </c>
      <c r="W533" t="str">
        <f t="shared" si="124"/>
        <v>River St</v>
      </c>
      <c r="X533" t="str">
        <f>IF(ISBLANK(S533),"Intersection","Non-Intersection")</f>
        <v>Intersection</v>
      </c>
      <c r="Y533" t="s">
        <v>1120</v>
      </c>
      <c r="Z533" t="str">
        <f t="shared" si="125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12"/>
        <v>40179</v>
      </c>
      <c r="D534" s="4">
        <f t="shared" si="113"/>
        <v>0.37808219178082192</v>
      </c>
      <c r="E534" s="3">
        <f t="shared" si="114"/>
        <v>2010</v>
      </c>
      <c r="F534" s="3">
        <f t="shared" si="115"/>
        <v>5</v>
      </c>
      <c r="G534" s="3">
        <f t="shared" si="116"/>
        <v>19</v>
      </c>
      <c r="H534" s="3">
        <f t="shared" si="117"/>
        <v>9</v>
      </c>
      <c r="I534" s="3">
        <f t="shared" si="118"/>
        <v>2</v>
      </c>
      <c r="J534" s="3">
        <f t="shared" si="119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0"/>
        <v>YES</v>
      </c>
      <c r="Q534" t="str">
        <f t="shared" si="121"/>
        <v>NO</v>
      </c>
      <c r="R534" t="str">
        <f t="shared" si="122"/>
        <v>NO</v>
      </c>
      <c r="T534" t="s">
        <v>14</v>
      </c>
      <c r="U534" t="str">
        <f t="shared" si="123"/>
        <v>Massachusetts Ave</v>
      </c>
      <c r="V534" t="s">
        <v>202</v>
      </c>
      <c r="W534" t="str">
        <f t="shared" si="124"/>
        <v>Vassar St</v>
      </c>
      <c r="X534" t="str">
        <f>IF(ISBLANK(S534),"Intersection","Non-Intersection")</f>
        <v>Intersection</v>
      </c>
      <c r="Y534" t="s">
        <v>361</v>
      </c>
      <c r="Z534" t="str">
        <f t="shared" si="125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12"/>
        <v>40179</v>
      </c>
      <c r="D535" s="4">
        <f t="shared" si="113"/>
        <v>0.37808219178082192</v>
      </c>
      <c r="E535" s="3">
        <f t="shared" si="114"/>
        <v>2010</v>
      </c>
      <c r="F535" s="3">
        <f t="shared" si="115"/>
        <v>5</v>
      </c>
      <c r="G535" s="3">
        <f t="shared" si="116"/>
        <v>19</v>
      </c>
      <c r="H535" s="3">
        <f t="shared" si="117"/>
        <v>12</v>
      </c>
      <c r="I535" s="3">
        <f t="shared" si="118"/>
        <v>10</v>
      </c>
      <c r="J535" s="3">
        <f t="shared" si="119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0"/>
        <v>YES</v>
      </c>
      <c r="Q535" t="str">
        <f t="shared" si="121"/>
        <v>NO</v>
      </c>
      <c r="R535" t="str">
        <f t="shared" si="122"/>
        <v>NO</v>
      </c>
      <c r="S535">
        <v>160</v>
      </c>
      <c r="T535" t="s">
        <v>186</v>
      </c>
      <c r="U535" t="str">
        <f t="shared" si="123"/>
        <v>Concord Ave</v>
      </c>
      <c r="W535" t="str">
        <f t="shared" si="124"/>
        <v/>
      </c>
      <c r="X535" t="str">
        <f>IF(ISBLANK(S535),"Intersection","Non-Intersection")</f>
        <v>Non-Intersection</v>
      </c>
      <c r="Y535" t="s">
        <v>1122</v>
      </c>
      <c r="Z535" t="str">
        <f t="shared" si="125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12"/>
        <v>40179</v>
      </c>
      <c r="D536" s="4">
        <f t="shared" si="113"/>
        <v>0.37808219178082192</v>
      </c>
      <c r="E536" s="3">
        <f t="shared" si="114"/>
        <v>2010</v>
      </c>
      <c r="F536" s="3">
        <f t="shared" si="115"/>
        <v>5</v>
      </c>
      <c r="G536" s="3">
        <f t="shared" si="116"/>
        <v>19</v>
      </c>
      <c r="H536" s="3">
        <f t="shared" si="117"/>
        <v>7</v>
      </c>
      <c r="I536" s="3">
        <f t="shared" si="118"/>
        <v>18</v>
      </c>
      <c r="J536" s="3">
        <f t="shared" si="119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0"/>
        <v>YES</v>
      </c>
      <c r="Q536" t="str">
        <f t="shared" si="121"/>
        <v>NO</v>
      </c>
      <c r="R536" t="str">
        <f t="shared" si="122"/>
        <v>NO</v>
      </c>
      <c r="T536" t="s">
        <v>14</v>
      </c>
      <c r="U536" t="str">
        <f t="shared" si="123"/>
        <v>Massachusetts Ave</v>
      </c>
      <c r="V536" t="s">
        <v>1124</v>
      </c>
      <c r="W536" t="str">
        <f t="shared" si="124"/>
        <v>Magoun St</v>
      </c>
      <c r="X536" t="str">
        <f>IF(ISBLANK(S536),"Intersection","Non-Intersection")</f>
        <v>Intersection</v>
      </c>
      <c r="Y536" t="s">
        <v>1125</v>
      </c>
      <c r="Z536" t="str">
        <f t="shared" si="125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12"/>
        <v>40179</v>
      </c>
      <c r="D537" s="4">
        <f t="shared" si="113"/>
        <v>0.37808219178082192</v>
      </c>
      <c r="E537" s="3">
        <f t="shared" si="114"/>
        <v>2010</v>
      </c>
      <c r="F537" s="3">
        <f t="shared" si="115"/>
        <v>5</v>
      </c>
      <c r="G537" s="3">
        <f t="shared" si="116"/>
        <v>19</v>
      </c>
      <c r="H537" s="3">
        <f t="shared" si="117"/>
        <v>8</v>
      </c>
      <c r="I537" s="3">
        <f t="shared" si="118"/>
        <v>35</v>
      </c>
      <c r="J537" s="3">
        <f t="shared" si="119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0"/>
        <v>YES</v>
      </c>
      <c r="Q537" t="str">
        <f t="shared" si="121"/>
        <v>NO</v>
      </c>
      <c r="R537" t="str">
        <f t="shared" si="122"/>
        <v>NO</v>
      </c>
      <c r="T537" t="s">
        <v>14</v>
      </c>
      <c r="U537" t="str">
        <f t="shared" si="123"/>
        <v>Massachusetts Ave</v>
      </c>
      <c r="V537" t="s">
        <v>550</v>
      </c>
      <c r="W537" t="str">
        <f t="shared" si="124"/>
        <v>Upland Rd</v>
      </c>
      <c r="X537" t="str">
        <f>IF(ISBLANK(S537),"Intersection","Non-Intersection")</f>
        <v>Intersection</v>
      </c>
      <c r="Y537" t="s">
        <v>551</v>
      </c>
      <c r="Z537" t="str">
        <f t="shared" si="125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12"/>
        <v>40179</v>
      </c>
      <c r="D538" s="4">
        <f t="shared" si="113"/>
        <v>0.37808219178082192</v>
      </c>
      <c r="E538" s="3">
        <f t="shared" si="114"/>
        <v>2010</v>
      </c>
      <c r="F538" s="3">
        <f t="shared" si="115"/>
        <v>5</v>
      </c>
      <c r="G538" s="3">
        <f t="shared" si="116"/>
        <v>19</v>
      </c>
      <c r="H538" s="3">
        <f t="shared" si="117"/>
        <v>13</v>
      </c>
      <c r="I538" s="3">
        <f t="shared" si="118"/>
        <v>57</v>
      </c>
      <c r="J538" s="3">
        <f t="shared" si="119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0"/>
        <v>YES</v>
      </c>
      <c r="Q538" t="str">
        <f t="shared" si="121"/>
        <v>NO</v>
      </c>
      <c r="R538" t="str">
        <f t="shared" si="122"/>
        <v>NO</v>
      </c>
      <c r="T538" t="s">
        <v>32</v>
      </c>
      <c r="U538" t="str">
        <f t="shared" si="123"/>
        <v>Main St</v>
      </c>
      <c r="V538" t="s">
        <v>796</v>
      </c>
      <c r="W538" t="str">
        <f t="shared" si="124"/>
        <v>Portland St</v>
      </c>
      <c r="X538" t="str">
        <f>IF(ISBLANK(S538),"Intersection","Non-Intersection")</f>
        <v>Intersection</v>
      </c>
      <c r="Y538" t="s">
        <v>932</v>
      </c>
      <c r="Z538" t="str">
        <f t="shared" si="125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12"/>
        <v>40179</v>
      </c>
      <c r="D539" s="4">
        <f t="shared" si="113"/>
        <v>0.37808219178082192</v>
      </c>
      <c r="E539" s="3">
        <f t="shared" si="114"/>
        <v>2010</v>
      </c>
      <c r="F539" s="3">
        <f t="shared" si="115"/>
        <v>5</v>
      </c>
      <c r="G539" s="3">
        <f t="shared" si="116"/>
        <v>19</v>
      </c>
      <c r="H539" s="3">
        <f t="shared" si="117"/>
        <v>19</v>
      </c>
      <c r="I539" s="3">
        <f t="shared" si="118"/>
        <v>44</v>
      </c>
      <c r="J539" s="3">
        <f t="shared" si="119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0"/>
        <v>YES</v>
      </c>
      <c r="Q539" t="str">
        <f t="shared" si="121"/>
        <v>NO</v>
      </c>
      <c r="R539" t="str">
        <f t="shared" si="122"/>
        <v>NO</v>
      </c>
      <c r="T539" t="s">
        <v>37</v>
      </c>
      <c r="U539" t="str">
        <f t="shared" si="123"/>
        <v>Magazine St</v>
      </c>
      <c r="W539" t="str">
        <f t="shared" si="124"/>
        <v/>
      </c>
      <c r="X539" t="str">
        <f>IF(ISBLANK(S539),"Intersection","Non-Intersection")</f>
        <v>Intersection</v>
      </c>
      <c r="Y539" t="s">
        <v>176</v>
      </c>
      <c r="Z539" t="str">
        <f t="shared" si="125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12"/>
        <v>40179</v>
      </c>
      <c r="D540" s="4">
        <f t="shared" si="113"/>
        <v>0.37808219178082192</v>
      </c>
      <c r="E540" s="3">
        <f t="shared" si="114"/>
        <v>2010</v>
      </c>
      <c r="F540" s="3">
        <f t="shared" si="115"/>
        <v>5</v>
      </c>
      <c r="G540" s="3">
        <f t="shared" si="116"/>
        <v>19</v>
      </c>
      <c r="H540" s="3">
        <f t="shared" si="117"/>
        <v>19</v>
      </c>
      <c r="I540" s="3">
        <f t="shared" si="118"/>
        <v>2</v>
      </c>
      <c r="J540" s="3">
        <f t="shared" si="119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0"/>
        <v>YES</v>
      </c>
      <c r="Q540" t="str">
        <f t="shared" si="121"/>
        <v>YES</v>
      </c>
      <c r="R540" t="str">
        <f t="shared" si="122"/>
        <v>NO</v>
      </c>
      <c r="S540">
        <v>602</v>
      </c>
      <c r="T540" t="s">
        <v>509</v>
      </c>
      <c r="U540" t="str">
        <f t="shared" si="123"/>
        <v>Green St</v>
      </c>
      <c r="W540" t="str">
        <f t="shared" si="124"/>
        <v/>
      </c>
      <c r="X540" t="str">
        <f>IF(ISBLANK(S540),"Intersection","Non-Intersection")</f>
        <v>Non-Intersection</v>
      </c>
      <c r="Y540" t="s">
        <v>1127</v>
      </c>
      <c r="Z540" t="str">
        <f t="shared" si="125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12"/>
        <v>40179</v>
      </c>
      <c r="D541" s="4">
        <f t="shared" si="113"/>
        <v>0.38082191780821917</v>
      </c>
      <c r="E541" s="3">
        <f t="shared" si="114"/>
        <v>2010</v>
      </c>
      <c r="F541" s="3">
        <f t="shared" si="115"/>
        <v>5</v>
      </c>
      <c r="G541" s="3">
        <f t="shared" si="116"/>
        <v>20</v>
      </c>
      <c r="H541" s="3">
        <f t="shared" si="117"/>
        <v>0</v>
      </c>
      <c r="I541" s="3">
        <f t="shared" si="118"/>
        <v>49</v>
      </c>
      <c r="J541" s="3">
        <f t="shared" si="119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0"/>
        <v>YES</v>
      </c>
      <c r="Q541" t="str">
        <f t="shared" si="121"/>
        <v>NO</v>
      </c>
      <c r="R541" t="str">
        <f t="shared" si="122"/>
        <v>NO</v>
      </c>
      <c r="T541" t="s">
        <v>14</v>
      </c>
      <c r="U541" t="str">
        <f t="shared" si="123"/>
        <v>Massachusetts Ave</v>
      </c>
      <c r="V541" t="s">
        <v>104</v>
      </c>
      <c r="W541" t="str">
        <f t="shared" si="124"/>
        <v>Inman St</v>
      </c>
      <c r="X541" t="str">
        <f>IF(ISBLANK(S541),"Intersection","Non-Intersection")</f>
        <v>Intersection</v>
      </c>
      <c r="Y541" t="s">
        <v>1129</v>
      </c>
      <c r="Z541" t="str">
        <f t="shared" si="125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12"/>
        <v>40179</v>
      </c>
      <c r="D542" s="4">
        <f t="shared" si="113"/>
        <v>0.38082191780821917</v>
      </c>
      <c r="E542" s="3">
        <f t="shared" si="114"/>
        <v>2010</v>
      </c>
      <c r="F542" s="3">
        <f t="shared" si="115"/>
        <v>5</v>
      </c>
      <c r="G542" s="3">
        <f t="shared" si="116"/>
        <v>20</v>
      </c>
      <c r="H542" s="3">
        <f t="shared" si="117"/>
        <v>5</v>
      </c>
      <c r="I542" s="3">
        <f t="shared" si="118"/>
        <v>36</v>
      </c>
      <c r="J542" s="3">
        <f t="shared" si="119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0"/>
        <v>YES</v>
      </c>
      <c r="Q542" t="str">
        <f t="shared" si="121"/>
        <v>NO</v>
      </c>
      <c r="R542" t="str">
        <f t="shared" si="122"/>
        <v>NO</v>
      </c>
      <c r="T542" t="s">
        <v>186</v>
      </c>
      <c r="U542" t="str">
        <f t="shared" si="123"/>
        <v>Concord Ave</v>
      </c>
      <c r="V542" t="s">
        <v>287</v>
      </c>
      <c r="W542" t="str">
        <f t="shared" si="124"/>
        <v>Alpine St</v>
      </c>
      <c r="X542" t="str">
        <f>IF(ISBLANK(S542),"Intersection","Non-Intersection")</f>
        <v>Intersection</v>
      </c>
      <c r="Y542" t="s">
        <v>1130</v>
      </c>
      <c r="Z542" t="str">
        <f t="shared" si="125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12"/>
        <v>40179</v>
      </c>
      <c r="D543" s="4">
        <f t="shared" si="113"/>
        <v>0.38082191780821917</v>
      </c>
      <c r="E543" s="3">
        <f t="shared" si="114"/>
        <v>2010</v>
      </c>
      <c r="F543" s="3">
        <f t="shared" si="115"/>
        <v>5</v>
      </c>
      <c r="G543" s="3">
        <f t="shared" si="116"/>
        <v>20</v>
      </c>
      <c r="H543" s="3">
        <f t="shared" si="117"/>
        <v>13</v>
      </c>
      <c r="I543" s="3">
        <f t="shared" si="118"/>
        <v>9</v>
      </c>
      <c r="J543" s="3">
        <f t="shared" si="119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0"/>
        <v>YES</v>
      </c>
      <c r="Q543" t="str">
        <f t="shared" si="121"/>
        <v>NO</v>
      </c>
      <c r="R543" t="str">
        <f t="shared" si="122"/>
        <v>NO</v>
      </c>
      <c r="T543" t="s">
        <v>186</v>
      </c>
      <c r="U543" t="str">
        <f t="shared" si="123"/>
        <v>Concord Ave</v>
      </c>
      <c r="V543" t="s">
        <v>1132</v>
      </c>
      <c r="W543" t="str">
        <f t="shared" si="124"/>
        <v>Moulton St</v>
      </c>
      <c r="X543" t="str">
        <f>IF(ISBLANK(S543),"Intersection","Non-Intersection")</f>
        <v>Intersection</v>
      </c>
      <c r="Y543" t="s">
        <v>1133</v>
      </c>
      <c r="Z543" t="str">
        <f t="shared" si="125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12"/>
        <v>40179</v>
      </c>
      <c r="D544" s="4">
        <f t="shared" si="113"/>
        <v>0.38082191780821917</v>
      </c>
      <c r="E544" s="3">
        <f t="shared" si="114"/>
        <v>2010</v>
      </c>
      <c r="F544" s="3">
        <f t="shared" si="115"/>
        <v>5</v>
      </c>
      <c r="G544" s="3">
        <f t="shared" si="116"/>
        <v>20</v>
      </c>
      <c r="H544" s="3">
        <f t="shared" si="117"/>
        <v>15</v>
      </c>
      <c r="I544" s="3">
        <f t="shared" si="118"/>
        <v>29</v>
      </c>
      <c r="J544" s="3">
        <f t="shared" si="119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0"/>
        <v>YES</v>
      </c>
      <c r="Q544" t="str">
        <f t="shared" si="121"/>
        <v>NO</v>
      </c>
      <c r="R544" t="str">
        <f t="shared" si="122"/>
        <v>NO</v>
      </c>
      <c r="S544">
        <v>402</v>
      </c>
      <c r="T544" t="s">
        <v>15</v>
      </c>
      <c r="U544" t="str">
        <f t="shared" si="123"/>
        <v>Rindge Ave</v>
      </c>
      <c r="W544" t="str">
        <f t="shared" si="124"/>
        <v/>
      </c>
      <c r="X544" t="str">
        <f>IF(ISBLANK(S544),"Intersection","Non-Intersection")</f>
        <v>Non-Intersection</v>
      </c>
      <c r="Y544" t="s">
        <v>1135</v>
      </c>
      <c r="Z544" t="str">
        <f t="shared" si="125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12"/>
        <v>40179</v>
      </c>
      <c r="D545" s="4">
        <f t="shared" si="113"/>
        <v>0.38082191780821917</v>
      </c>
      <c r="E545" s="3">
        <f t="shared" si="114"/>
        <v>2010</v>
      </c>
      <c r="F545" s="3">
        <f t="shared" si="115"/>
        <v>5</v>
      </c>
      <c r="G545" s="3">
        <f t="shared" si="116"/>
        <v>20</v>
      </c>
      <c r="H545" s="3">
        <f t="shared" si="117"/>
        <v>15</v>
      </c>
      <c r="I545" s="3">
        <f t="shared" si="118"/>
        <v>13</v>
      </c>
      <c r="J545" s="3">
        <f t="shared" si="119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0"/>
        <v>YES</v>
      </c>
      <c r="Q545" t="str">
        <f t="shared" si="121"/>
        <v>NO</v>
      </c>
      <c r="R545" t="str">
        <f t="shared" si="122"/>
        <v>NO</v>
      </c>
      <c r="S545">
        <v>186</v>
      </c>
      <c r="T545" t="s">
        <v>170</v>
      </c>
      <c r="U545" t="str">
        <f t="shared" si="123"/>
        <v>Alewife Brook Pky</v>
      </c>
      <c r="W545" t="str">
        <f t="shared" si="124"/>
        <v/>
      </c>
      <c r="X545" t="str">
        <f>IF(ISBLANK(S545),"Intersection","Non-Intersection")</f>
        <v>Non-Intersection</v>
      </c>
      <c r="Y545" t="s">
        <v>242</v>
      </c>
      <c r="Z545" t="str">
        <f t="shared" si="125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12"/>
        <v>40179</v>
      </c>
      <c r="D546" s="4">
        <f t="shared" si="113"/>
        <v>0.38082191780821917</v>
      </c>
      <c r="E546" s="3">
        <f t="shared" si="114"/>
        <v>2010</v>
      </c>
      <c r="F546" s="3">
        <f t="shared" si="115"/>
        <v>5</v>
      </c>
      <c r="G546" s="3">
        <f t="shared" si="116"/>
        <v>20</v>
      </c>
      <c r="H546" s="3">
        <f t="shared" si="117"/>
        <v>15</v>
      </c>
      <c r="I546" s="3">
        <f t="shared" si="118"/>
        <v>13</v>
      </c>
      <c r="J546" s="3">
        <f t="shared" si="119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0"/>
        <v>YES</v>
      </c>
      <c r="Q546" t="str">
        <f t="shared" si="121"/>
        <v>NO</v>
      </c>
      <c r="R546" t="str">
        <f t="shared" si="122"/>
        <v>NO</v>
      </c>
      <c r="S546">
        <v>186</v>
      </c>
      <c r="T546" t="s">
        <v>170</v>
      </c>
      <c r="U546" t="str">
        <f t="shared" si="123"/>
        <v>Alewife Brook Pky</v>
      </c>
      <c r="W546" t="str">
        <f t="shared" si="124"/>
        <v/>
      </c>
      <c r="X546" t="str">
        <f>IF(ISBLANK(S546),"Intersection","Non-Intersection")</f>
        <v>Non-Intersection</v>
      </c>
      <c r="Y546" t="s">
        <v>242</v>
      </c>
      <c r="Z546" t="str">
        <f t="shared" si="125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12"/>
        <v>40179</v>
      </c>
      <c r="D547" s="4">
        <f t="shared" si="113"/>
        <v>0.38356164383561642</v>
      </c>
      <c r="E547" s="3">
        <f t="shared" si="114"/>
        <v>2010</v>
      </c>
      <c r="F547" s="3">
        <f t="shared" si="115"/>
        <v>5</v>
      </c>
      <c r="G547" s="3">
        <f t="shared" si="116"/>
        <v>21</v>
      </c>
      <c r="H547" s="3">
        <f t="shared" si="117"/>
        <v>9</v>
      </c>
      <c r="I547" s="3">
        <f t="shared" si="118"/>
        <v>30</v>
      </c>
      <c r="J547" s="3">
        <f t="shared" si="119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0"/>
        <v>YES</v>
      </c>
      <c r="Q547" t="str">
        <f t="shared" si="121"/>
        <v>NO</v>
      </c>
      <c r="R547" t="str">
        <f t="shared" si="122"/>
        <v>NO</v>
      </c>
      <c r="S547">
        <v>149</v>
      </c>
      <c r="T547" t="s">
        <v>42</v>
      </c>
      <c r="U547" t="str">
        <f t="shared" si="123"/>
        <v>Putnam Ave</v>
      </c>
      <c r="W547" t="str">
        <f t="shared" si="124"/>
        <v/>
      </c>
      <c r="X547" t="str">
        <f>IF(ISBLANK(S547),"Intersection","Non-Intersection")</f>
        <v>Non-Intersection</v>
      </c>
      <c r="Y547" t="s">
        <v>1137</v>
      </c>
      <c r="Z547" t="str">
        <f t="shared" si="125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12"/>
        <v>40179</v>
      </c>
      <c r="D548" s="4">
        <f t="shared" si="113"/>
        <v>0.38356164383561642</v>
      </c>
      <c r="E548" s="3">
        <f t="shared" si="114"/>
        <v>2010</v>
      </c>
      <c r="F548" s="3">
        <f t="shared" si="115"/>
        <v>5</v>
      </c>
      <c r="G548" s="3">
        <f t="shared" si="116"/>
        <v>21</v>
      </c>
      <c r="H548" s="3">
        <f t="shared" si="117"/>
        <v>10</v>
      </c>
      <c r="I548" s="3">
        <f t="shared" si="118"/>
        <v>30</v>
      </c>
      <c r="J548" s="3">
        <f t="shared" si="119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0"/>
        <v>YES</v>
      </c>
      <c r="Q548" t="str">
        <f t="shared" si="121"/>
        <v>NO</v>
      </c>
      <c r="R548" t="str">
        <f t="shared" si="122"/>
        <v>NO</v>
      </c>
      <c r="S548">
        <v>620</v>
      </c>
      <c r="T548" t="s">
        <v>203</v>
      </c>
      <c r="U548" t="str">
        <f t="shared" si="123"/>
        <v>Memorial Dr</v>
      </c>
      <c r="V548" t="s">
        <v>202</v>
      </c>
      <c r="W548" t="str">
        <f t="shared" si="124"/>
        <v>Vassar St</v>
      </c>
      <c r="X548" t="str">
        <f>IF(ISBLANK(S548),"Intersection","Non-Intersection")</f>
        <v>Non-Intersection</v>
      </c>
      <c r="Y548" t="s">
        <v>1139</v>
      </c>
      <c r="Z548" t="str">
        <f t="shared" si="125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12"/>
        <v>40179</v>
      </c>
      <c r="D549" s="4">
        <f t="shared" si="113"/>
        <v>0.38356164383561642</v>
      </c>
      <c r="E549" s="3">
        <f t="shared" si="114"/>
        <v>2010</v>
      </c>
      <c r="F549" s="3">
        <f t="shared" si="115"/>
        <v>5</v>
      </c>
      <c r="G549" s="3">
        <f t="shared" si="116"/>
        <v>21</v>
      </c>
      <c r="H549" s="3">
        <f t="shared" si="117"/>
        <v>10</v>
      </c>
      <c r="I549" s="3">
        <f t="shared" si="118"/>
        <v>31</v>
      </c>
      <c r="J549" s="3">
        <f t="shared" si="119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0"/>
        <v>YES</v>
      </c>
      <c r="Q549" t="str">
        <f t="shared" si="121"/>
        <v>NO</v>
      </c>
      <c r="R549" t="str">
        <f t="shared" si="122"/>
        <v>NO</v>
      </c>
      <c r="T549" t="s">
        <v>185</v>
      </c>
      <c r="U549" t="str">
        <f t="shared" si="123"/>
        <v>Garden St</v>
      </c>
      <c r="V549" t="s">
        <v>296</v>
      </c>
      <c r="W549" t="str">
        <f t="shared" si="124"/>
        <v>Mason St</v>
      </c>
      <c r="X549" t="str">
        <f>IF(ISBLANK(S549),"Intersection","Non-Intersection")</f>
        <v>Intersection</v>
      </c>
      <c r="Y549" t="s">
        <v>594</v>
      </c>
      <c r="Z549" t="str">
        <f t="shared" si="125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12"/>
        <v>40179</v>
      </c>
      <c r="D550" s="4">
        <f t="shared" si="113"/>
        <v>0.38356164383561642</v>
      </c>
      <c r="E550" s="3">
        <f t="shared" si="114"/>
        <v>2010</v>
      </c>
      <c r="F550" s="3">
        <f t="shared" si="115"/>
        <v>5</v>
      </c>
      <c r="G550" s="3">
        <f t="shared" si="116"/>
        <v>21</v>
      </c>
      <c r="H550" s="3">
        <f t="shared" si="117"/>
        <v>12</v>
      </c>
      <c r="I550" s="3">
        <f t="shared" si="118"/>
        <v>30</v>
      </c>
      <c r="J550" s="3">
        <f t="shared" si="119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0"/>
        <v>YES</v>
      </c>
      <c r="Q550" t="str">
        <f t="shared" si="121"/>
        <v>NO</v>
      </c>
      <c r="R550" t="str">
        <f t="shared" si="122"/>
        <v>NO</v>
      </c>
      <c r="T550" t="s">
        <v>14</v>
      </c>
      <c r="U550" t="str">
        <f t="shared" si="123"/>
        <v>Massachusetts Ave</v>
      </c>
      <c r="V550" t="s">
        <v>550</v>
      </c>
      <c r="W550" t="str">
        <f t="shared" si="124"/>
        <v>Upland Rd</v>
      </c>
      <c r="X550" t="str">
        <f>IF(ISBLANK(S550),"Intersection","Non-Intersection")</f>
        <v>Intersection</v>
      </c>
      <c r="Y550" t="s">
        <v>551</v>
      </c>
      <c r="Z550" t="str">
        <f t="shared" si="125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26">EOMONTH(B551,MONTH(B551)*-1)+1</f>
        <v>40179</v>
      </c>
      <c r="D551" s="4">
        <f t="shared" ref="D551:D612" si="127">YEARFRAC(C551,B551,1)</f>
        <v>0.38356164383561642</v>
      </c>
      <c r="E551" s="3">
        <f t="shared" ref="E551:E612" si="128">YEAR(B551)</f>
        <v>2010</v>
      </c>
      <c r="F551" s="3">
        <f t="shared" ref="F551:F612" si="129">MONTH(B551)</f>
        <v>5</v>
      </c>
      <c r="G551" s="3">
        <f t="shared" ref="G551:G612" si="130">DAY(B551)</f>
        <v>21</v>
      </c>
      <c r="H551" s="3">
        <f t="shared" ref="H551:H612" si="131">HOUR(B551)</f>
        <v>14</v>
      </c>
      <c r="I551" s="3">
        <f t="shared" ref="I551:I612" si="132">MINUTE(B551)</f>
        <v>49</v>
      </c>
      <c r="J551" s="3">
        <f t="shared" ref="J551:J612" si="133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34">IF(OR(N551="Auto",O551="Auto"),"YES",IF(OR(N551="Taxi",O551="Taxi"),"YES",IF(OR(N551="Van",O551="Van"),"YES",IF(OR(N551="Truck",O551="Truck"),"YES","NO"))))</f>
        <v>YES</v>
      </c>
      <c r="Q551" t="str">
        <f t="shared" ref="Q551:Q612" si="135">IF(OR(N551="Bicycle",O551="Bicycle"),"YES","NO")</f>
        <v>NO</v>
      </c>
      <c r="R551" t="str">
        <f t="shared" ref="R551:R612" si="136">IF(OR(N551="Pedestrian",O551="Pedestrian"),"YES","NO")</f>
        <v>NO</v>
      </c>
      <c r="S551">
        <v>51</v>
      </c>
      <c r="T551" t="s">
        <v>156</v>
      </c>
      <c r="U551" t="str">
        <f t="shared" si="123"/>
        <v>Magee St</v>
      </c>
      <c r="W551" t="str">
        <f t="shared" si="124"/>
        <v/>
      </c>
      <c r="X551" t="str">
        <f>IF(ISBLANK(S551),"Intersection","Non-Intersection")</f>
        <v>Non-Intersection</v>
      </c>
      <c r="Y551" t="s">
        <v>1141</v>
      </c>
      <c r="Z551" t="str">
        <f t="shared" si="125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26"/>
        <v>40179</v>
      </c>
      <c r="D552" s="4">
        <f t="shared" si="127"/>
        <v>0.38356164383561642</v>
      </c>
      <c r="E552" s="3">
        <f t="shared" si="128"/>
        <v>2010</v>
      </c>
      <c r="F552" s="3">
        <f t="shared" si="129"/>
        <v>5</v>
      </c>
      <c r="G552" s="3">
        <f t="shared" si="130"/>
        <v>21</v>
      </c>
      <c r="H552" s="3">
        <f t="shared" si="131"/>
        <v>15</v>
      </c>
      <c r="I552" s="3">
        <f t="shared" si="132"/>
        <v>30</v>
      </c>
      <c r="J552" s="3">
        <f t="shared" si="133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34"/>
        <v>YES</v>
      </c>
      <c r="Q552" t="str">
        <f t="shared" si="135"/>
        <v>NO</v>
      </c>
      <c r="R552" t="str">
        <f t="shared" si="136"/>
        <v>NO</v>
      </c>
      <c r="S552">
        <v>100</v>
      </c>
      <c r="T552" t="s">
        <v>1062</v>
      </c>
      <c r="U552" t="str">
        <f t="shared" si="123"/>
        <v>Cambridgeside Pl</v>
      </c>
      <c r="W552" t="str">
        <f t="shared" si="124"/>
        <v/>
      </c>
      <c r="X552" t="str">
        <f>IF(ISBLANK(S552),"Intersection","Non-Intersection")</f>
        <v>Non-Intersection</v>
      </c>
      <c r="Y552" t="s">
        <v>1143</v>
      </c>
      <c r="Z552" t="str">
        <f t="shared" si="125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26"/>
        <v>40179</v>
      </c>
      <c r="D553" s="4">
        <f t="shared" si="127"/>
        <v>0.38356164383561642</v>
      </c>
      <c r="E553" s="3">
        <f t="shared" si="128"/>
        <v>2010</v>
      </c>
      <c r="F553" s="3">
        <f t="shared" si="129"/>
        <v>5</v>
      </c>
      <c r="G553" s="3">
        <f t="shared" si="130"/>
        <v>21</v>
      </c>
      <c r="H553" s="3">
        <f t="shared" si="131"/>
        <v>15</v>
      </c>
      <c r="I553" s="3">
        <f t="shared" si="132"/>
        <v>59</v>
      </c>
      <c r="J553" s="3">
        <f t="shared" si="133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34"/>
        <v>YES</v>
      </c>
      <c r="Q553" t="str">
        <f t="shared" si="135"/>
        <v>NO</v>
      </c>
      <c r="R553" t="str">
        <f t="shared" si="136"/>
        <v>NO</v>
      </c>
      <c r="T553" t="s">
        <v>1145</v>
      </c>
      <c r="U553" t="str">
        <f t="shared" si="123"/>
        <v>Pemberton St</v>
      </c>
      <c r="V553" t="s">
        <v>1146</v>
      </c>
      <c r="W553" t="str">
        <f t="shared" si="124"/>
        <v>Pemberton Ter</v>
      </c>
      <c r="X553" t="str">
        <f>IF(ISBLANK(S553),"Intersection","Non-Intersection")</f>
        <v>Intersection</v>
      </c>
      <c r="Y553" t="s">
        <v>1147</v>
      </c>
      <c r="Z553" t="str">
        <f t="shared" si="125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26"/>
        <v>40179</v>
      </c>
      <c r="D554" s="4">
        <f t="shared" si="127"/>
        <v>0.38356164383561642</v>
      </c>
      <c r="E554" s="3">
        <f t="shared" si="128"/>
        <v>2010</v>
      </c>
      <c r="F554" s="3">
        <f t="shared" si="129"/>
        <v>5</v>
      </c>
      <c r="G554" s="3">
        <f t="shared" si="130"/>
        <v>21</v>
      </c>
      <c r="H554" s="3">
        <f t="shared" si="131"/>
        <v>18</v>
      </c>
      <c r="I554" s="3">
        <f t="shared" si="132"/>
        <v>24</v>
      </c>
      <c r="J554" s="3">
        <f t="shared" si="133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34"/>
        <v>YES</v>
      </c>
      <c r="Q554" t="str">
        <f t="shared" si="135"/>
        <v>NO</v>
      </c>
      <c r="R554" t="str">
        <f t="shared" si="136"/>
        <v>NO</v>
      </c>
      <c r="T554" t="s">
        <v>1149</v>
      </c>
      <c r="U554" t="str">
        <f t="shared" si="123"/>
        <v>Jefferson St</v>
      </c>
      <c r="V554" t="s">
        <v>406</v>
      </c>
      <c r="W554" t="str">
        <f t="shared" si="124"/>
        <v>Marion St</v>
      </c>
      <c r="X554" t="str">
        <f>IF(ISBLANK(S554),"Intersection","Non-Intersection")</f>
        <v>Intersection</v>
      </c>
      <c r="Y554" t="s">
        <v>1150</v>
      </c>
      <c r="Z554" t="str">
        <f t="shared" si="125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26"/>
        <v>40179</v>
      </c>
      <c r="D555" s="4">
        <f t="shared" si="127"/>
        <v>0.38356164383561642</v>
      </c>
      <c r="E555" s="3">
        <f t="shared" si="128"/>
        <v>2010</v>
      </c>
      <c r="F555" s="3">
        <f t="shared" si="129"/>
        <v>5</v>
      </c>
      <c r="G555" s="3">
        <f t="shared" si="130"/>
        <v>21</v>
      </c>
      <c r="H555" s="3">
        <f t="shared" si="131"/>
        <v>9</v>
      </c>
      <c r="I555" s="3">
        <f t="shared" si="132"/>
        <v>0</v>
      </c>
      <c r="J555" s="3">
        <f t="shared" si="133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34"/>
        <v>YES</v>
      </c>
      <c r="Q555" t="str">
        <f t="shared" si="135"/>
        <v>NO</v>
      </c>
      <c r="R555" t="str">
        <f t="shared" si="136"/>
        <v>NO</v>
      </c>
      <c r="S555">
        <v>100</v>
      </c>
      <c r="T555" t="s">
        <v>1062</v>
      </c>
      <c r="U555" t="str">
        <f t="shared" si="123"/>
        <v>Cambridgeside Pl</v>
      </c>
      <c r="W555" t="str">
        <f t="shared" si="124"/>
        <v/>
      </c>
      <c r="X555" t="str">
        <f>IF(ISBLANK(S555),"Intersection","Non-Intersection")</f>
        <v>Non-Intersection</v>
      </c>
      <c r="Y555" t="s">
        <v>1143</v>
      </c>
      <c r="Z555" t="str">
        <f t="shared" si="125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26"/>
        <v>40179</v>
      </c>
      <c r="D556" s="4">
        <f t="shared" si="127"/>
        <v>0.38356164383561642</v>
      </c>
      <c r="E556" s="3">
        <f t="shared" si="128"/>
        <v>2010</v>
      </c>
      <c r="F556" s="3">
        <f t="shared" si="129"/>
        <v>5</v>
      </c>
      <c r="G556" s="3">
        <f t="shared" si="130"/>
        <v>21</v>
      </c>
      <c r="H556" s="3">
        <f t="shared" si="131"/>
        <v>10</v>
      </c>
      <c r="I556" s="3">
        <f t="shared" si="132"/>
        <v>44</v>
      </c>
      <c r="J556" s="3">
        <f t="shared" si="133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34"/>
        <v>YES</v>
      </c>
      <c r="Q556" t="str">
        <f t="shared" si="135"/>
        <v>YES</v>
      </c>
      <c r="R556" t="str">
        <f t="shared" si="136"/>
        <v>NO</v>
      </c>
      <c r="T556" t="s">
        <v>195</v>
      </c>
      <c r="U556" t="str">
        <f t="shared" si="123"/>
        <v>Sidney St</v>
      </c>
      <c r="V556" t="s">
        <v>1152</v>
      </c>
      <c r="W556" t="str">
        <f t="shared" si="124"/>
        <v>Hamilton St</v>
      </c>
      <c r="X556" t="str">
        <f>IF(ISBLANK(S556),"Intersection","Non-Intersection")</f>
        <v>Intersection</v>
      </c>
      <c r="Y556" t="s">
        <v>1153</v>
      </c>
      <c r="Z556" t="str">
        <f t="shared" si="125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26"/>
        <v>40179</v>
      </c>
      <c r="D557" s="4">
        <f t="shared" si="127"/>
        <v>0.38630136986301372</v>
      </c>
      <c r="E557" s="3">
        <f t="shared" si="128"/>
        <v>2010</v>
      </c>
      <c r="F557" s="3">
        <f t="shared" si="129"/>
        <v>5</v>
      </c>
      <c r="G557" s="3">
        <f t="shared" si="130"/>
        <v>22</v>
      </c>
      <c r="H557" s="3">
        <f t="shared" si="131"/>
        <v>12</v>
      </c>
      <c r="I557" s="3">
        <f t="shared" si="132"/>
        <v>59</v>
      </c>
      <c r="J557" s="3">
        <f t="shared" si="133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34"/>
        <v>YES</v>
      </c>
      <c r="Q557" t="str">
        <f t="shared" si="135"/>
        <v>NO</v>
      </c>
      <c r="R557" t="str">
        <f t="shared" si="136"/>
        <v>NO</v>
      </c>
      <c r="S557">
        <v>1</v>
      </c>
      <c r="T557" t="s">
        <v>1155</v>
      </c>
      <c r="U557" t="str">
        <f t="shared" si="123"/>
        <v>Matignon Rd</v>
      </c>
      <c r="W557" t="str">
        <f t="shared" si="124"/>
        <v/>
      </c>
      <c r="X557" t="str">
        <f>IF(ISBLANK(S557),"Intersection","Non-Intersection")</f>
        <v>Non-Intersection</v>
      </c>
      <c r="Y557" t="s">
        <v>1156</v>
      </c>
      <c r="Z557" t="str">
        <f t="shared" si="125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26"/>
        <v>40179</v>
      </c>
      <c r="D558" s="4">
        <f t="shared" si="127"/>
        <v>0.38630136986301372</v>
      </c>
      <c r="E558" s="3">
        <f t="shared" si="128"/>
        <v>2010</v>
      </c>
      <c r="F558" s="3">
        <f t="shared" si="129"/>
        <v>5</v>
      </c>
      <c r="G558" s="3">
        <f t="shared" si="130"/>
        <v>22</v>
      </c>
      <c r="H558" s="3">
        <f t="shared" si="131"/>
        <v>14</v>
      </c>
      <c r="I558" s="3">
        <f t="shared" si="132"/>
        <v>20</v>
      </c>
      <c r="J558" s="3">
        <f t="shared" si="133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34"/>
        <v>YES</v>
      </c>
      <c r="Q558" t="str">
        <f t="shared" si="135"/>
        <v>NO</v>
      </c>
      <c r="R558" t="str">
        <f t="shared" si="136"/>
        <v>NO</v>
      </c>
      <c r="S558">
        <v>100</v>
      </c>
      <c r="T558" t="s">
        <v>1062</v>
      </c>
      <c r="U558" t="str">
        <f t="shared" si="123"/>
        <v>Cambridgeside Pl</v>
      </c>
      <c r="W558" t="str">
        <f t="shared" si="124"/>
        <v/>
      </c>
      <c r="X558" t="str">
        <f>IF(ISBLANK(S558),"Intersection","Non-Intersection")</f>
        <v>Non-Intersection</v>
      </c>
      <c r="Y558" t="s">
        <v>1143</v>
      </c>
      <c r="Z558" t="str">
        <f t="shared" si="125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26"/>
        <v>40179</v>
      </c>
      <c r="D559" s="4">
        <f t="shared" si="127"/>
        <v>0.38630136986301372</v>
      </c>
      <c r="E559" s="3">
        <f t="shared" si="128"/>
        <v>2010</v>
      </c>
      <c r="F559" s="3">
        <f t="shared" si="129"/>
        <v>5</v>
      </c>
      <c r="G559" s="3">
        <f t="shared" si="130"/>
        <v>22</v>
      </c>
      <c r="H559" s="3">
        <f t="shared" si="131"/>
        <v>15</v>
      </c>
      <c r="I559" s="3">
        <f t="shared" si="132"/>
        <v>59</v>
      </c>
      <c r="J559" s="3">
        <f t="shared" si="133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34"/>
        <v>YES</v>
      </c>
      <c r="Q559" t="str">
        <f t="shared" si="135"/>
        <v>YES</v>
      </c>
      <c r="R559" t="str">
        <f t="shared" si="136"/>
        <v>NO</v>
      </c>
      <c r="T559" t="s">
        <v>14</v>
      </c>
      <c r="U559" t="str">
        <f t="shared" si="123"/>
        <v>Massachusetts Ave</v>
      </c>
      <c r="V559" t="s">
        <v>189</v>
      </c>
      <c r="W559" t="str">
        <f t="shared" si="124"/>
        <v>Windsor St</v>
      </c>
      <c r="X559" t="str">
        <f>IF(ISBLANK(S559),"Intersection","Non-Intersection")</f>
        <v>Intersection</v>
      </c>
      <c r="Y559" t="s">
        <v>595</v>
      </c>
      <c r="Z559" t="str">
        <f t="shared" si="125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26"/>
        <v>40179</v>
      </c>
      <c r="D560" s="4">
        <f t="shared" si="127"/>
        <v>0.38630136986301372</v>
      </c>
      <c r="E560" s="3">
        <f t="shared" si="128"/>
        <v>2010</v>
      </c>
      <c r="F560" s="3">
        <f t="shared" si="129"/>
        <v>5</v>
      </c>
      <c r="G560" s="3">
        <f t="shared" si="130"/>
        <v>22</v>
      </c>
      <c r="H560" s="3">
        <f t="shared" si="131"/>
        <v>17</v>
      </c>
      <c r="I560" s="3">
        <f t="shared" si="132"/>
        <v>0</v>
      </c>
      <c r="J560" s="3">
        <f t="shared" si="133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34"/>
        <v>YES</v>
      </c>
      <c r="Q560" t="str">
        <f t="shared" si="135"/>
        <v>NO</v>
      </c>
      <c r="R560" t="str">
        <f t="shared" si="136"/>
        <v>NO</v>
      </c>
      <c r="S560">
        <v>8</v>
      </c>
      <c r="T560" t="s">
        <v>104</v>
      </c>
      <c r="U560" t="str">
        <f t="shared" si="123"/>
        <v>Inman St</v>
      </c>
      <c r="W560" t="str">
        <f t="shared" si="124"/>
        <v/>
      </c>
      <c r="X560" t="str">
        <f>IF(ISBLANK(S560),"Intersection","Non-Intersection")</f>
        <v>Non-Intersection</v>
      </c>
      <c r="Y560" t="s">
        <v>733</v>
      </c>
      <c r="Z560" t="str">
        <f t="shared" si="125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26"/>
        <v>40179</v>
      </c>
      <c r="D561" s="4">
        <f t="shared" si="127"/>
        <v>0.38630136986301372</v>
      </c>
      <c r="E561" s="3">
        <f t="shared" si="128"/>
        <v>2010</v>
      </c>
      <c r="F561" s="3">
        <f t="shared" si="129"/>
        <v>5</v>
      </c>
      <c r="G561" s="3">
        <f t="shared" si="130"/>
        <v>22</v>
      </c>
      <c r="H561" s="3">
        <f t="shared" si="131"/>
        <v>18</v>
      </c>
      <c r="I561" s="3">
        <f t="shared" si="132"/>
        <v>13</v>
      </c>
      <c r="J561" s="3">
        <f t="shared" si="133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34"/>
        <v>YES</v>
      </c>
      <c r="Q561" t="str">
        <f t="shared" si="135"/>
        <v>YES</v>
      </c>
      <c r="R561" t="str">
        <f t="shared" si="136"/>
        <v>NO</v>
      </c>
      <c r="T561" t="s">
        <v>15</v>
      </c>
      <c r="U561" t="str">
        <f t="shared" si="123"/>
        <v>Rindge Ave</v>
      </c>
      <c r="V561" t="s">
        <v>1158</v>
      </c>
      <c r="W561" t="str">
        <f t="shared" si="124"/>
        <v>Clifton St</v>
      </c>
      <c r="X561" t="str">
        <f>IF(ISBLANK(S561),"Intersection","Non-Intersection")</f>
        <v>Intersection</v>
      </c>
      <c r="Y561" t="s">
        <v>1159</v>
      </c>
      <c r="Z561" t="str">
        <f t="shared" si="125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26"/>
        <v>40179</v>
      </c>
      <c r="D562" s="4">
        <f t="shared" si="127"/>
        <v>0.38904109589041097</v>
      </c>
      <c r="E562" s="3">
        <f t="shared" si="128"/>
        <v>2010</v>
      </c>
      <c r="F562" s="3">
        <f t="shared" si="129"/>
        <v>5</v>
      </c>
      <c r="G562" s="3">
        <f t="shared" si="130"/>
        <v>23</v>
      </c>
      <c r="H562" s="3">
        <f t="shared" si="131"/>
        <v>4</v>
      </c>
      <c r="I562" s="3">
        <f t="shared" si="132"/>
        <v>40</v>
      </c>
      <c r="J562" s="3">
        <f t="shared" si="133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34"/>
        <v>YES</v>
      </c>
      <c r="Q562" t="str">
        <f t="shared" si="135"/>
        <v>NO</v>
      </c>
      <c r="R562" t="str">
        <f t="shared" si="136"/>
        <v>NO</v>
      </c>
      <c r="S562">
        <v>389</v>
      </c>
      <c r="T562" t="s">
        <v>133</v>
      </c>
      <c r="U562" t="str">
        <f t="shared" si="123"/>
        <v>Harvard St</v>
      </c>
      <c r="W562" t="str">
        <f t="shared" si="124"/>
        <v/>
      </c>
      <c r="X562" t="str">
        <f>IF(ISBLANK(S562),"Intersection","Non-Intersection")</f>
        <v>Non-Intersection</v>
      </c>
      <c r="Y562" t="s">
        <v>1161</v>
      </c>
      <c r="Z562" t="str">
        <f t="shared" si="125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26"/>
        <v>40179</v>
      </c>
      <c r="D563" s="4">
        <f t="shared" si="127"/>
        <v>0.38904109589041097</v>
      </c>
      <c r="E563" s="3">
        <f t="shared" si="128"/>
        <v>2010</v>
      </c>
      <c r="F563" s="3">
        <f t="shared" si="129"/>
        <v>5</v>
      </c>
      <c r="G563" s="3">
        <f t="shared" si="130"/>
        <v>23</v>
      </c>
      <c r="H563" s="3">
        <f t="shared" si="131"/>
        <v>16</v>
      </c>
      <c r="I563" s="3">
        <f t="shared" si="132"/>
        <v>38</v>
      </c>
      <c r="J563" s="3">
        <f t="shared" si="133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34"/>
        <v>YES</v>
      </c>
      <c r="Q563" t="str">
        <f t="shared" si="135"/>
        <v>NO</v>
      </c>
      <c r="R563" t="str">
        <f t="shared" si="136"/>
        <v>NO</v>
      </c>
      <c r="T563" t="s">
        <v>342</v>
      </c>
      <c r="U563" t="str">
        <f t="shared" si="123"/>
        <v>Prospect St</v>
      </c>
      <c r="V563" t="s">
        <v>14</v>
      </c>
      <c r="W563" t="str">
        <f t="shared" si="124"/>
        <v>Massachusetts Ave</v>
      </c>
      <c r="X563" t="str">
        <f>IF(ISBLANK(S563),"Intersection","Non-Intersection")</f>
        <v>Intersection</v>
      </c>
      <c r="Y563" t="s">
        <v>1163</v>
      </c>
      <c r="Z563" t="str">
        <f t="shared" si="125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26"/>
        <v>40179</v>
      </c>
      <c r="D564" s="4">
        <f t="shared" si="127"/>
        <v>0.39178082191780822</v>
      </c>
      <c r="E564" s="3">
        <f t="shared" si="128"/>
        <v>2010</v>
      </c>
      <c r="F564" s="3">
        <f t="shared" si="129"/>
        <v>5</v>
      </c>
      <c r="G564" s="3">
        <f t="shared" si="130"/>
        <v>24</v>
      </c>
      <c r="H564" s="3">
        <f t="shared" si="131"/>
        <v>9</v>
      </c>
      <c r="I564" s="3">
        <f t="shared" si="132"/>
        <v>4</v>
      </c>
      <c r="J564" s="3">
        <f t="shared" si="133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34"/>
        <v>YES</v>
      </c>
      <c r="Q564" t="str">
        <f t="shared" si="135"/>
        <v>NO</v>
      </c>
      <c r="R564" t="str">
        <f t="shared" si="136"/>
        <v>NO</v>
      </c>
      <c r="S564">
        <v>85</v>
      </c>
      <c r="T564" t="s">
        <v>42</v>
      </c>
      <c r="U564" t="str">
        <f t="shared" si="123"/>
        <v>Putnam Ave</v>
      </c>
      <c r="W564" t="str">
        <f t="shared" si="124"/>
        <v/>
      </c>
      <c r="X564" t="str">
        <f>IF(ISBLANK(S564),"Intersection","Non-Intersection")</f>
        <v>Non-Intersection</v>
      </c>
      <c r="Y564" t="s">
        <v>1164</v>
      </c>
      <c r="Z564" t="str">
        <f t="shared" si="125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26"/>
        <v>40179</v>
      </c>
      <c r="D565" s="4">
        <f t="shared" si="127"/>
        <v>0.39178082191780822</v>
      </c>
      <c r="E565" s="3">
        <f t="shared" si="128"/>
        <v>2010</v>
      </c>
      <c r="F565" s="3">
        <f t="shared" si="129"/>
        <v>5</v>
      </c>
      <c r="G565" s="3">
        <f t="shared" si="130"/>
        <v>24</v>
      </c>
      <c r="H565" s="3">
        <f t="shared" si="131"/>
        <v>17</v>
      </c>
      <c r="I565" s="3">
        <f t="shared" si="132"/>
        <v>22</v>
      </c>
      <c r="J565" s="3">
        <f t="shared" si="133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34"/>
        <v>YES</v>
      </c>
      <c r="Q565" t="str">
        <f t="shared" si="135"/>
        <v>YES</v>
      </c>
      <c r="R565" t="str">
        <f t="shared" si="136"/>
        <v>NO</v>
      </c>
      <c r="S565">
        <v>1745</v>
      </c>
      <c r="T565" t="s">
        <v>14</v>
      </c>
      <c r="U565" t="str">
        <f t="shared" si="123"/>
        <v>Massachusetts Ave</v>
      </c>
      <c r="W565" t="str">
        <f t="shared" si="124"/>
        <v/>
      </c>
      <c r="X565" t="str">
        <f>IF(ISBLANK(S565),"Intersection","Non-Intersection")</f>
        <v>Non-Intersection</v>
      </c>
      <c r="Y565" t="s">
        <v>1166</v>
      </c>
      <c r="Z565" t="str">
        <f t="shared" si="125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26"/>
        <v>40179</v>
      </c>
      <c r="D566" s="4">
        <f t="shared" si="127"/>
        <v>0.39452054794520547</v>
      </c>
      <c r="E566" s="3">
        <f t="shared" si="128"/>
        <v>2010</v>
      </c>
      <c r="F566" s="3">
        <f t="shared" si="129"/>
        <v>5</v>
      </c>
      <c r="G566" s="3">
        <f t="shared" si="130"/>
        <v>25</v>
      </c>
      <c r="H566" s="3">
        <f t="shared" si="131"/>
        <v>7</v>
      </c>
      <c r="I566" s="3">
        <f t="shared" si="132"/>
        <v>19</v>
      </c>
      <c r="J566" s="3">
        <f t="shared" si="133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34"/>
        <v>YES</v>
      </c>
      <c r="Q566" t="str">
        <f t="shared" si="135"/>
        <v>YES</v>
      </c>
      <c r="R566" t="str">
        <f t="shared" si="136"/>
        <v>NO</v>
      </c>
      <c r="T566" t="s">
        <v>19</v>
      </c>
      <c r="U566" t="str">
        <f t="shared" si="123"/>
        <v>Cambridge St</v>
      </c>
      <c r="V566" t="s">
        <v>224</v>
      </c>
      <c r="W566" t="str">
        <f t="shared" si="124"/>
        <v>Sumner Rd</v>
      </c>
      <c r="X566" t="str">
        <f>IF(ISBLANK(S566),"Intersection","Non-Intersection")</f>
        <v>Intersection</v>
      </c>
      <c r="Y566" t="s">
        <v>1169</v>
      </c>
      <c r="Z566" t="str">
        <f t="shared" si="125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26"/>
        <v>40179</v>
      </c>
      <c r="D567" s="4">
        <f t="shared" si="127"/>
        <v>0.39452054794520547</v>
      </c>
      <c r="E567" s="3">
        <f t="shared" si="128"/>
        <v>2010</v>
      </c>
      <c r="F567" s="3">
        <f t="shared" si="129"/>
        <v>5</v>
      </c>
      <c r="G567" s="3">
        <f t="shared" si="130"/>
        <v>25</v>
      </c>
      <c r="H567" s="3">
        <f t="shared" si="131"/>
        <v>7</v>
      </c>
      <c r="I567" s="3">
        <f t="shared" si="132"/>
        <v>25</v>
      </c>
      <c r="J567" s="3">
        <f t="shared" si="133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34"/>
        <v>YES</v>
      </c>
      <c r="Q567" t="str">
        <f t="shared" si="135"/>
        <v>NO</v>
      </c>
      <c r="R567" t="str">
        <f t="shared" si="136"/>
        <v>YES</v>
      </c>
      <c r="T567" t="s">
        <v>133</v>
      </c>
      <c r="U567" t="str">
        <f t="shared" si="123"/>
        <v>Harvard St</v>
      </c>
      <c r="V567" t="s">
        <v>1171</v>
      </c>
      <c r="W567" t="str">
        <f t="shared" si="124"/>
        <v>Boardman Pl</v>
      </c>
      <c r="X567" t="str">
        <f>IF(ISBLANK(S567),"Intersection","Non-Intersection")</f>
        <v>Intersection</v>
      </c>
      <c r="Y567" t="s">
        <v>1172</v>
      </c>
      <c r="Z567" t="str">
        <f t="shared" si="125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26"/>
        <v>40179</v>
      </c>
      <c r="D568" s="4">
        <f t="shared" si="127"/>
        <v>0.39452054794520547</v>
      </c>
      <c r="E568" s="3">
        <f t="shared" si="128"/>
        <v>2010</v>
      </c>
      <c r="F568" s="3">
        <f t="shared" si="129"/>
        <v>5</v>
      </c>
      <c r="G568" s="3">
        <f t="shared" si="130"/>
        <v>25</v>
      </c>
      <c r="H568" s="3">
        <f t="shared" si="131"/>
        <v>9</v>
      </c>
      <c r="I568" s="3">
        <f t="shared" si="132"/>
        <v>43</v>
      </c>
      <c r="J568" s="3">
        <f t="shared" si="133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34"/>
        <v>YES</v>
      </c>
      <c r="Q568" t="str">
        <f t="shared" si="135"/>
        <v>NO</v>
      </c>
      <c r="R568" t="str">
        <f t="shared" si="136"/>
        <v>NO</v>
      </c>
      <c r="T568" t="s">
        <v>19</v>
      </c>
      <c r="U568" t="str">
        <f t="shared" si="123"/>
        <v>Cambridge St</v>
      </c>
      <c r="V568" t="s">
        <v>1174</v>
      </c>
      <c r="W568" t="str">
        <f t="shared" si="124"/>
        <v>Roberts Rd</v>
      </c>
      <c r="X568" t="str">
        <f>IF(ISBLANK(S568),"Intersection","Non-Intersection")</f>
        <v>Intersection</v>
      </c>
      <c r="Y568" t="s">
        <v>1175</v>
      </c>
      <c r="Z568" t="str">
        <f t="shared" si="125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26"/>
        <v>40179</v>
      </c>
      <c r="D569" s="4">
        <f t="shared" si="127"/>
        <v>0.39726027397260272</v>
      </c>
      <c r="E569" s="3">
        <f t="shared" si="128"/>
        <v>2010</v>
      </c>
      <c r="F569" s="3">
        <f t="shared" si="129"/>
        <v>5</v>
      </c>
      <c r="G569" s="3">
        <f t="shared" si="130"/>
        <v>26</v>
      </c>
      <c r="H569" s="3">
        <f t="shared" si="131"/>
        <v>12</v>
      </c>
      <c r="I569" s="3">
        <f t="shared" si="132"/>
        <v>14</v>
      </c>
      <c r="J569" s="3">
        <f t="shared" si="133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34"/>
        <v>YES</v>
      </c>
      <c r="Q569" t="str">
        <f t="shared" si="135"/>
        <v>NO</v>
      </c>
      <c r="R569" t="str">
        <f t="shared" si="136"/>
        <v>NO</v>
      </c>
      <c r="S569">
        <v>1246</v>
      </c>
      <c r="T569" t="s">
        <v>14</v>
      </c>
      <c r="U569" t="str">
        <f t="shared" si="123"/>
        <v>Massachusetts Ave</v>
      </c>
      <c r="V569" t="s">
        <v>1177</v>
      </c>
      <c r="W569" t="str">
        <f t="shared" si="124"/>
        <v>Plympton St</v>
      </c>
      <c r="X569" t="str">
        <f>IF(ISBLANK(S569),"Intersection","Non-Intersection")</f>
        <v>Non-Intersection</v>
      </c>
      <c r="Y569" t="s">
        <v>1178</v>
      </c>
      <c r="Z569" t="str">
        <f t="shared" si="125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26"/>
        <v>40179</v>
      </c>
      <c r="D570" s="4">
        <f t="shared" si="127"/>
        <v>0.39726027397260272</v>
      </c>
      <c r="E570" s="3">
        <f t="shared" si="128"/>
        <v>2010</v>
      </c>
      <c r="F570" s="3">
        <f t="shared" si="129"/>
        <v>5</v>
      </c>
      <c r="G570" s="3">
        <f t="shared" si="130"/>
        <v>26</v>
      </c>
      <c r="H570" s="3">
        <f t="shared" si="131"/>
        <v>12</v>
      </c>
      <c r="I570" s="3">
        <f t="shared" si="132"/>
        <v>0</v>
      </c>
      <c r="J570" s="3">
        <f t="shared" si="133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34"/>
        <v>YES</v>
      </c>
      <c r="Q570" t="str">
        <f t="shared" si="135"/>
        <v>NO</v>
      </c>
      <c r="R570" t="str">
        <f t="shared" si="136"/>
        <v>NO</v>
      </c>
      <c r="T570" t="s">
        <v>166</v>
      </c>
      <c r="U570" t="str">
        <f t="shared" si="123"/>
        <v>Oxford Ave</v>
      </c>
      <c r="V570" t="s">
        <v>57</v>
      </c>
      <c r="W570" t="str">
        <f t="shared" si="124"/>
        <v>Everett St</v>
      </c>
      <c r="X570" t="str">
        <f>IF(ISBLANK(S570),"Intersection","Non-Intersection")</f>
        <v>Intersection</v>
      </c>
      <c r="Y570" t="s">
        <v>264</v>
      </c>
      <c r="Z570" t="str">
        <f t="shared" si="125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26"/>
        <v>40179</v>
      </c>
      <c r="D571" s="4">
        <f t="shared" si="127"/>
        <v>0.39726027397260272</v>
      </c>
      <c r="E571" s="3">
        <f t="shared" si="128"/>
        <v>2010</v>
      </c>
      <c r="F571" s="3">
        <f t="shared" si="129"/>
        <v>5</v>
      </c>
      <c r="G571" s="3">
        <f t="shared" si="130"/>
        <v>26</v>
      </c>
      <c r="H571" s="3">
        <f t="shared" si="131"/>
        <v>13</v>
      </c>
      <c r="I571" s="3">
        <f t="shared" si="132"/>
        <v>47</v>
      </c>
      <c r="J571" s="3">
        <f t="shared" si="133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34"/>
        <v>YES</v>
      </c>
      <c r="Q571" t="str">
        <f t="shared" si="135"/>
        <v>NO</v>
      </c>
      <c r="R571" t="str">
        <f t="shared" si="136"/>
        <v>NO</v>
      </c>
      <c r="S571">
        <v>41</v>
      </c>
      <c r="T571" t="s">
        <v>840</v>
      </c>
      <c r="U571" t="str">
        <f t="shared" si="123"/>
        <v>Church St</v>
      </c>
      <c r="W571" t="str">
        <f t="shared" si="124"/>
        <v/>
      </c>
      <c r="X571" t="str">
        <f>IF(ISBLANK(S571),"Intersection","Non-Intersection")</f>
        <v>Non-Intersection</v>
      </c>
      <c r="Y571" t="s">
        <v>1180</v>
      </c>
      <c r="Z571" t="str">
        <f t="shared" si="125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26"/>
        <v>40179</v>
      </c>
      <c r="D572" s="4">
        <f t="shared" si="127"/>
        <v>0.39726027397260272</v>
      </c>
      <c r="E572" s="3">
        <f t="shared" si="128"/>
        <v>2010</v>
      </c>
      <c r="F572" s="3">
        <f t="shared" si="129"/>
        <v>5</v>
      </c>
      <c r="G572" s="3">
        <f t="shared" si="130"/>
        <v>26</v>
      </c>
      <c r="H572" s="3">
        <f t="shared" si="131"/>
        <v>15</v>
      </c>
      <c r="I572" s="3">
        <f t="shared" si="132"/>
        <v>4</v>
      </c>
      <c r="J572" s="3">
        <f t="shared" si="133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34"/>
        <v>NO</v>
      </c>
      <c r="Q572" t="str">
        <f t="shared" si="135"/>
        <v>YES</v>
      </c>
      <c r="R572" t="str">
        <f t="shared" si="136"/>
        <v>NO</v>
      </c>
      <c r="T572" t="s">
        <v>79</v>
      </c>
      <c r="U572" t="str">
        <f t="shared" si="123"/>
        <v>Ames St</v>
      </c>
      <c r="V572" t="s">
        <v>1182</v>
      </c>
      <c r="W572" t="str">
        <f t="shared" si="124"/>
        <v>Amherst St</v>
      </c>
      <c r="X572" t="str">
        <f>IF(ISBLANK(S572),"Intersection","Non-Intersection")</f>
        <v>Intersection</v>
      </c>
      <c r="Y572" t="s">
        <v>1183</v>
      </c>
      <c r="Z572" t="str">
        <f t="shared" si="125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26"/>
        <v>40179</v>
      </c>
      <c r="D573" s="4">
        <f t="shared" si="127"/>
        <v>0.39726027397260272</v>
      </c>
      <c r="E573" s="3">
        <f t="shared" si="128"/>
        <v>2010</v>
      </c>
      <c r="F573" s="3">
        <f t="shared" si="129"/>
        <v>5</v>
      </c>
      <c r="G573" s="3">
        <f t="shared" si="130"/>
        <v>26</v>
      </c>
      <c r="H573" s="3">
        <f t="shared" si="131"/>
        <v>16</v>
      </c>
      <c r="I573" s="3">
        <f t="shared" si="132"/>
        <v>27</v>
      </c>
      <c r="J573" s="3">
        <f t="shared" si="133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34"/>
        <v>YES</v>
      </c>
      <c r="Q573" t="str">
        <f t="shared" si="135"/>
        <v>NO</v>
      </c>
      <c r="R573" t="str">
        <f t="shared" si="136"/>
        <v>NO</v>
      </c>
      <c r="T573" t="s">
        <v>14</v>
      </c>
      <c r="U573" t="str">
        <f t="shared" si="123"/>
        <v>Massachusetts Ave</v>
      </c>
      <c r="V573" t="s">
        <v>249</v>
      </c>
      <c r="W573" t="str">
        <f t="shared" si="124"/>
        <v>Landsdowne St</v>
      </c>
      <c r="X573" t="str">
        <f>IF(ISBLANK(S573),"Intersection","Non-Intersection")</f>
        <v>Intersection</v>
      </c>
      <c r="Y573" t="s">
        <v>250</v>
      </c>
      <c r="Z573" t="str">
        <f t="shared" si="125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26"/>
        <v>40179</v>
      </c>
      <c r="D574" s="4">
        <f t="shared" si="127"/>
        <v>0.39726027397260272</v>
      </c>
      <c r="E574" s="3">
        <f t="shared" si="128"/>
        <v>2010</v>
      </c>
      <c r="F574" s="3">
        <f t="shared" si="129"/>
        <v>5</v>
      </c>
      <c r="G574" s="3">
        <f t="shared" si="130"/>
        <v>26</v>
      </c>
      <c r="H574" s="3">
        <f t="shared" si="131"/>
        <v>17</v>
      </c>
      <c r="I574" s="3">
        <f t="shared" si="132"/>
        <v>30</v>
      </c>
      <c r="J574" s="3">
        <f t="shared" si="133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34"/>
        <v>YES</v>
      </c>
      <c r="Q574" t="str">
        <f t="shared" si="135"/>
        <v>YES</v>
      </c>
      <c r="R574" t="str">
        <f t="shared" si="136"/>
        <v>NO</v>
      </c>
      <c r="T574" t="s">
        <v>199</v>
      </c>
      <c r="U574" t="str">
        <f t="shared" si="123"/>
        <v>Brattle St</v>
      </c>
      <c r="V574" t="s">
        <v>980</v>
      </c>
      <c r="W574" t="str">
        <f t="shared" si="124"/>
        <v>Lexington Ave</v>
      </c>
      <c r="X574" t="str">
        <f>IF(ISBLANK(S574),"Intersection","Non-Intersection")</f>
        <v>Intersection</v>
      </c>
      <c r="Y574" t="s">
        <v>1185</v>
      </c>
      <c r="Z574" t="str">
        <f t="shared" si="125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26"/>
        <v>40179</v>
      </c>
      <c r="D575" s="4">
        <f t="shared" si="127"/>
        <v>0.39726027397260272</v>
      </c>
      <c r="E575" s="3">
        <f t="shared" si="128"/>
        <v>2010</v>
      </c>
      <c r="F575" s="3">
        <f t="shared" si="129"/>
        <v>5</v>
      </c>
      <c r="G575" s="3">
        <f t="shared" si="130"/>
        <v>26</v>
      </c>
      <c r="H575" s="3">
        <f t="shared" si="131"/>
        <v>18</v>
      </c>
      <c r="I575" s="3">
        <f t="shared" si="132"/>
        <v>56</v>
      </c>
      <c r="J575" s="3">
        <f t="shared" si="133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34"/>
        <v>YES</v>
      </c>
      <c r="Q575" t="str">
        <f t="shared" si="135"/>
        <v>NO</v>
      </c>
      <c r="R575" t="str">
        <f t="shared" si="136"/>
        <v>NO</v>
      </c>
      <c r="T575" t="s">
        <v>14</v>
      </c>
      <c r="U575" t="str">
        <f t="shared" si="123"/>
        <v>Massachusetts Ave</v>
      </c>
      <c r="V575" t="s">
        <v>420</v>
      </c>
      <c r="W575" t="str">
        <f t="shared" si="124"/>
        <v>Douglass St</v>
      </c>
      <c r="X575" t="str">
        <f>IF(ISBLANK(S575),"Intersection","Non-Intersection")</f>
        <v>Intersection</v>
      </c>
      <c r="Y575" t="s">
        <v>421</v>
      </c>
      <c r="Z575" t="str">
        <f t="shared" si="125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26"/>
        <v>40179</v>
      </c>
      <c r="D576" s="4">
        <f t="shared" si="127"/>
        <v>0.4</v>
      </c>
      <c r="E576" s="3">
        <f t="shared" si="128"/>
        <v>2010</v>
      </c>
      <c r="F576" s="3">
        <f t="shared" si="129"/>
        <v>5</v>
      </c>
      <c r="G576" s="3">
        <f t="shared" si="130"/>
        <v>27</v>
      </c>
      <c r="H576" s="3">
        <f t="shared" si="131"/>
        <v>14</v>
      </c>
      <c r="I576" s="3">
        <f t="shared" si="132"/>
        <v>25</v>
      </c>
      <c r="J576" s="3">
        <f t="shared" si="133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34"/>
        <v>YES</v>
      </c>
      <c r="Q576" t="str">
        <f t="shared" si="135"/>
        <v>NO</v>
      </c>
      <c r="R576" t="str">
        <f t="shared" si="136"/>
        <v>NO</v>
      </c>
      <c r="T576" t="s">
        <v>19</v>
      </c>
      <c r="U576" t="str">
        <f t="shared" si="123"/>
        <v>Cambridge St</v>
      </c>
      <c r="V576" t="s">
        <v>1174</v>
      </c>
      <c r="W576" t="str">
        <f t="shared" si="124"/>
        <v>Roberts Rd</v>
      </c>
      <c r="X576" t="str">
        <f>IF(ISBLANK(S576),"Intersection","Non-Intersection")</f>
        <v>Intersection</v>
      </c>
      <c r="Y576" t="s">
        <v>1175</v>
      </c>
      <c r="Z576" t="str">
        <f t="shared" si="125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26"/>
        <v>40179</v>
      </c>
      <c r="D577" s="4">
        <f t="shared" si="127"/>
        <v>0.4</v>
      </c>
      <c r="E577" s="3">
        <f t="shared" si="128"/>
        <v>2010</v>
      </c>
      <c r="F577" s="3">
        <f t="shared" si="129"/>
        <v>5</v>
      </c>
      <c r="G577" s="3">
        <f t="shared" si="130"/>
        <v>27</v>
      </c>
      <c r="H577" s="3">
        <f t="shared" si="131"/>
        <v>16</v>
      </c>
      <c r="I577" s="3">
        <f t="shared" si="132"/>
        <v>11</v>
      </c>
      <c r="J577" s="3">
        <f t="shared" si="133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34"/>
        <v>YES</v>
      </c>
      <c r="Q577" t="str">
        <f t="shared" si="135"/>
        <v>YES</v>
      </c>
      <c r="R577" t="str">
        <f t="shared" si="136"/>
        <v>NO</v>
      </c>
      <c r="S577">
        <v>340</v>
      </c>
      <c r="T577" t="s">
        <v>42</v>
      </c>
      <c r="U577" t="str">
        <f t="shared" si="123"/>
        <v>Putnam Ave</v>
      </c>
      <c r="W577" t="str">
        <f t="shared" si="124"/>
        <v/>
      </c>
      <c r="X577" t="str">
        <f>IF(ISBLANK(S577),"Intersection","Non-Intersection")</f>
        <v>Non-Intersection</v>
      </c>
      <c r="Y577" t="s">
        <v>1187</v>
      </c>
      <c r="Z577" t="str">
        <f t="shared" si="125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26"/>
        <v>40179</v>
      </c>
      <c r="D578" s="4">
        <f t="shared" si="127"/>
        <v>0.4</v>
      </c>
      <c r="E578" s="3">
        <f t="shared" si="128"/>
        <v>2010</v>
      </c>
      <c r="F578" s="3">
        <f t="shared" si="129"/>
        <v>5</v>
      </c>
      <c r="G578" s="3">
        <f t="shared" si="130"/>
        <v>27</v>
      </c>
      <c r="H578" s="3">
        <f t="shared" si="131"/>
        <v>17</v>
      </c>
      <c r="I578" s="3">
        <f t="shared" si="132"/>
        <v>16</v>
      </c>
      <c r="J578" s="3">
        <f t="shared" si="133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34"/>
        <v>YES</v>
      </c>
      <c r="Q578" t="str">
        <f t="shared" si="135"/>
        <v>NO</v>
      </c>
      <c r="R578" t="str">
        <f t="shared" si="136"/>
        <v>NO</v>
      </c>
      <c r="S578">
        <v>114</v>
      </c>
      <c r="T578" t="s">
        <v>1189</v>
      </c>
      <c r="U578" t="str">
        <f t="shared" si="123"/>
        <v>Pine St</v>
      </c>
      <c r="W578" t="str">
        <f t="shared" si="124"/>
        <v/>
      </c>
      <c r="X578" t="str">
        <f>IF(ISBLANK(S578),"Intersection","Non-Intersection")</f>
        <v>Non-Intersection</v>
      </c>
      <c r="Y578" t="s">
        <v>1190</v>
      </c>
      <c r="Z578" t="str">
        <f t="shared" si="125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26"/>
        <v>40179</v>
      </c>
      <c r="D579" s="4">
        <f t="shared" si="127"/>
        <v>0.4</v>
      </c>
      <c r="E579" s="3">
        <f t="shared" si="128"/>
        <v>2010</v>
      </c>
      <c r="F579" s="3">
        <f t="shared" si="129"/>
        <v>5</v>
      </c>
      <c r="G579" s="3">
        <f t="shared" si="130"/>
        <v>27</v>
      </c>
      <c r="H579" s="3">
        <f t="shared" si="131"/>
        <v>23</v>
      </c>
      <c r="I579" s="3">
        <f t="shared" si="132"/>
        <v>23</v>
      </c>
      <c r="J579" s="3">
        <f t="shared" si="133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34"/>
        <v>YES</v>
      </c>
      <c r="Q579" t="str">
        <f t="shared" si="135"/>
        <v>NO</v>
      </c>
      <c r="R579" t="str">
        <f t="shared" si="136"/>
        <v>NO</v>
      </c>
      <c r="S579">
        <v>58</v>
      </c>
      <c r="T579" t="s">
        <v>611</v>
      </c>
      <c r="U579" t="str">
        <f t="shared" ref="U579:U642" si="137">TRIM(PROPER(T579))</f>
        <v>Berkshire St</v>
      </c>
      <c r="W579" t="str">
        <f t="shared" ref="W579:W642" si="138">TRIM(PROPER(V579))</f>
        <v/>
      </c>
      <c r="X579" t="str">
        <f>IF(ISBLANK(S579),"Intersection","Non-Intersection")</f>
        <v>Non-Intersection</v>
      </c>
      <c r="Y579" t="s">
        <v>1192</v>
      </c>
      <c r="Z579" t="str">
        <f t="shared" ref="Z579:Z642" si="13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26"/>
        <v>40179</v>
      </c>
      <c r="D580" s="4">
        <f t="shared" si="127"/>
        <v>0.4</v>
      </c>
      <c r="E580" s="3">
        <f t="shared" si="128"/>
        <v>2010</v>
      </c>
      <c r="F580" s="3">
        <f t="shared" si="129"/>
        <v>5</v>
      </c>
      <c r="G580" s="3">
        <f t="shared" si="130"/>
        <v>27</v>
      </c>
      <c r="H580" s="3">
        <f t="shared" si="131"/>
        <v>7</v>
      </c>
      <c r="I580" s="3">
        <f t="shared" si="132"/>
        <v>15</v>
      </c>
      <c r="J580" s="3">
        <f t="shared" si="133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34"/>
        <v>YES</v>
      </c>
      <c r="Q580" t="str">
        <f t="shared" si="135"/>
        <v>NO</v>
      </c>
      <c r="R580" t="str">
        <f t="shared" si="136"/>
        <v>NO</v>
      </c>
      <c r="S580">
        <v>2029</v>
      </c>
      <c r="T580" t="s">
        <v>524</v>
      </c>
      <c r="U580" t="str">
        <f t="shared" si="137"/>
        <v>Blake St</v>
      </c>
      <c r="V580" t="s">
        <v>14</v>
      </c>
      <c r="W580" t="str">
        <f t="shared" si="138"/>
        <v>Massachusetts Ave</v>
      </c>
      <c r="X580" t="str">
        <f>IF(ISBLANK(S580),"Intersection","Non-Intersection")</f>
        <v>Non-Intersection</v>
      </c>
      <c r="Y580" t="s">
        <v>1194</v>
      </c>
      <c r="Z580" t="str">
        <f t="shared" si="13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26"/>
        <v>40179</v>
      </c>
      <c r="D581" s="4">
        <f t="shared" si="127"/>
        <v>0.4</v>
      </c>
      <c r="E581" s="3">
        <f t="shared" si="128"/>
        <v>2010</v>
      </c>
      <c r="F581" s="3">
        <f t="shared" si="129"/>
        <v>5</v>
      </c>
      <c r="G581" s="3">
        <f t="shared" si="130"/>
        <v>27</v>
      </c>
      <c r="H581" s="3">
        <f t="shared" si="131"/>
        <v>11</v>
      </c>
      <c r="I581" s="3">
        <f t="shared" si="132"/>
        <v>49</v>
      </c>
      <c r="J581" s="3">
        <f t="shared" si="133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34"/>
        <v>YES</v>
      </c>
      <c r="Q581" t="str">
        <f t="shared" si="135"/>
        <v>YES</v>
      </c>
      <c r="R581" t="str">
        <f t="shared" si="136"/>
        <v>NO</v>
      </c>
      <c r="T581" t="s">
        <v>14</v>
      </c>
      <c r="U581" t="str">
        <f t="shared" si="137"/>
        <v>Massachusetts Ave</v>
      </c>
      <c r="V581" t="s">
        <v>57</v>
      </c>
      <c r="W581" t="str">
        <f t="shared" si="138"/>
        <v>Everett St</v>
      </c>
      <c r="X581" t="str">
        <f>IF(ISBLANK(S581),"Intersection","Non-Intersection")</f>
        <v>Intersection</v>
      </c>
      <c r="Y581" t="s">
        <v>58</v>
      </c>
      <c r="Z581" t="str">
        <f t="shared" si="13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26"/>
        <v>40179</v>
      </c>
      <c r="D582" s="4">
        <f t="shared" si="127"/>
        <v>0.4</v>
      </c>
      <c r="E582" s="3">
        <f t="shared" si="128"/>
        <v>2010</v>
      </c>
      <c r="F582" s="3">
        <f t="shared" si="129"/>
        <v>5</v>
      </c>
      <c r="G582" s="3">
        <f t="shared" si="130"/>
        <v>27</v>
      </c>
      <c r="H582" s="3">
        <f t="shared" si="131"/>
        <v>17</v>
      </c>
      <c r="I582" s="3">
        <f t="shared" si="132"/>
        <v>15</v>
      </c>
      <c r="J582" s="3">
        <f t="shared" si="133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34"/>
        <v>YES</v>
      </c>
      <c r="Q582" t="str">
        <f t="shared" si="135"/>
        <v>NO</v>
      </c>
      <c r="R582" t="str">
        <f t="shared" si="136"/>
        <v>NO</v>
      </c>
      <c r="T582" t="s">
        <v>252</v>
      </c>
      <c r="U582" t="str">
        <f t="shared" si="137"/>
        <v>Walden St</v>
      </c>
      <c r="V582" t="s">
        <v>1196</v>
      </c>
      <c r="W582" t="str">
        <f t="shared" si="138"/>
        <v>Hubbard Ave</v>
      </c>
      <c r="X582" t="str">
        <f>IF(ISBLANK(S582),"Intersection","Non-Intersection")</f>
        <v>Intersection</v>
      </c>
      <c r="Y582" t="s">
        <v>1197</v>
      </c>
      <c r="Z582" t="str">
        <f t="shared" si="13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26"/>
        <v>40179</v>
      </c>
      <c r="D583" s="4">
        <f t="shared" si="127"/>
        <v>0.40273972602739727</v>
      </c>
      <c r="E583" s="3">
        <f t="shared" si="128"/>
        <v>2010</v>
      </c>
      <c r="F583" s="3">
        <f t="shared" si="129"/>
        <v>5</v>
      </c>
      <c r="G583" s="3">
        <f t="shared" si="130"/>
        <v>28</v>
      </c>
      <c r="H583" s="3">
        <f t="shared" si="131"/>
        <v>7</v>
      </c>
      <c r="I583" s="3">
        <f t="shared" si="132"/>
        <v>9</v>
      </c>
      <c r="J583" s="3">
        <f t="shared" si="133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34"/>
        <v>YES</v>
      </c>
      <c r="Q583" t="str">
        <f t="shared" si="135"/>
        <v>YES</v>
      </c>
      <c r="R583" t="str">
        <f t="shared" si="136"/>
        <v>NO</v>
      </c>
      <c r="S583">
        <v>12</v>
      </c>
      <c r="T583" t="s">
        <v>57</v>
      </c>
      <c r="U583" t="str">
        <f t="shared" si="137"/>
        <v>Everett St</v>
      </c>
      <c r="W583" t="str">
        <f t="shared" si="138"/>
        <v/>
      </c>
      <c r="X583" t="str">
        <f>IF(ISBLANK(S583),"Intersection","Non-Intersection")</f>
        <v>Non-Intersection</v>
      </c>
      <c r="Y583" t="s">
        <v>1199</v>
      </c>
      <c r="Z583" t="str">
        <f t="shared" si="13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26"/>
        <v>40179</v>
      </c>
      <c r="D584" s="4">
        <f t="shared" si="127"/>
        <v>0.40273972602739727</v>
      </c>
      <c r="E584" s="3">
        <f t="shared" si="128"/>
        <v>2010</v>
      </c>
      <c r="F584" s="3">
        <f t="shared" si="129"/>
        <v>5</v>
      </c>
      <c r="G584" s="3">
        <f t="shared" si="130"/>
        <v>28</v>
      </c>
      <c r="H584" s="3">
        <f t="shared" si="131"/>
        <v>10</v>
      </c>
      <c r="I584" s="3">
        <f t="shared" si="132"/>
        <v>25</v>
      </c>
      <c r="J584" s="3">
        <f t="shared" si="133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34"/>
        <v>YES</v>
      </c>
      <c r="Q584" t="str">
        <f t="shared" si="135"/>
        <v>NO</v>
      </c>
      <c r="R584" t="str">
        <f t="shared" si="136"/>
        <v>NO</v>
      </c>
      <c r="T584" t="s">
        <v>760</v>
      </c>
      <c r="U584" t="str">
        <f t="shared" si="137"/>
        <v>Fulkerson St</v>
      </c>
      <c r="V584" t="s">
        <v>261</v>
      </c>
      <c r="W584" t="str">
        <f t="shared" si="138"/>
        <v>Otis St</v>
      </c>
      <c r="X584" t="str">
        <f>IF(ISBLANK(S584),"Intersection","Non-Intersection")</f>
        <v>Intersection</v>
      </c>
      <c r="Y584" t="s">
        <v>1201</v>
      </c>
      <c r="Z584" t="str">
        <f t="shared" si="13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26"/>
        <v>40179</v>
      </c>
      <c r="D585" s="4">
        <f t="shared" si="127"/>
        <v>0.40273972602739727</v>
      </c>
      <c r="E585" s="3">
        <f t="shared" si="128"/>
        <v>2010</v>
      </c>
      <c r="F585" s="3">
        <f t="shared" si="129"/>
        <v>5</v>
      </c>
      <c r="G585" s="3">
        <f t="shared" si="130"/>
        <v>28</v>
      </c>
      <c r="H585" s="3">
        <f t="shared" si="131"/>
        <v>11</v>
      </c>
      <c r="I585" s="3">
        <f t="shared" si="132"/>
        <v>55</v>
      </c>
      <c r="J585" s="3">
        <f t="shared" si="133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34"/>
        <v>YES</v>
      </c>
      <c r="Q585" t="str">
        <f t="shared" si="135"/>
        <v>NO</v>
      </c>
      <c r="R585" t="str">
        <f t="shared" si="136"/>
        <v>NO</v>
      </c>
      <c r="T585" t="s">
        <v>209</v>
      </c>
      <c r="U585" t="str">
        <f t="shared" si="137"/>
        <v>Binney St</v>
      </c>
      <c r="V585" t="s">
        <v>260</v>
      </c>
      <c r="W585" t="str">
        <f t="shared" si="138"/>
        <v>Third St</v>
      </c>
      <c r="X585" t="str">
        <f>IF(ISBLANK(S585),"Intersection","Non-Intersection")</f>
        <v>Intersection</v>
      </c>
      <c r="Y585" t="s">
        <v>531</v>
      </c>
      <c r="Z585" t="str">
        <f t="shared" si="13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26"/>
        <v>40179</v>
      </c>
      <c r="D586" s="4">
        <f t="shared" si="127"/>
        <v>0.40273972602739727</v>
      </c>
      <c r="E586" s="3">
        <f t="shared" si="128"/>
        <v>2010</v>
      </c>
      <c r="F586" s="3">
        <f t="shared" si="129"/>
        <v>5</v>
      </c>
      <c r="G586" s="3">
        <f t="shared" si="130"/>
        <v>28</v>
      </c>
      <c r="H586" s="3">
        <f t="shared" si="131"/>
        <v>19</v>
      </c>
      <c r="I586" s="3">
        <f t="shared" si="132"/>
        <v>30</v>
      </c>
      <c r="J586" s="3">
        <f t="shared" si="133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34"/>
        <v>YES</v>
      </c>
      <c r="Q586" t="str">
        <f t="shared" si="135"/>
        <v>NO</v>
      </c>
      <c r="R586" t="str">
        <f t="shared" si="136"/>
        <v>NO</v>
      </c>
      <c r="S586">
        <v>11</v>
      </c>
      <c r="T586" t="s">
        <v>757</v>
      </c>
      <c r="U586" t="str">
        <f t="shared" si="137"/>
        <v>Blackstone St</v>
      </c>
      <c r="W586" t="str">
        <f t="shared" si="138"/>
        <v/>
      </c>
      <c r="X586" t="str">
        <f>IF(ISBLANK(S586),"Intersection","Non-Intersection")</f>
        <v>Non-Intersection</v>
      </c>
      <c r="Y586" t="s">
        <v>1203</v>
      </c>
      <c r="Z586" t="str">
        <f t="shared" si="13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26"/>
        <v>40179</v>
      </c>
      <c r="D587" s="4">
        <f t="shared" si="127"/>
        <v>0.40273972602739727</v>
      </c>
      <c r="E587" s="3">
        <f t="shared" si="128"/>
        <v>2010</v>
      </c>
      <c r="F587" s="3">
        <f t="shared" si="129"/>
        <v>5</v>
      </c>
      <c r="G587" s="3">
        <f t="shared" si="130"/>
        <v>28</v>
      </c>
      <c r="H587" s="3">
        <f t="shared" si="131"/>
        <v>23</v>
      </c>
      <c r="I587" s="3">
        <f t="shared" si="132"/>
        <v>35</v>
      </c>
      <c r="J587" s="3">
        <f t="shared" si="133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34"/>
        <v>YES</v>
      </c>
      <c r="Q587" t="str">
        <f t="shared" si="135"/>
        <v>YES</v>
      </c>
      <c r="R587" t="str">
        <f t="shared" si="136"/>
        <v>NO</v>
      </c>
      <c r="S587">
        <v>1945</v>
      </c>
      <c r="T587" t="s">
        <v>14</v>
      </c>
      <c r="U587" t="str">
        <f t="shared" si="137"/>
        <v>Massachusetts Ave</v>
      </c>
      <c r="W587" t="str">
        <f t="shared" si="138"/>
        <v/>
      </c>
      <c r="X587" t="str">
        <f>IF(ISBLANK(S587),"Intersection","Non-Intersection")</f>
        <v>Non-Intersection</v>
      </c>
      <c r="Y587" t="s">
        <v>1205</v>
      </c>
      <c r="Z587" t="str">
        <f t="shared" si="13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26"/>
        <v>40179</v>
      </c>
      <c r="D588" s="4">
        <f t="shared" si="127"/>
        <v>0.40547945205479452</v>
      </c>
      <c r="E588" s="3">
        <f t="shared" si="128"/>
        <v>2010</v>
      </c>
      <c r="F588" s="3">
        <f t="shared" si="129"/>
        <v>5</v>
      </c>
      <c r="G588" s="3">
        <f t="shared" si="130"/>
        <v>29</v>
      </c>
      <c r="H588" s="3">
        <f t="shared" si="131"/>
        <v>23</v>
      </c>
      <c r="I588" s="3">
        <f t="shared" si="132"/>
        <v>0</v>
      </c>
      <c r="J588" s="3">
        <f t="shared" si="133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34"/>
        <v>YES</v>
      </c>
      <c r="Q588" t="str">
        <f t="shared" si="135"/>
        <v>NO</v>
      </c>
      <c r="R588" t="str">
        <f t="shared" si="136"/>
        <v>NO</v>
      </c>
      <c r="S588">
        <v>50</v>
      </c>
      <c r="T588" t="s">
        <v>199</v>
      </c>
      <c r="U588" t="str">
        <f t="shared" si="137"/>
        <v>Brattle St</v>
      </c>
      <c r="W588" t="str">
        <f t="shared" si="138"/>
        <v/>
      </c>
      <c r="X588" t="str">
        <f>IF(ISBLANK(S588),"Intersection","Non-Intersection")</f>
        <v>Non-Intersection</v>
      </c>
      <c r="Y588" t="s">
        <v>1207</v>
      </c>
      <c r="Z588" t="str">
        <f t="shared" si="13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26"/>
        <v>40179</v>
      </c>
      <c r="D589" s="4">
        <f t="shared" si="127"/>
        <v>0.40821917808219177</v>
      </c>
      <c r="E589" s="3">
        <f t="shared" si="128"/>
        <v>2010</v>
      </c>
      <c r="F589" s="3">
        <f t="shared" si="129"/>
        <v>5</v>
      </c>
      <c r="G589" s="3">
        <f t="shared" si="130"/>
        <v>30</v>
      </c>
      <c r="H589" s="3">
        <f t="shared" si="131"/>
        <v>9</v>
      </c>
      <c r="I589" s="3">
        <f t="shared" si="132"/>
        <v>24</v>
      </c>
      <c r="J589" s="3">
        <f t="shared" si="133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34"/>
        <v>YES</v>
      </c>
      <c r="Q589" t="str">
        <f t="shared" si="135"/>
        <v>NO</v>
      </c>
      <c r="R589" t="str">
        <f t="shared" si="136"/>
        <v>NO</v>
      </c>
      <c r="T589" t="s">
        <v>1013</v>
      </c>
      <c r="U589" t="str">
        <f t="shared" si="137"/>
        <v>Blanchard Rd</v>
      </c>
      <c r="V589" t="s">
        <v>186</v>
      </c>
      <c r="W589" t="str">
        <f t="shared" si="138"/>
        <v>Concord Ave</v>
      </c>
      <c r="X589" t="str">
        <f>IF(ISBLANK(S589),"Intersection","Non-Intersection")</f>
        <v>Intersection</v>
      </c>
      <c r="Y589" t="s">
        <v>1209</v>
      </c>
      <c r="Z589" t="str">
        <f t="shared" si="13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26"/>
        <v>40179</v>
      </c>
      <c r="D590" s="4">
        <f t="shared" si="127"/>
        <v>0.40821917808219177</v>
      </c>
      <c r="E590" s="3">
        <f t="shared" si="128"/>
        <v>2010</v>
      </c>
      <c r="F590" s="3">
        <f t="shared" si="129"/>
        <v>5</v>
      </c>
      <c r="G590" s="3">
        <f t="shared" si="130"/>
        <v>30</v>
      </c>
      <c r="H590" s="3">
        <f t="shared" si="131"/>
        <v>19</v>
      </c>
      <c r="I590" s="3">
        <f t="shared" si="132"/>
        <v>30</v>
      </c>
      <c r="J590" s="3">
        <f t="shared" si="133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34"/>
        <v>YES</v>
      </c>
      <c r="Q590" t="str">
        <f t="shared" si="135"/>
        <v>NO</v>
      </c>
      <c r="R590" t="str">
        <f t="shared" si="136"/>
        <v>NO</v>
      </c>
      <c r="T590" t="s">
        <v>1211</v>
      </c>
      <c r="U590" t="str">
        <f t="shared" si="137"/>
        <v>Mifflin Pl</v>
      </c>
      <c r="V590" t="s">
        <v>198</v>
      </c>
      <c r="W590" t="str">
        <f t="shared" si="138"/>
        <v>Mount Auburn St</v>
      </c>
      <c r="X590" t="str">
        <f>IF(ISBLANK(S590),"Intersection","Non-Intersection")</f>
        <v>Intersection</v>
      </c>
      <c r="Y590" t="s">
        <v>1212</v>
      </c>
      <c r="Z590" t="str">
        <f t="shared" si="13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26"/>
        <v>40179</v>
      </c>
      <c r="D591" s="4">
        <f t="shared" si="127"/>
        <v>0.40821917808219177</v>
      </c>
      <c r="E591" s="3">
        <f t="shared" si="128"/>
        <v>2010</v>
      </c>
      <c r="F591" s="3">
        <f t="shared" si="129"/>
        <v>5</v>
      </c>
      <c r="G591" s="3">
        <f t="shared" si="130"/>
        <v>30</v>
      </c>
      <c r="H591" s="3">
        <f t="shared" si="131"/>
        <v>17</v>
      </c>
      <c r="I591" s="3">
        <f t="shared" si="132"/>
        <v>0</v>
      </c>
      <c r="J591" s="3">
        <f t="shared" si="133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34"/>
        <v>YES</v>
      </c>
      <c r="Q591" t="str">
        <f t="shared" si="135"/>
        <v>NO</v>
      </c>
      <c r="R591" t="str">
        <f t="shared" si="136"/>
        <v>NO</v>
      </c>
      <c r="T591" t="s">
        <v>1214</v>
      </c>
      <c r="U591" t="str">
        <f t="shared" si="137"/>
        <v>Reed St</v>
      </c>
      <c r="V591" t="s">
        <v>66</v>
      </c>
      <c r="W591" t="str">
        <f t="shared" si="138"/>
        <v>Dudley St</v>
      </c>
      <c r="X591" t="str">
        <f>IF(ISBLANK(S591),"Intersection","Non-Intersection")</f>
        <v>Intersection</v>
      </c>
      <c r="Y591" t="s">
        <v>1215</v>
      </c>
      <c r="Z591" t="str">
        <f t="shared" si="13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26"/>
        <v>40179</v>
      </c>
      <c r="D592" s="4">
        <f t="shared" si="127"/>
        <v>0.41369863013698632</v>
      </c>
      <c r="E592" s="3">
        <f t="shared" si="128"/>
        <v>2010</v>
      </c>
      <c r="F592" s="3">
        <f t="shared" si="129"/>
        <v>6</v>
      </c>
      <c r="G592" s="3">
        <f t="shared" si="130"/>
        <v>1</v>
      </c>
      <c r="H592" s="3">
        <f t="shared" si="131"/>
        <v>11</v>
      </c>
      <c r="I592" s="3">
        <f t="shared" si="132"/>
        <v>23</v>
      </c>
      <c r="J592" s="3">
        <f t="shared" si="133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34"/>
        <v>YES</v>
      </c>
      <c r="Q592" t="str">
        <f t="shared" si="135"/>
        <v>YES</v>
      </c>
      <c r="R592" t="str">
        <f t="shared" si="136"/>
        <v>NO</v>
      </c>
      <c r="T592" t="s">
        <v>19</v>
      </c>
      <c r="U592" t="str">
        <f t="shared" si="137"/>
        <v>Cambridge St</v>
      </c>
      <c r="V592" t="s">
        <v>685</v>
      </c>
      <c r="W592" t="str">
        <f t="shared" si="138"/>
        <v>Warren St</v>
      </c>
      <c r="X592" t="str">
        <f>IF(ISBLANK(S592),"Intersection","Non-Intersection")</f>
        <v>Intersection</v>
      </c>
      <c r="Y592" t="s">
        <v>1217</v>
      </c>
      <c r="Z592" t="str">
        <f t="shared" si="13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26"/>
        <v>40179</v>
      </c>
      <c r="D593" s="4">
        <f t="shared" si="127"/>
        <v>0.41369863013698632</v>
      </c>
      <c r="E593" s="3">
        <f t="shared" si="128"/>
        <v>2010</v>
      </c>
      <c r="F593" s="3">
        <f t="shared" si="129"/>
        <v>6</v>
      </c>
      <c r="G593" s="3">
        <f t="shared" si="130"/>
        <v>1</v>
      </c>
      <c r="H593" s="3">
        <f t="shared" si="131"/>
        <v>14</v>
      </c>
      <c r="I593" s="3">
        <f t="shared" si="132"/>
        <v>0</v>
      </c>
      <c r="J593" s="3">
        <f t="shared" si="133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34"/>
        <v>YES</v>
      </c>
      <c r="Q593" t="str">
        <f t="shared" si="135"/>
        <v>NO</v>
      </c>
      <c r="R593" t="str">
        <f t="shared" si="136"/>
        <v>NO</v>
      </c>
      <c r="T593" t="s">
        <v>19</v>
      </c>
      <c r="U593" t="str">
        <f t="shared" si="137"/>
        <v>Cambridge St</v>
      </c>
      <c r="V593" t="s">
        <v>342</v>
      </c>
      <c r="W593" t="str">
        <f t="shared" si="138"/>
        <v>Prospect St</v>
      </c>
      <c r="X593" t="str">
        <f>IF(ISBLANK(S593),"Intersection","Non-Intersection")</f>
        <v>Intersection</v>
      </c>
      <c r="Y593" t="s">
        <v>821</v>
      </c>
      <c r="Z593" t="str">
        <f t="shared" si="13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26"/>
        <v>40179</v>
      </c>
      <c r="D594" s="4">
        <f t="shared" si="127"/>
        <v>0.41369863013698632</v>
      </c>
      <c r="E594" s="3">
        <f t="shared" si="128"/>
        <v>2010</v>
      </c>
      <c r="F594" s="3">
        <f t="shared" si="129"/>
        <v>6</v>
      </c>
      <c r="G594" s="3">
        <f t="shared" si="130"/>
        <v>1</v>
      </c>
      <c r="H594" s="3">
        <f t="shared" si="131"/>
        <v>14</v>
      </c>
      <c r="I594" s="3">
        <f t="shared" si="132"/>
        <v>15</v>
      </c>
      <c r="J594" s="3">
        <f t="shared" si="133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34"/>
        <v>YES</v>
      </c>
      <c r="Q594" t="str">
        <f t="shared" si="135"/>
        <v>NO</v>
      </c>
      <c r="R594" t="str">
        <f t="shared" si="136"/>
        <v>YES</v>
      </c>
      <c r="S594">
        <v>147</v>
      </c>
      <c r="T594" t="s">
        <v>75</v>
      </c>
      <c r="U594" t="str">
        <f t="shared" si="137"/>
        <v>Elm St</v>
      </c>
      <c r="V594" t="s">
        <v>74</v>
      </c>
      <c r="W594" t="str">
        <f t="shared" si="138"/>
        <v>Hampshire St</v>
      </c>
      <c r="X594" t="str">
        <f>IF(ISBLANK(S594),"Intersection","Non-Intersection")</f>
        <v>Non-Intersection</v>
      </c>
      <c r="Y594" t="s">
        <v>1219</v>
      </c>
      <c r="Z594" t="str">
        <f t="shared" si="13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26"/>
        <v>40179</v>
      </c>
      <c r="D595" s="4">
        <f t="shared" si="127"/>
        <v>0.41369863013698632</v>
      </c>
      <c r="E595" s="3">
        <f t="shared" si="128"/>
        <v>2010</v>
      </c>
      <c r="F595" s="3">
        <f t="shared" si="129"/>
        <v>6</v>
      </c>
      <c r="G595" s="3">
        <f t="shared" si="130"/>
        <v>1</v>
      </c>
      <c r="H595" s="3">
        <f t="shared" si="131"/>
        <v>16</v>
      </c>
      <c r="I595" s="3">
        <f t="shared" si="132"/>
        <v>32</v>
      </c>
      <c r="J595" s="3">
        <f t="shared" si="133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34"/>
        <v>YES</v>
      </c>
      <c r="Q595" t="str">
        <f t="shared" si="135"/>
        <v>NO</v>
      </c>
      <c r="R595" t="str">
        <f t="shared" si="136"/>
        <v>NO</v>
      </c>
      <c r="T595" t="s">
        <v>74</v>
      </c>
      <c r="U595" t="str">
        <f t="shared" si="137"/>
        <v>Hampshire St</v>
      </c>
      <c r="V595" t="s">
        <v>667</v>
      </c>
      <c r="W595" t="str">
        <f t="shared" si="138"/>
        <v>Tremont St</v>
      </c>
      <c r="X595" t="str">
        <f>IF(ISBLANK(S595),"Intersection","Non-Intersection")</f>
        <v>Intersection</v>
      </c>
      <c r="Y595" t="s">
        <v>668</v>
      </c>
      <c r="Z595" t="str">
        <f t="shared" si="13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26"/>
        <v>40179</v>
      </c>
      <c r="D596" s="4">
        <f t="shared" si="127"/>
        <v>0.41369863013698632</v>
      </c>
      <c r="E596" s="3">
        <f t="shared" si="128"/>
        <v>2010</v>
      </c>
      <c r="F596" s="3">
        <f t="shared" si="129"/>
        <v>6</v>
      </c>
      <c r="G596" s="3">
        <f t="shared" si="130"/>
        <v>1</v>
      </c>
      <c r="H596" s="3">
        <f t="shared" si="131"/>
        <v>18</v>
      </c>
      <c r="I596" s="3">
        <f t="shared" si="132"/>
        <v>0</v>
      </c>
      <c r="J596" s="3">
        <f t="shared" si="133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34"/>
        <v>YES</v>
      </c>
      <c r="Q596" t="str">
        <f t="shared" si="135"/>
        <v>NO</v>
      </c>
      <c r="R596" t="str">
        <f t="shared" si="136"/>
        <v>NO</v>
      </c>
      <c r="T596" t="s">
        <v>105</v>
      </c>
      <c r="U596" t="str">
        <f t="shared" si="137"/>
        <v>Broadway</v>
      </c>
      <c r="V596" t="s">
        <v>745</v>
      </c>
      <c r="W596" t="str">
        <f t="shared" si="138"/>
        <v>Norfolk St</v>
      </c>
      <c r="X596" t="str">
        <f>IF(ISBLANK(S596),"Intersection","Non-Intersection")</f>
        <v>Intersection</v>
      </c>
      <c r="Y596" t="s">
        <v>1070</v>
      </c>
      <c r="Z596" t="str">
        <f t="shared" si="13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26"/>
        <v>40179</v>
      </c>
      <c r="D597" s="4">
        <f t="shared" si="127"/>
        <v>0.41369863013698632</v>
      </c>
      <c r="E597" s="3">
        <f t="shared" si="128"/>
        <v>2010</v>
      </c>
      <c r="F597" s="3">
        <f t="shared" si="129"/>
        <v>6</v>
      </c>
      <c r="G597" s="3">
        <f t="shared" si="130"/>
        <v>1</v>
      </c>
      <c r="H597" s="3">
        <f t="shared" si="131"/>
        <v>19</v>
      </c>
      <c r="I597" s="3">
        <f t="shared" si="132"/>
        <v>5</v>
      </c>
      <c r="J597" s="3">
        <f t="shared" si="133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34"/>
        <v>YES</v>
      </c>
      <c r="Q597" t="str">
        <f t="shared" si="135"/>
        <v>NO</v>
      </c>
      <c r="R597" t="str">
        <f t="shared" si="136"/>
        <v>NO</v>
      </c>
      <c r="T597" t="s">
        <v>675</v>
      </c>
      <c r="U597" t="str">
        <f t="shared" si="137"/>
        <v>Roseland St</v>
      </c>
      <c r="V597" t="s">
        <v>14</v>
      </c>
      <c r="W597" t="str">
        <f t="shared" si="138"/>
        <v>Massachusetts Ave</v>
      </c>
      <c r="X597" t="str">
        <f>IF(ISBLANK(S597),"Intersection","Non-Intersection")</f>
        <v>Intersection</v>
      </c>
      <c r="Y597" t="s">
        <v>1221</v>
      </c>
      <c r="Z597" t="str">
        <f t="shared" si="13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26"/>
        <v>40179</v>
      </c>
      <c r="D598" s="4">
        <f t="shared" si="127"/>
        <v>0.41369863013698632</v>
      </c>
      <c r="E598" s="3">
        <f t="shared" si="128"/>
        <v>2010</v>
      </c>
      <c r="F598" s="3">
        <f t="shared" si="129"/>
        <v>6</v>
      </c>
      <c r="G598" s="3">
        <f t="shared" si="130"/>
        <v>1</v>
      </c>
      <c r="H598" s="3">
        <f t="shared" si="131"/>
        <v>14</v>
      </c>
      <c r="I598" s="3">
        <f t="shared" si="132"/>
        <v>17</v>
      </c>
      <c r="J598" s="3">
        <f t="shared" si="133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34"/>
        <v>YES</v>
      </c>
      <c r="Q598" t="str">
        <f t="shared" si="135"/>
        <v>NO</v>
      </c>
      <c r="R598" t="str">
        <f t="shared" si="136"/>
        <v>NO</v>
      </c>
      <c r="S598">
        <v>147</v>
      </c>
      <c r="T598" t="s">
        <v>74</v>
      </c>
      <c r="U598" t="str">
        <f t="shared" si="137"/>
        <v>Hampshire St</v>
      </c>
      <c r="V598" t="s">
        <v>745</v>
      </c>
      <c r="W598" t="str">
        <f t="shared" si="138"/>
        <v>Norfolk St</v>
      </c>
      <c r="X598" t="str">
        <f>IF(ISBLANK(S598),"Intersection","Non-Intersection")</f>
        <v>Non-Intersection</v>
      </c>
      <c r="Y598" t="s">
        <v>1042</v>
      </c>
      <c r="Z598" t="str">
        <f t="shared" si="13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26"/>
        <v>40179</v>
      </c>
      <c r="D599" s="4">
        <f t="shared" si="127"/>
        <v>0.41369863013698632</v>
      </c>
      <c r="E599" s="3">
        <f t="shared" si="128"/>
        <v>2010</v>
      </c>
      <c r="F599" s="3">
        <f t="shared" si="129"/>
        <v>6</v>
      </c>
      <c r="G599" s="3">
        <f t="shared" si="130"/>
        <v>1</v>
      </c>
      <c r="H599" s="3">
        <f t="shared" si="131"/>
        <v>16</v>
      </c>
      <c r="I599" s="3">
        <f t="shared" si="132"/>
        <v>37</v>
      </c>
      <c r="J599" s="3">
        <f t="shared" si="133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34"/>
        <v>YES</v>
      </c>
      <c r="Q599" t="str">
        <f t="shared" si="135"/>
        <v>NO</v>
      </c>
      <c r="R599" t="str">
        <f t="shared" si="136"/>
        <v>NO</v>
      </c>
      <c r="S599">
        <v>48</v>
      </c>
      <c r="T599" t="s">
        <v>326</v>
      </c>
      <c r="U599" t="str">
        <f t="shared" si="137"/>
        <v>Jfk St</v>
      </c>
      <c r="V599" t="s">
        <v>1223</v>
      </c>
      <c r="W599" t="str">
        <f t="shared" si="138"/>
        <v>Winthrop Sq</v>
      </c>
      <c r="X599" t="str">
        <f>IF(ISBLANK(S599),"Intersection","Non-Intersection")</f>
        <v>Non-Intersection</v>
      </c>
      <c r="Y599" t="s">
        <v>1224</v>
      </c>
      <c r="Z599" t="str">
        <f t="shared" si="13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26"/>
        <v>40179</v>
      </c>
      <c r="D600" s="4">
        <f t="shared" si="127"/>
        <v>0.41643835616438357</v>
      </c>
      <c r="E600" s="3">
        <f t="shared" si="128"/>
        <v>2010</v>
      </c>
      <c r="F600" s="3">
        <f t="shared" si="129"/>
        <v>6</v>
      </c>
      <c r="G600" s="3">
        <f t="shared" si="130"/>
        <v>2</v>
      </c>
      <c r="H600" s="3">
        <f t="shared" si="131"/>
        <v>18</v>
      </c>
      <c r="I600" s="3">
        <f t="shared" si="132"/>
        <v>30</v>
      </c>
      <c r="J600" s="3">
        <f t="shared" si="133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34"/>
        <v>YES</v>
      </c>
      <c r="Q600" t="str">
        <f t="shared" si="135"/>
        <v>NO</v>
      </c>
      <c r="R600" t="str">
        <f t="shared" si="136"/>
        <v>NO</v>
      </c>
      <c r="T600" t="s">
        <v>209</v>
      </c>
      <c r="U600" t="str">
        <f t="shared" si="137"/>
        <v>Binney St</v>
      </c>
      <c r="V600" t="s">
        <v>105</v>
      </c>
      <c r="W600" t="str">
        <f t="shared" si="138"/>
        <v>Broadway</v>
      </c>
      <c r="X600" t="str">
        <f>IF(ISBLANK(S600),"Intersection","Non-Intersection")</f>
        <v>Intersection</v>
      </c>
      <c r="Y600" t="s">
        <v>258</v>
      </c>
      <c r="Z600" t="str">
        <f t="shared" si="13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26"/>
        <v>40179</v>
      </c>
      <c r="D601" s="4">
        <f t="shared" si="127"/>
        <v>0.41643835616438357</v>
      </c>
      <c r="E601" s="3">
        <f t="shared" si="128"/>
        <v>2010</v>
      </c>
      <c r="F601" s="3">
        <f t="shared" si="129"/>
        <v>6</v>
      </c>
      <c r="G601" s="3">
        <f t="shared" si="130"/>
        <v>2</v>
      </c>
      <c r="H601" s="3">
        <f t="shared" si="131"/>
        <v>18</v>
      </c>
      <c r="I601" s="3">
        <f t="shared" si="132"/>
        <v>30</v>
      </c>
      <c r="J601" s="3">
        <f t="shared" si="133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34"/>
        <v>YES</v>
      </c>
      <c r="Q601" t="str">
        <f t="shared" si="135"/>
        <v>NO</v>
      </c>
      <c r="R601" t="str">
        <f t="shared" si="136"/>
        <v>NO</v>
      </c>
      <c r="T601" t="s">
        <v>1226</v>
      </c>
      <c r="U601" t="str">
        <f t="shared" si="137"/>
        <v>Dana St</v>
      </c>
      <c r="V601" t="s">
        <v>105</v>
      </c>
      <c r="W601" t="str">
        <f t="shared" si="138"/>
        <v>Broadway</v>
      </c>
      <c r="X601" t="str">
        <f>IF(ISBLANK(S601),"Intersection","Non-Intersection")</f>
        <v>Intersection</v>
      </c>
      <c r="Y601" t="s">
        <v>1227</v>
      </c>
      <c r="Z601" t="str">
        <f t="shared" si="13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26"/>
        <v>40179</v>
      </c>
      <c r="D602" s="4">
        <f t="shared" si="127"/>
        <v>0.41643835616438357</v>
      </c>
      <c r="E602" s="3">
        <f t="shared" si="128"/>
        <v>2010</v>
      </c>
      <c r="F602" s="3">
        <f t="shared" si="129"/>
        <v>6</v>
      </c>
      <c r="G602" s="3">
        <f t="shared" si="130"/>
        <v>2</v>
      </c>
      <c r="H602" s="3">
        <f t="shared" si="131"/>
        <v>3</v>
      </c>
      <c r="I602" s="3">
        <f t="shared" si="132"/>
        <v>59</v>
      </c>
      <c r="J602" s="3">
        <f t="shared" si="133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34"/>
        <v>YES</v>
      </c>
      <c r="Q602" t="str">
        <f t="shared" si="135"/>
        <v>NO</v>
      </c>
      <c r="R602" t="str">
        <f t="shared" si="136"/>
        <v>NO</v>
      </c>
      <c r="T602" t="s">
        <v>325</v>
      </c>
      <c r="U602" t="str">
        <f t="shared" si="137"/>
        <v>Eliot St</v>
      </c>
      <c r="V602" t="s">
        <v>162</v>
      </c>
      <c r="W602" t="str">
        <f t="shared" si="138"/>
        <v>Bennett St</v>
      </c>
      <c r="X602" t="str">
        <f>IF(ISBLANK(S602),"Intersection","Non-Intersection")</f>
        <v>Intersection</v>
      </c>
      <c r="Y602" t="s">
        <v>1229</v>
      </c>
      <c r="Z602" t="str">
        <f t="shared" si="13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26"/>
        <v>40179</v>
      </c>
      <c r="D603" s="4">
        <f t="shared" si="127"/>
        <v>0.41643835616438357</v>
      </c>
      <c r="E603" s="3">
        <f t="shared" si="128"/>
        <v>2010</v>
      </c>
      <c r="F603" s="3">
        <f t="shared" si="129"/>
        <v>6</v>
      </c>
      <c r="G603" s="3">
        <f t="shared" si="130"/>
        <v>2</v>
      </c>
      <c r="H603" s="3">
        <f t="shared" si="131"/>
        <v>9</v>
      </c>
      <c r="I603" s="3">
        <f t="shared" si="132"/>
        <v>14</v>
      </c>
      <c r="J603" s="3">
        <f t="shared" si="133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34"/>
        <v>YES</v>
      </c>
      <c r="Q603" t="str">
        <f t="shared" si="135"/>
        <v>NO</v>
      </c>
      <c r="R603" t="str">
        <f t="shared" si="136"/>
        <v>NO</v>
      </c>
      <c r="S603">
        <v>15</v>
      </c>
      <c r="T603" t="s">
        <v>351</v>
      </c>
      <c r="U603" t="str">
        <f t="shared" si="137"/>
        <v>Cambridge Ctr</v>
      </c>
      <c r="W603" t="str">
        <f t="shared" si="138"/>
        <v/>
      </c>
      <c r="X603" t="str">
        <f>IF(ISBLANK(S603),"Intersection","Non-Intersection")</f>
        <v>Non-Intersection</v>
      </c>
      <c r="Y603" t="s">
        <v>1231</v>
      </c>
      <c r="Z603" t="str">
        <f t="shared" si="13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26"/>
        <v>40179</v>
      </c>
      <c r="D604" s="4">
        <f t="shared" si="127"/>
        <v>0.41643835616438357</v>
      </c>
      <c r="E604" s="3">
        <f t="shared" si="128"/>
        <v>2010</v>
      </c>
      <c r="F604" s="3">
        <f t="shared" si="129"/>
        <v>6</v>
      </c>
      <c r="G604" s="3">
        <f t="shared" si="130"/>
        <v>2</v>
      </c>
      <c r="H604" s="3">
        <f t="shared" si="131"/>
        <v>12</v>
      </c>
      <c r="I604" s="3">
        <f t="shared" si="132"/>
        <v>59</v>
      </c>
      <c r="J604" s="3">
        <f t="shared" si="133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34"/>
        <v>YES</v>
      </c>
      <c r="Q604" t="str">
        <f t="shared" si="135"/>
        <v>NO</v>
      </c>
      <c r="R604" t="str">
        <f t="shared" si="136"/>
        <v>NO</v>
      </c>
      <c r="T604" t="s">
        <v>19</v>
      </c>
      <c r="U604" t="str">
        <f t="shared" si="137"/>
        <v>Cambridge St</v>
      </c>
      <c r="V604" t="s">
        <v>1174</v>
      </c>
      <c r="W604" t="str">
        <f t="shared" si="138"/>
        <v>Roberts Rd</v>
      </c>
      <c r="X604" t="str">
        <f>IF(ISBLANK(S604),"Intersection","Non-Intersection")</f>
        <v>Intersection</v>
      </c>
      <c r="Y604" t="s">
        <v>1175</v>
      </c>
      <c r="Z604" t="str">
        <f t="shared" si="13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26"/>
        <v>40179</v>
      </c>
      <c r="D605" s="4">
        <f t="shared" si="127"/>
        <v>0.41643835616438357</v>
      </c>
      <c r="E605" s="3">
        <f t="shared" si="128"/>
        <v>2010</v>
      </c>
      <c r="F605" s="3">
        <f t="shared" si="129"/>
        <v>6</v>
      </c>
      <c r="G605" s="3">
        <f t="shared" si="130"/>
        <v>2</v>
      </c>
      <c r="H605" s="3">
        <f t="shared" si="131"/>
        <v>19</v>
      </c>
      <c r="I605" s="3">
        <f t="shared" si="132"/>
        <v>51</v>
      </c>
      <c r="J605" s="3">
        <f t="shared" si="133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34"/>
        <v>YES</v>
      </c>
      <c r="Q605" t="str">
        <f t="shared" si="135"/>
        <v>NO</v>
      </c>
      <c r="R605" t="str">
        <f t="shared" si="136"/>
        <v>NO</v>
      </c>
      <c r="T605" t="s">
        <v>142</v>
      </c>
      <c r="U605" t="str">
        <f t="shared" si="137"/>
        <v>Huron Ave</v>
      </c>
      <c r="V605" t="s">
        <v>208</v>
      </c>
      <c r="W605" t="str">
        <f t="shared" si="138"/>
        <v>Sparks St</v>
      </c>
      <c r="X605" t="str">
        <f>IF(ISBLANK(S605),"Intersection","Non-Intersection")</f>
        <v>Intersection</v>
      </c>
      <c r="Y605" t="s">
        <v>1232</v>
      </c>
      <c r="Z605" t="str">
        <f t="shared" si="13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26"/>
        <v>40179</v>
      </c>
      <c r="D606" s="4">
        <f t="shared" si="127"/>
        <v>0.41917808219178082</v>
      </c>
      <c r="E606" s="3">
        <f t="shared" si="128"/>
        <v>2010</v>
      </c>
      <c r="F606" s="3">
        <f t="shared" si="129"/>
        <v>6</v>
      </c>
      <c r="G606" s="3">
        <f t="shared" si="130"/>
        <v>3</v>
      </c>
      <c r="H606" s="3">
        <f t="shared" si="131"/>
        <v>11</v>
      </c>
      <c r="I606" s="3">
        <f t="shared" si="132"/>
        <v>29</v>
      </c>
      <c r="J606" s="3">
        <f t="shared" si="133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34"/>
        <v>YES</v>
      </c>
      <c r="Q606" t="str">
        <f t="shared" si="135"/>
        <v>NO</v>
      </c>
      <c r="R606" t="str">
        <f t="shared" si="136"/>
        <v>NO</v>
      </c>
      <c r="T606" t="s">
        <v>14</v>
      </c>
      <c r="U606" t="str">
        <f t="shared" si="137"/>
        <v>Massachusetts Ave</v>
      </c>
      <c r="V606" t="s">
        <v>354</v>
      </c>
      <c r="W606" t="str">
        <f t="shared" si="138"/>
        <v>Linnaean St</v>
      </c>
      <c r="X606" t="str">
        <f>IF(ISBLANK(S606),"Intersection","Non-Intersection")</f>
        <v>Intersection</v>
      </c>
      <c r="Y606" t="s">
        <v>1234</v>
      </c>
      <c r="Z606" t="str">
        <f t="shared" si="13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26"/>
        <v>40179</v>
      </c>
      <c r="D607" s="4">
        <f t="shared" si="127"/>
        <v>0.41917808219178082</v>
      </c>
      <c r="E607" s="3">
        <f t="shared" si="128"/>
        <v>2010</v>
      </c>
      <c r="F607" s="3">
        <f t="shared" si="129"/>
        <v>6</v>
      </c>
      <c r="G607" s="3">
        <f t="shared" si="130"/>
        <v>3</v>
      </c>
      <c r="H607" s="3">
        <f t="shared" si="131"/>
        <v>12</v>
      </c>
      <c r="I607" s="3">
        <f t="shared" si="132"/>
        <v>30</v>
      </c>
      <c r="J607" s="3">
        <f t="shared" si="133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34"/>
        <v>YES</v>
      </c>
      <c r="Q607" t="str">
        <f t="shared" si="135"/>
        <v>NO</v>
      </c>
      <c r="R607" t="str">
        <f t="shared" si="136"/>
        <v>NO</v>
      </c>
      <c r="T607" t="s">
        <v>587</v>
      </c>
      <c r="U607" t="str">
        <f t="shared" si="137"/>
        <v>Webster Ave</v>
      </c>
      <c r="V607" t="s">
        <v>75</v>
      </c>
      <c r="W607" t="str">
        <f t="shared" si="138"/>
        <v>Elm St</v>
      </c>
      <c r="X607" t="str">
        <f>IF(ISBLANK(S607),"Intersection","Non-Intersection")</f>
        <v>Intersection</v>
      </c>
      <c r="Y607" t="s">
        <v>597</v>
      </c>
      <c r="Z607" t="str">
        <f t="shared" si="13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26"/>
        <v>40179</v>
      </c>
      <c r="D608" s="4">
        <f t="shared" si="127"/>
        <v>0.41917808219178082</v>
      </c>
      <c r="E608" s="3">
        <f t="shared" si="128"/>
        <v>2010</v>
      </c>
      <c r="F608" s="3">
        <f t="shared" si="129"/>
        <v>6</v>
      </c>
      <c r="G608" s="3">
        <f t="shared" si="130"/>
        <v>3</v>
      </c>
      <c r="H608" s="3">
        <f t="shared" si="131"/>
        <v>14</v>
      </c>
      <c r="I608" s="3">
        <f t="shared" si="132"/>
        <v>49</v>
      </c>
      <c r="J608" s="3">
        <f t="shared" si="133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34"/>
        <v>YES</v>
      </c>
      <c r="Q608" t="str">
        <f t="shared" si="135"/>
        <v>YES</v>
      </c>
      <c r="R608" t="str">
        <f t="shared" si="136"/>
        <v>NO</v>
      </c>
      <c r="S608">
        <v>1544</v>
      </c>
      <c r="T608" t="s">
        <v>19</v>
      </c>
      <c r="U608" t="str">
        <f t="shared" si="137"/>
        <v>Cambridge St</v>
      </c>
      <c r="W608" t="str">
        <f t="shared" si="138"/>
        <v/>
      </c>
      <c r="X608" t="str">
        <f>IF(ISBLANK(S608),"Intersection","Non-Intersection")</f>
        <v>Non-Intersection</v>
      </c>
      <c r="Y608" t="s">
        <v>1236</v>
      </c>
      <c r="Z608" t="str">
        <f t="shared" si="13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26"/>
        <v>40179</v>
      </c>
      <c r="D609" s="4">
        <f t="shared" si="127"/>
        <v>0.41917808219178082</v>
      </c>
      <c r="E609" s="3">
        <f t="shared" si="128"/>
        <v>2010</v>
      </c>
      <c r="F609" s="3">
        <f t="shared" si="129"/>
        <v>6</v>
      </c>
      <c r="G609" s="3">
        <f t="shared" si="130"/>
        <v>3</v>
      </c>
      <c r="H609" s="3">
        <f t="shared" si="131"/>
        <v>16</v>
      </c>
      <c r="I609" s="3">
        <f t="shared" si="132"/>
        <v>31</v>
      </c>
      <c r="J609" s="3">
        <f t="shared" si="133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34"/>
        <v>YES</v>
      </c>
      <c r="Q609" t="str">
        <f t="shared" si="135"/>
        <v>NO</v>
      </c>
      <c r="R609" t="str">
        <f t="shared" si="136"/>
        <v>NO</v>
      </c>
      <c r="S609">
        <v>350</v>
      </c>
      <c r="T609" t="s">
        <v>15</v>
      </c>
      <c r="U609" t="str">
        <f t="shared" si="137"/>
        <v>Rindge Ave</v>
      </c>
      <c r="W609" t="str">
        <f t="shared" si="138"/>
        <v/>
      </c>
      <c r="X609" t="str">
        <f>IF(ISBLANK(S609),"Intersection","Non-Intersection")</f>
        <v>Non-Intersection</v>
      </c>
      <c r="Y609" t="s">
        <v>1238</v>
      </c>
      <c r="Z609" t="str">
        <f t="shared" si="13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26"/>
        <v>40179</v>
      </c>
      <c r="D610" s="4">
        <f t="shared" si="127"/>
        <v>0.41917808219178082</v>
      </c>
      <c r="E610" s="3">
        <f t="shared" si="128"/>
        <v>2010</v>
      </c>
      <c r="F610" s="3">
        <f t="shared" si="129"/>
        <v>6</v>
      </c>
      <c r="G610" s="3">
        <f t="shared" si="130"/>
        <v>3</v>
      </c>
      <c r="H610" s="3">
        <f t="shared" si="131"/>
        <v>17</v>
      </c>
      <c r="I610" s="3">
        <f t="shared" si="132"/>
        <v>13</v>
      </c>
      <c r="J610" s="3">
        <f t="shared" si="133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34"/>
        <v>YES</v>
      </c>
      <c r="Q610" t="str">
        <f t="shared" si="135"/>
        <v>NO</v>
      </c>
      <c r="R610" t="str">
        <f t="shared" si="136"/>
        <v>NO</v>
      </c>
      <c r="T610" t="s">
        <v>27</v>
      </c>
      <c r="U610" t="str">
        <f t="shared" si="137"/>
        <v>Western Ave</v>
      </c>
      <c r="V610" t="s">
        <v>28</v>
      </c>
      <c r="W610" t="str">
        <f t="shared" si="138"/>
        <v>Howard St</v>
      </c>
      <c r="X610" t="str">
        <f>IF(ISBLANK(S610),"Intersection","Non-Intersection")</f>
        <v>Intersection</v>
      </c>
      <c r="Y610" t="s">
        <v>29</v>
      </c>
      <c r="Z610" t="str">
        <f t="shared" si="13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26"/>
        <v>40179</v>
      </c>
      <c r="D611" s="4">
        <f t="shared" si="127"/>
        <v>0.41917808219178082</v>
      </c>
      <c r="E611" s="3">
        <f t="shared" si="128"/>
        <v>2010</v>
      </c>
      <c r="F611" s="3">
        <f t="shared" si="129"/>
        <v>6</v>
      </c>
      <c r="G611" s="3">
        <f t="shared" si="130"/>
        <v>3</v>
      </c>
      <c r="H611" s="3">
        <f t="shared" si="131"/>
        <v>18</v>
      </c>
      <c r="I611" s="3">
        <f t="shared" si="132"/>
        <v>24</v>
      </c>
      <c r="J611" s="3">
        <f t="shared" si="133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34"/>
        <v>NO</v>
      </c>
      <c r="Q611" t="str">
        <f t="shared" si="135"/>
        <v>YES</v>
      </c>
      <c r="R611" t="str">
        <f t="shared" si="136"/>
        <v>NO</v>
      </c>
      <c r="T611" t="s">
        <v>14</v>
      </c>
      <c r="U611" t="str">
        <f t="shared" si="137"/>
        <v>Massachusetts Ave</v>
      </c>
      <c r="V611" t="s">
        <v>1182</v>
      </c>
      <c r="W611" t="str">
        <f t="shared" si="138"/>
        <v>Amherst St</v>
      </c>
      <c r="X611" t="str">
        <f>IF(ISBLANK(S611),"Intersection","Non-Intersection")</f>
        <v>Intersection</v>
      </c>
      <c r="Y611" t="s">
        <v>1240</v>
      </c>
      <c r="Z611" t="str">
        <f t="shared" si="13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26"/>
        <v>40179</v>
      </c>
      <c r="D612" s="4">
        <f t="shared" si="127"/>
        <v>0.41917808219178082</v>
      </c>
      <c r="E612" s="3">
        <f t="shared" si="128"/>
        <v>2010</v>
      </c>
      <c r="F612" s="3">
        <f t="shared" si="129"/>
        <v>6</v>
      </c>
      <c r="G612" s="3">
        <f t="shared" si="130"/>
        <v>3</v>
      </c>
      <c r="H612" s="3">
        <f t="shared" si="131"/>
        <v>20</v>
      </c>
      <c r="I612" s="3">
        <f t="shared" si="132"/>
        <v>52</v>
      </c>
      <c r="J612" s="3">
        <f t="shared" si="133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34"/>
        <v>YES</v>
      </c>
      <c r="Q612" t="str">
        <f t="shared" si="135"/>
        <v>YES</v>
      </c>
      <c r="R612" t="str">
        <f t="shared" si="136"/>
        <v>NO</v>
      </c>
      <c r="S612">
        <v>472</v>
      </c>
      <c r="T612" t="s">
        <v>14</v>
      </c>
      <c r="U612" t="str">
        <f t="shared" si="137"/>
        <v>Massachusetts Ave</v>
      </c>
      <c r="W612" t="str">
        <f t="shared" si="138"/>
        <v/>
      </c>
      <c r="X612" t="str">
        <f>IF(ISBLANK(S612),"Intersection","Non-Intersection")</f>
        <v>Non-Intersection</v>
      </c>
      <c r="Y612" t="s">
        <v>1242</v>
      </c>
      <c r="Z612" t="str">
        <f t="shared" si="13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40">EOMONTH(B613,MONTH(B613)*-1)+1</f>
        <v>40179</v>
      </c>
      <c r="D613" s="4">
        <f t="shared" ref="D613:D672" si="141">YEARFRAC(C613,B613,1)</f>
        <v>0.42191780821917807</v>
      </c>
      <c r="E613" s="3">
        <f t="shared" ref="E613:E672" si="142">YEAR(B613)</f>
        <v>2010</v>
      </c>
      <c r="F613" s="3">
        <f t="shared" ref="F613:F672" si="143">MONTH(B613)</f>
        <v>6</v>
      </c>
      <c r="G613" s="3">
        <f t="shared" ref="G613:G672" si="144">DAY(B613)</f>
        <v>4</v>
      </c>
      <c r="H613" s="3">
        <f t="shared" ref="H613:H672" si="145">HOUR(B613)</f>
        <v>6</v>
      </c>
      <c r="I613" s="3">
        <f t="shared" ref="I613:I672" si="146">MINUTE(B613)</f>
        <v>59</v>
      </c>
      <c r="J613" s="3">
        <f t="shared" ref="J613:J672" si="14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48">IF(OR(N613="Auto",O613="Auto"),"YES",IF(OR(N613="Taxi",O613="Taxi"),"YES",IF(OR(N613="Van",O613="Van"),"YES",IF(OR(N613="Truck",O613="Truck"),"YES","NO"))))</f>
        <v>YES</v>
      </c>
      <c r="Q613" t="str">
        <f t="shared" ref="Q613:Q672" si="149">IF(OR(N613="Bicycle",O613="Bicycle"),"YES","NO")</f>
        <v>NO</v>
      </c>
      <c r="R613" t="str">
        <f t="shared" ref="R613:R672" si="150">IF(OR(N613="Pedestrian",O613="Pedestrian"),"YES","NO")</f>
        <v>NO</v>
      </c>
      <c r="T613" t="s">
        <v>1244</v>
      </c>
      <c r="U613" t="str">
        <f t="shared" si="137"/>
        <v>Ballord Pl</v>
      </c>
      <c r="W613" t="str">
        <f t="shared" si="138"/>
        <v/>
      </c>
      <c r="X613" t="str">
        <f>IF(ISBLANK(S613),"Intersection","Non-Intersection")</f>
        <v>Intersection</v>
      </c>
      <c r="Y613" t="s">
        <v>1245</v>
      </c>
      <c r="Z613" t="str">
        <f t="shared" si="13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40"/>
        <v>40179</v>
      </c>
      <c r="D614" s="4">
        <f t="shared" si="141"/>
        <v>0.42191780821917807</v>
      </c>
      <c r="E614" s="3">
        <f t="shared" si="142"/>
        <v>2010</v>
      </c>
      <c r="F614" s="3">
        <f t="shared" si="143"/>
        <v>6</v>
      </c>
      <c r="G614" s="3">
        <f t="shared" si="144"/>
        <v>4</v>
      </c>
      <c r="H614" s="3">
        <f t="shared" si="145"/>
        <v>10</v>
      </c>
      <c r="I614" s="3">
        <f t="shared" si="146"/>
        <v>15</v>
      </c>
      <c r="J614" s="3">
        <f t="shared" si="14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48"/>
        <v>YES</v>
      </c>
      <c r="Q614" t="str">
        <f t="shared" si="149"/>
        <v>NO</v>
      </c>
      <c r="R614" t="str">
        <f t="shared" si="150"/>
        <v>NO</v>
      </c>
      <c r="T614" t="s">
        <v>37</v>
      </c>
      <c r="U614" t="str">
        <f t="shared" si="137"/>
        <v>Magazine St</v>
      </c>
      <c r="V614" t="s">
        <v>116</v>
      </c>
      <c r="W614" t="str">
        <f t="shared" si="138"/>
        <v>Chestnut St</v>
      </c>
      <c r="X614" t="str">
        <f>IF(ISBLANK(S614),"Intersection","Non-Intersection")</f>
        <v>Intersection</v>
      </c>
      <c r="Y614" t="s">
        <v>1246</v>
      </c>
      <c r="Z614" t="str">
        <f t="shared" si="13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40"/>
        <v>40179</v>
      </c>
      <c r="D615" s="4">
        <f t="shared" si="141"/>
        <v>0.42191780821917807</v>
      </c>
      <c r="E615" s="3">
        <f t="shared" si="142"/>
        <v>2010</v>
      </c>
      <c r="F615" s="3">
        <f t="shared" si="143"/>
        <v>6</v>
      </c>
      <c r="G615" s="3">
        <f t="shared" si="144"/>
        <v>4</v>
      </c>
      <c r="H615" s="3">
        <f t="shared" si="145"/>
        <v>10</v>
      </c>
      <c r="I615" s="3">
        <f t="shared" si="146"/>
        <v>25</v>
      </c>
      <c r="J615" s="3">
        <f t="shared" si="14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48"/>
        <v>YES</v>
      </c>
      <c r="Q615" t="str">
        <f t="shared" si="149"/>
        <v>NO</v>
      </c>
      <c r="R615" t="str">
        <f t="shared" si="150"/>
        <v>NO</v>
      </c>
      <c r="T615" t="s">
        <v>14</v>
      </c>
      <c r="U615" t="str">
        <f t="shared" si="137"/>
        <v>Massachusetts Ave</v>
      </c>
      <c r="V615" t="s">
        <v>185</v>
      </c>
      <c r="W615" t="str">
        <f t="shared" si="138"/>
        <v>Garden St</v>
      </c>
      <c r="X615" t="str">
        <f>IF(ISBLANK(S615),"Intersection","Non-Intersection")</f>
        <v>Intersection</v>
      </c>
      <c r="Y615" t="s">
        <v>1247</v>
      </c>
      <c r="Z615" t="str">
        <f t="shared" si="13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40"/>
        <v>40179</v>
      </c>
      <c r="D616" s="4">
        <f t="shared" si="141"/>
        <v>0.42191780821917807</v>
      </c>
      <c r="E616" s="3">
        <f t="shared" si="142"/>
        <v>2010</v>
      </c>
      <c r="F616" s="3">
        <f t="shared" si="143"/>
        <v>6</v>
      </c>
      <c r="G616" s="3">
        <f t="shared" si="144"/>
        <v>4</v>
      </c>
      <c r="H616" s="3">
        <f t="shared" si="145"/>
        <v>14</v>
      </c>
      <c r="I616" s="3">
        <f t="shared" si="146"/>
        <v>49</v>
      </c>
      <c r="J616" s="3">
        <f t="shared" si="14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48"/>
        <v>YES</v>
      </c>
      <c r="Q616" t="str">
        <f t="shared" si="149"/>
        <v>YES</v>
      </c>
      <c r="R616" t="str">
        <f t="shared" si="150"/>
        <v>NO</v>
      </c>
      <c r="T616" t="s">
        <v>105</v>
      </c>
      <c r="U616" t="str">
        <f t="shared" si="137"/>
        <v>Broadway</v>
      </c>
      <c r="V616" t="s">
        <v>1249</v>
      </c>
      <c r="W616" t="str">
        <f t="shared" si="138"/>
        <v>West Pl</v>
      </c>
      <c r="X616" t="str">
        <f>IF(ISBLANK(S616),"Intersection","Non-Intersection")</f>
        <v>Intersection</v>
      </c>
      <c r="Y616" t="s">
        <v>1250</v>
      </c>
      <c r="Z616" t="str">
        <f t="shared" si="13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40"/>
        <v>40179</v>
      </c>
      <c r="D617" s="4">
        <f t="shared" si="141"/>
        <v>0.42191780821917807</v>
      </c>
      <c r="E617" s="3">
        <f t="shared" si="142"/>
        <v>2010</v>
      </c>
      <c r="F617" s="3">
        <f t="shared" si="143"/>
        <v>6</v>
      </c>
      <c r="G617" s="3">
        <f t="shared" si="144"/>
        <v>4</v>
      </c>
      <c r="H617" s="3">
        <f t="shared" si="145"/>
        <v>15</v>
      </c>
      <c r="I617" s="3">
        <f t="shared" si="146"/>
        <v>45</v>
      </c>
      <c r="J617" s="3">
        <f t="shared" si="14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48"/>
        <v>YES</v>
      </c>
      <c r="Q617" t="str">
        <f t="shared" si="149"/>
        <v>NO</v>
      </c>
      <c r="R617" t="str">
        <f t="shared" si="150"/>
        <v>NO</v>
      </c>
      <c r="S617">
        <v>528</v>
      </c>
      <c r="T617" t="s">
        <v>189</v>
      </c>
      <c r="U617" t="str">
        <f t="shared" si="137"/>
        <v>Windsor St</v>
      </c>
      <c r="W617" t="str">
        <f t="shared" si="138"/>
        <v/>
      </c>
      <c r="X617" t="str">
        <f>IF(ISBLANK(S617),"Intersection","Non-Intersection")</f>
        <v>Non-Intersection</v>
      </c>
      <c r="Y617" t="s">
        <v>1252</v>
      </c>
      <c r="Z617" t="str">
        <f t="shared" si="13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40"/>
        <v>40179</v>
      </c>
      <c r="D618" s="4">
        <f t="shared" si="141"/>
        <v>0.42191780821917807</v>
      </c>
      <c r="E618" s="3">
        <f t="shared" si="142"/>
        <v>2010</v>
      </c>
      <c r="F618" s="3">
        <f t="shared" si="143"/>
        <v>6</v>
      </c>
      <c r="G618" s="3">
        <f t="shared" si="144"/>
        <v>4</v>
      </c>
      <c r="H618" s="3">
        <f t="shared" si="145"/>
        <v>16</v>
      </c>
      <c r="I618" s="3">
        <f t="shared" si="146"/>
        <v>15</v>
      </c>
      <c r="J618" s="3">
        <f t="shared" si="14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48"/>
        <v>YES</v>
      </c>
      <c r="Q618" t="str">
        <f t="shared" si="149"/>
        <v>NO</v>
      </c>
      <c r="R618" t="str">
        <f t="shared" si="150"/>
        <v>NO</v>
      </c>
      <c r="S618">
        <v>1</v>
      </c>
      <c r="T618" t="s">
        <v>162</v>
      </c>
      <c r="U618" t="str">
        <f t="shared" si="137"/>
        <v>Bennett St</v>
      </c>
      <c r="W618" t="str">
        <f t="shared" si="138"/>
        <v/>
      </c>
      <c r="X618" t="str">
        <f>IF(ISBLANK(S618),"Intersection","Non-Intersection")</f>
        <v>Non-Intersection</v>
      </c>
      <c r="Y618" t="s">
        <v>163</v>
      </c>
      <c r="Z618" t="str">
        <f t="shared" si="13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40"/>
        <v>40179</v>
      </c>
      <c r="D619" s="4">
        <f t="shared" si="141"/>
        <v>0.42191780821917807</v>
      </c>
      <c r="E619" s="3">
        <f t="shared" si="142"/>
        <v>2010</v>
      </c>
      <c r="F619" s="3">
        <f t="shared" si="143"/>
        <v>6</v>
      </c>
      <c r="G619" s="3">
        <f t="shared" si="144"/>
        <v>4</v>
      </c>
      <c r="H619" s="3">
        <f t="shared" si="145"/>
        <v>22</v>
      </c>
      <c r="I619" s="3">
        <f t="shared" si="146"/>
        <v>47</v>
      </c>
      <c r="J619" s="3">
        <f t="shared" si="14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48"/>
        <v>YES</v>
      </c>
      <c r="Q619" t="str">
        <f t="shared" si="149"/>
        <v>NO</v>
      </c>
      <c r="R619" t="str">
        <f t="shared" si="150"/>
        <v>NO</v>
      </c>
      <c r="T619" t="s">
        <v>50</v>
      </c>
      <c r="U619" t="str">
        <f t="shared" si="137"/>
        <v>Belmont St</v>
      </c>
      <c r="V619" t="s">
        <v>1254</v>
      </c>
      <c r="W619" t="str">
        <f t="shared" si="138"/>
        <v>Frances Pl</v>
      </c>
      <c r="X619" t="str">
        <f>IF(ISBLANK(S619),"Intersection","Non-Intersection")</f>
        <v>Intersection</v>
      </c>
      <c r="Y619" t="s">
        <v>1255</v>
      </c>
      <c r="Z619" t="str">
        <f t="shared" si="13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40"/>
        <v>40179</v>
      </c>
      <c r="D620" s="4">
        <f t="shared" si="141"/>
        <v>0.42465753424657532</v>
      </c>
      <c r="E620" s="3">
        <f t="shared" si="142"/>
        <v>2010</v>
      </c>
      <c r="F620" s="3">
        <f t="shared" si="143"/>
        <v>6</v>
      </c>
      <c r="G620" s="3">
        <f t="shared" si="144"/>
        <v>5</v>
      </c>
      <c r="H620" s="3">
        <f t="shared" si="145"/>
        <v>7</v>
      </c>
      <c r="I620" s="3">
        <f t="shared" si="146"/>
        <v>32</v>
      </c>
      <c r="J620" s="3">
        <f t="shared" si="14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48"/>
        <v>YES</v>
      </c>
      <c r="Q620" t="str">
        <f t="shared" si="149"/>
        <v>NO</v>
      </c>
      <c r="R620" t="str">
        <f t="shared" si="150"/>
        <v>NO</v>
      </c>
      <c r="T620" t="s">
        <v>41</v>
      </c>
      <c r="U620" t="str">
        <f t="shared" si="137"/>
        <v>River St</v>
      </c>
      <c r="V620" t="s">
        <v>108</v>
      </c>
      <c r="W620" t="str">
        <f t="shared" si="138"/>
        <v>Franklin St</v>
      </c>
      <c r="X620" t="str">
        <f>IF(ISBLANK(S620),"Intersection","Non-Intersection")</f>
        <v>Intersection</v>
      </c>
      <c r="Y620" t="s">
        <v>427</v>
      </c>
      <c r="Z620" t="str">
        <f t="shared" si="13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40"/>
        <v>40179</v>
      </c>
      <c r="D621" s="4">
        <f t="shared" si="141"/>
        <v>0.42465753424657532</v>
      </c>
      <c r="E621" s="3">
        <f t="shared" si="142"/>
        <v>2010</v>
      </c>
      <c r="F621" s="3">
        <f t="shared" si="143"/>
        <v>6</v>
      </c>
      <c r="G621" s="3">
        <f t="shared" si="144"/>
        <v>5</v>
      </c>
      <c r="H621" s="3">
        <f t="shared" si="145"/>
        <v>8</v>
      </c>
      <c r="I621" s="3">
        <f t="shared" si="146"/>
        <v>39</v>
      </c>
      <c r="J621" s="3">
        <f t="shared" si="14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48"/>
        <v>YES</v>
      </c>
      <c r="Q621" t="str">
        <f t="shared" si="149"/>
        <v>NO</v>
      </c>
      <c r="R621" t="str">
        <f t="shared" si="150"/>
        <v>NO</v>
      </c>
      <c r="S621">
        <v>551</v>
      </c>
      <c r="T621" t="s">
        <v>198</v>
      </c>
      <c r="U621" t="str">
        <f t="shared" si="137"/>
        <v>Mount Auburn St</v>
      </c>
      <c r="W621" t="str">
        <f t="shared" si="138"/>
        <v/>
      </c>
      <c r="X621" t="str">
        <f>IF(ISBLANK(S621),"Intersection","Non-Intersection")</f>
        <v>Non-Intersection</v>
      </c>
      <c r="Y621" t="s">
        <v>1257</v>
      </c>
      <c r="Z621" t="str">
        <f t="shared" si="13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40"/>
        <v>40179</v>
      </c>
      <c r="D622" s="4">
        <f t="shared" si="141"/>
        <v>0.42465753424657532</v>
      </c>
      <c r="E622" s="3">
        <f t="shared" si="142"/>
        <v>2010</v>
      </c>
      <c r="F622" s="3">
        <f t="shared" si="143"/>
        <v>6</v>
      </c>
      <c r="G622" s="3">
        <f t="shared" si="144"/>
        <v>5</v>
      </c>
      <c r="H622" s="3">
        <f t="shared" si="145"/>
        <v>13</v>
      </c>
      <c r="I622" s="3">
        <f t="shared" si="146"/>
        <v>15</v>
      </c>
      <c r="J622" s="3">
        <f t="shared" si="14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48"/>
        <v>YES</v>
      </c>
      <c r="Q622" t="str">
        <f t="shared" si="149"/>
        <v>NO</v>
      </c>
      <c r="R622" t="str">
        <f t="shared" si="150"/>
        <v>NO</v>
      </c>
      <c r="S622">
        <v>132</v>
      </c>
      <c r="T622" t="s">
        <v>142</v>
      </c>
      <c r="U622" t="str">
        <f t="shared" si="137"/>
        <v>Huron Ave</v>
      </c>
      <c r="W622" t="str">
        <f t="shared" si="138"/>
        <v/>
      </c>
      <c r="X622" t="str">
        <f>IF(ISBLANK(S622),"Intersection","Non-Intersection")</f>
        <v>Non-Intersection</v>
      </c>
      <c r="Y622" t="s">
        <v>1259</v>
      </c>
      <c r="Z622" t="str">
        <f t="shared" si="13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40"/>
        <v>40179</v>
      </c>
      <c r="D623" s="4">
        <f t="shared" si="141"/>
        <v>0.42465753424657532</v>
      </c>
      <c r="E623" s="3">
        <f t="shared" si="142"/>
        <v>2010</v>
      </c>
      <c r="F623" s="3">
        <f t="shared" si="143"/>
        <v>6</v>
      </c>
      <c r="G623" s="3">
        <f t="shared" si="144"/>
        <v>5</v>
      </c>
      <c r="H623" s="3">
        <f t="shared" si="145"/>
        <v>17</v>
      </c>
      <c r="I623" s="3">
        <f t="shared" si="146"/>
        <v>39</v>
      </c>
      <c r="J623" s="3">
        <f t="shared" si="14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48"/>
        <v>YES</v>
      </c>
      <c r="Q623" t="str">
        <f t="shared" si="149"/>
        <v>NO</v>
      </c>
      <c r="R623" t="str">
        <f t="shared" si="150"/>
        <v>NO</v>
      </c>
      <c r="T623" t="s">
        <v>14</v>
      </c>
      <c r="U623" t="str">
        <f t="shared" si="137"/>
        <v>Massachusetts Ave</v>
      </c>
      <c r="V623" t="s">
        <v>15</v>
      </c>
      <c r="W623" t="str">
        <f t="shared" si="138"/>
        <v>Rindge Ave</v>
      </c>
      <c r="X623" t="str">
        <f>IF(ISBLANK(S623),"Intersection","Non-Intersection")</f>
        <v>Intersection</v>
      </c>
      <c r="Y623" t="s">
        <v>16</v>
      </c>
      <c r="Z623" t="str">
        <f t="shared" si="13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40"/>
        <v>40179</v>
      </c>
      <c r="D624" s="4">
        <f t="shared" si="141"/>
        <v>0.42465753424657532</v>
      </c>
      <c r="E624" s="3">
        <f t="shared" si="142"/>
        <v>2010</v>
      </c>
      <c r="F624" s="3">
        <f t="shared" si="143"/>
        <v>6</v>
      </c>
      <c r="G624" s="3">
        <f t="shared" si="144"/>
        <v>5</v>
      </c>
      <c r="H624" s="3">
        <f t="shared" si="145"/>
        <v>21</v>
      </c>
      <c r="I624" s="3">
        <f t="shared" si="146"/>
        <v>0</v>
      </c>
      <c r="J624" s="3">
        <f t="shared" si="14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48"/>
        <v>YES</v>
      </c>
      <c r="Q624" t="str">
        <f t="shared" si="149"/>
        <v>NO</v>
      </c>
      <c r="R624" t="str">
        <f t="shared" si="150"/>
        <v>NO</v>
      </c>
      <c r="T624" t="s">
        <v>195</v>
      </c>
      <c r="U624" t="str">
        <f t="shared" si="137"/>
        <v>Sidney St</v>
      </c>
      <c r="V624" t="s">
        <v>1261</v>
      </c>
      <c r="W624" t="str">
        <f t="shared" si="138"/>
        <v>Tudor St</v>
      </c>
      <c r="X624" t="str">
        <f>IF(ISBLANK(S624),"Intersection","Non-Intersection")</f>
        <v>Intersection</v>
      </c>
      <c r="Y624" t="s">
        <v>1262</v>
      </c>
      <c r="Z624" t="str">
        <f t="shared" si="13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40"/>
        <v>40179</v>
      </c>
      <c r="D625" s="4">
        <f t="shared" si="141"/>
        <v>0.42739726027397262</v>
      </c>
      <c r="E625" s="3">
        <f t="shared" si="142"/>
        <v>2010</v>
      </c>
      <c r="F625" s="3">
        <f t="shared" si="143"/>
        <v>6</v>
      </c>
      <c r="G625" s="3">
        <f t="shared" si="144"/>
        <v>6</v>
      </c>
      <c r="H625" s="3">
        <f t="shared" si="145"/>
        <v>2</v>
      </c>
      <c r="I625" s="3">
        <f t="shared" si="146"/>
        <v>39</v>
      </c>
      <c r="J625" s="3">
        <f t="shared" si="14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48"/>
        <v>YES</v>
      </c>
      <c r="Q625" t="str">
        <f t="shared" si="149"/>
        <v>NO</v>
      </c>
      <c r="R625" t="str">
        <f t="shared" si="150"/>
        <v>NO</v>
      </c>
      <c r="T625" t="s">
        <v>14</v>
      </c>
      <c r="U625" t="str">
        <f t="shared" si="137"/>
        <v>Massachusetts Ave</v>
      </c>
      <c r="V625" t="s">
        <v>840</v>
      </c>
      <c r="W625" t="str">
        <f t="shared" si="138"/>
        <v>Church St</v>
      </c>
      <c r="X625" t="str">
        <f>IF(ISBLANK(S625),"Intersection","Non-Intersection")</f>
        <v>Intersection</v>
      </c>
      <c r="Y625" t="s">
        <v>1264</v>
      </c>
      <c r="Z625" t="str">
        <f t="shared" si="13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40"/>
        <v>40179</v>
      </c>
      <c r="D626" s="4">
        <f t="shared" si="141"/>
        <v>0.42739726027397262</v>
      </c>
      <c r="E626" s="3">
        <f t="shared" si="142"/>
        <v>2010</v>
      </c>
      <c r="F626" s="3">
        <f t="shared" si="143"/>
        <v>6</v>
      </c>
      <c r="G626" s="3">
        <f t="shared" si="144"/>
        <v>6</v>
      </c>
      <c r="H626" s="3">
        <f t="shared" si="145"/>
        <v>16</v>
      </c>
      <c r="I626" s="3">
        <f t="shared" si="146"/>
        <v>19</v>
      </c>
      <c r="J626" s="3">
        <f t="shared" si="14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48"/>
        <v>YES</v>
      </c>
      <c r="Q626" t="str">
        <f t="shared" si="149"/>
        <v>NO</v>
      </c>
      <c r="R626" t="str">
        <f t="shared" si="150"/>
        <v>NO</v>
      </c>
      <c r="S626">
        <v>99</v>
      </c>
      <c r="T626" t="s">
        <v>45</v>
      </c>
      <c r="U626" t="str">
        <f t="shared" si="137"/>
        <v>Sherman St</v>
      </c>
      <c r="W626" t="str">
        <f t="shared" si="138"/>
        <v/>
      </c>
      <c r="X626" t="str">
        <f>IF(ISBLANK(S626),"Intersection","Non-Intersection")</f>
        <v>Non-Intersection</v>
      </c>
      <c r="Y626" t="s">
        <v>1266</v>
      </c>
      <c r="Z626" t="str">
        <f t="shared" si="13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40"/>
        <v>40179</v>
      </c>
      <c r="D627" s="4">
        <f t="shared" si="141"/>
        <v>0.42739726027397262</v>
      </c>
      <c r="E627" s="3">
        <f t="shared" si="142"/>
        <v>2010</v>
      </c>
      <c r="F627" s="3">
        <f t="shared" si="143"/>
        <v>6</v>
      </c>
      <c r="G627" s="3">
        <f t="shared" si="144"/>
        <v>6</v>
      </c>
      <c r="H627" s="3">
        <f t="shared" si="145"/>
        <v>19</v>
      </c>
      <c r="I627" s="3">
        <f t="shared" si="146"/>
        <v>15</v>
      </c>
      <c r="J627" s="3">
        <f t="shared" si="14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48"/>
        <v>YES</v>
      </c>
      <c r="Q627" t="str">
        <f t="shared" si="149"/>
        <v>NO</v>
      </c>
      <c r="R627" t="str">
        <f t="shared" si="150"/>
        <v>NO</v>
      </c>
      <c r="U627" t="str">
        <f t="shared" si="137"/>
        <v/>
      </c>
      <c r="W627" t="str">
        <f t="shared" si="138"/>
        <v/>
      </c>
      <c r="X627" t="str">
        <f>IF(ISBLANK(S627),"Intersection","Non-Intersection")</f>
        <v>Intersection</v>
      </c>
      <c r="Y627" t="s">
        <v>717</v>
      </c>
      <c r="Z627" t="str">
        <f t="shared" si="13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40"/>
        <v>40179</v>
      </c>
      <c r="D628" s="4">
        <f t="shared" si="141"/>
        <v>0.43013698630136987</v>
      </c>
      <c r="E628" s="3">
        <f t="shared" si="142"/>
        <v>2010</v>
      </c>
      <c r="F628" s="3">
        <f t="shared" si="143"/>
        <v>6</v>
      </c>
      <c r="G628" s="3">
        <f t="shared" si="144"/>
        <v>7</v>
      </c>
      <c r="H628" s="3">
        <f t="shared" si="145"/>
        <v>10</v>
      </c>
      <c r="I628" s="3">
        <f t="shared" si="146"/>
        <v>15</v>
      </c>
      <c r="J628" s="3">
        <f t="shared" si="14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48"/>
        <v>YES</v>
      </c>
      <c r="Q628" t="str">
        <f t="shared" si="149"/>
        <v>YES</v>
      </c>
      <c r="R628" t="str">
        <f t="shared" si="150"/>
        <v>NO</v>
      </c>
      <c r="T628" t="s">
        <v>32</v>
      </c>
      <c r="U628" t="str">
        <f t="shared" si="137"/>
        <v>Main St</v>
      </c>
      <c r="V628" t="s">
        <v>316</v>
      </c>
      <c r="W628" t="str">
        <f t="shared" si="138"/>
        <v>Bishop Allen Dr</v>
      </c>
      <c r="X628" t="str">
        <f>IF(ISBLANK(S628),"Intersection","Non-Intersection")</f>
        <v>Intersection</v>
      </c>
      <c r="Y628" t="s">
        <v>1268</v>
      </c>
      <c r="Z628" t="str">
        <f t="shared" si="13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40"/>
        <v>40179</v>
      </c>
      <c r="D629" s="4">
        <f t="shared" si="141"/>
        <v>0.43013698630136987</v>
      </c>
      <c r="E629" s="3">
        <f t="shared" si="142"/>
        <v>2010</v>
      </c>
      <c r="F629" s="3">
        <f t="shared" si="143"/>
        <v>6</v>
      </c>
      <c r="G629" s="3">
        <f t="shared" si="144"/>
        <v>7</v>
      </c>
      <c r="H629" s="3">
        <f t="shared" si="145"/>
        <v>13</v>
      </c>
      <c r="I629" s="3">
        <f t="shared" si="146"/>
        <v>15</v>
      </c>
      <c r="J629" s="3">
        <f t="shared" si="14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48"/>
        <v>YES</v>
      </c>
      <c r="Q629" t="str">
        <f t="shared" si="149"/>
        <v>NO</v>
      </c>
      <c r="R629" t="str">
        <f t="shared" si="150"/>
        <v>NO</v>
      </c>
      <c r="S629">
        <v>777</v>
      </c>
      <c r="T629" t="s">
        <v>178</v>
      </c>
      <c r="U629" t="str">
        <f t="shared" si="137"/>
        <v>Pleasant St</v>
      </c>
      <c r="V629" t="s">
        <v>203</v>
      </c>
      <c r="W629" t="str">
        <f t="shared" si="138"/>
        <v>Memorial Dr</v>
      </c>
      <c r="X629" t="str">
        <f>IF(ISBLANK(S629),"Intersection","Non-Intersection")</f>
        <v>Non-Intersection</v>
      </c>
      <c r="Y629" t="s">
        <v>1270</v>
      </c>
      <c r="Z629" t="str">
        <f t="shared" si="13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40"/>
        <v>40179</v>
      </c>
      <c r="D630" s="4">
        <f t="shared" si="141"/>
        <v>0.43013698630136987</v>
      </c>
      <c r="E630" s="3">
        <f t="shared" si="142"/>
        <v>2010</v>
      </c>
      <c r="F630" s="3">
        <f t="shared" si="143"/>
        <v>6</v>
      </c>
      <c r="G630" s="3">
        <f t="shared" si="144"/>
        <v>7</v>
      </c>
      <c r="H630" s="3">
        <f t="shared" si="145"/>
        <v>19</v>
      </c>
      <c r="I630" s="3">
        <f t="shared" si="146"/>
        <v>12</v>
      </c>
      <c r="J630" s="3">
        <f t="shared" si="14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48"/>
        <v>YES</v>
      </c>
      <c r="Q630" t="str">
        <f t="shared" si="149"/>
        <v>YES</v>
      </c>
      <c r="R630" t="str">
        <f t="shared" si="150"/>
        <v>NO</v>
      </c>
      <c r="T630" t="s">
        <v>14</v>
      </c>
      <c r="U630" t="str">
        <f t="shared" si="137"/>
        <v>Massachusetts Ave</v>
      </c>
      <c r="V630" t="s">
        <v>1272</v>
      </c>
      <c r="W630" t="str">
        <f t="shared" si="138"/>
        <v>Forest St</v>
      </c>
      <c r="X630" t="str">
        <f>IF(ISBLANK(S630),"Intersection","Non-Intersection")</f>
        <v>Intersection</v>
      </c>
      <c r="Y630" t="s">
        <v>1273</v>
      </c>
      <c r="Z630" t="str">
        <f t="shared" si="13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40"/>
        <v>40179</v>
      </c>
      <c r="D631" s="4">
        <f t="shared" si="141"/>
        <v>0.43013698630136987</v>
      </c>
      <c r="E631" s="3">
        <f t="shared" si="142"/>
        <v>2010</v>
      </c>
      <c r="F631" s="3">
        <f t="shared" si="143"/>
        <v>6</v>
      </c>
      <c r="G631" s="3">
        <f t="shared" si="144"/>
        <v>7</v>
      </c>
      <c r="H631" s="3">
        <f t="shared" si="145"/>
        <v>17</v>
      </c>
      <c r="I631" s="3">
        <f t="shared" si="146"/>
        <v>0</v>
      </c>
      <c r="J631" s="3">
        <f t="shared" si="14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48"/>
        <v>YES</v>
      </c>
      <c r="Q631" t="str">
        <f t="shared" si="149"/>
        <v>NO</v>
      </c>
      <c r="R631" t="str">
        <f t="shared" si="150"/>
        <v>NO</v>
      </c>
      <c r="S631">
        <v>8</v>
      </c>
      <c r="T631" t="s">
        <v>1275</v>
      </c>
      <c r="U631" t="str">
        <f t="shared" si="137"/>
        <v>Richard Ave</v>
      </c>
      <c r="W631" t="str">
        <f t="shared" si="138"/>
        <v/>
      </c>
      <c r="X631" t="str">
        <f>IF(ISBLANK(S631),"Intersection","Non-Intersection")</f>
        <v>Non-Intersection</v>
      </c>
      <c r="Y631" t="s">
        <v>1276</v>
      </c>
      <c r="Z631" t="str">
        <f t="shared" si="13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40"/>
        <v>40179</v>
      </c>
      <c r="D632" s="4">
        <f t="shared" si="141"/>
        <v>0.43287671232876712</v>
      </c>
      <c r="E632" s="3">
        <f t="shared" si="142"/>
        <v>2010</v>
      </c>
      <c r="F632" s="3">
        <f t="shared" si="143"/>
        <v>6</v>
      </c>
      <c r="G632" s="3">
        <f t="shared" si="144"/>
        <v>8</v>
      </c>
      <c r="H632" s="3">
        <f t="shared" si="145"/>
        <v>11</v>
      </c>
      <c r="I632" s="3">
        <f t="shared" si="146"/>
        <v>0</v>
      </c>
      <c r="J632" s="3">
        <f t="shared" si="14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48"/>
        <v>YES</v>
      </c>
      <c r="Q632" t="str">
        <f t="shared" si="149"/>
        <v>NO</v>
      </c>
      <c r="R632" t="str">
        <f t="shared" si="150"/>
        <v>NO</v>
      </c>
      <c r="T632" t="s">
        <v>27</v>
      </c>
      <c r="U632" t="str">
        <f t="shared" si="137"/>
        <v>Western Ave</v>
      </c>
      <c r="V632" t="s">
        <v>312</v>
      </c>
      <c r="W632" t="str">
        <f t="shared" si="138"/>
        <v>Auburn St</v>
      </c>
      <c r="X632" t="str">
        <f>IF(ISBLANK(S632),"Intersection","Non-Intersection")</f>
        <v>Intersection</v>
      </c>
      <c r="Y632" t="s">
        <v>1278</v>
      </c>
      <c r="Z632" t="str">
        <f t="shared" si="13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40"/>
        <v>40179</v>
      </c>
      <c r="D633" s="4">
        <f t="shared" si="141"/>
        <v>0.43287671232876712</v>
      </c>
      <c r="E633" s="3">
        <f t="shared" si="142"/>
        <v>2010</v>
      </c>
      <c r="F633" s="3">
        <f t="shared" si="143"/>
        <v>6</v>
      </c>
      <c r="G633" s="3">
        <f t="shared" si="144"/>
        <v>8</v>
      </c>
      <c r="H633" s="3">
        <f t="shared" si="145"/>
        <v>12</v>
      </c>
      <c r="I633" s="3">
        <f t="shared" si="146"/>
        <v>36</v>
      </c>
      <c r="J633" s="3">
        <f t="shared" si="14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48"/>
        <v>YES</v>
      </c>
      <c r="Q633" t="str">
        <f t="shared" si="149"/>
        <v>YES</v>
      </c>
      <c r="R633" t="str">
        <f t="shared" si="150"/>
        <v>NO</v>
      </c>
      <c r="S633">
        <v>620</v>
      </c>
      <c r="T633" t="s">
        <v>14</v>
      </c>
      <c r="U633" t="str">
        <f t="shared" si="137"/>
        <v>Massachusetts Ave</v>
      </c>
      <c r="W633" t="str">
        <f t="shared" si="138"/>
        <v/>
      </c>
      <c r="X633" t="str">
        <f>IF(ISBLANK(S633),"Intersection","Non-Intersection")</f>
        <v>Non-Intersection</v>
      </c>
      <c r="Y633" t="s">
        <v>789</v>
      </c>
      <c r="Z633" t="str">
        <f t="shared" si="13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40"/>
        <v>40179</v>
      </c>
      <c r="D634" s="4">
        <f t="shared" si="141"/>
        <v>0.43287671232876712</v>
      </c>
      <c r="E634" s="3">
        <f t="shared" si="142"/>
        <v>2010</v>
      </c>
      <c r="F634" s="3">
        <f t="shared" si="143"/>
        <v>6</v>
      </c>
      <c r="G634" s="3">
        <f t="shared" si="144"/>
        <v>8</v>
      </c>
      <c r="H634" s="3">
        <f t="shared" si="145"/>
        <v>21</v>
      </c>
      <c r="I634" s="3">
        <f t="shared" si="146"/>
        <v>30</v>
      </c>
      <c r="J634" s="3">
        <f t="shared" si="14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48"/>
        <v>YES</v>
      </c>
      <c r="Q634" t="str">
        <f t="shared" si="149"/>
        <v>NO</v>
      </c>
      <c r="R634" t="str">
        <f t="shared" si="150"/>
        <v>NO</v>
      </c>
      <c r="T634" t="s">
        <v>41</v>
      </c>
      <c r="U634" t="str">
        <f t="shared" si="137"/>
        <v>River St</v>
      </c>
      <c r="V634" t="s">
        <v>42</v>
      </c>
      <c r="W634" t="str">
        <f t="shared" si="138"/>
        <v>Putnam Ave</v>
      </c>
      <c r="X634" t="str">
        <f>IF(ISBLANK(S634),"Intersection","Non-Intersection")</f>
        <v>Intersection</v>
      </c>
      <c r="Y634" t="s">
        <v>43</v>
      </c>
      <c r="Z634" t="str">
        <f t="shared" si="13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40"/>
        <v>40179</v>
      </c>
      <c r="D635" s="4">
        <f t="shared" si="141"/>
        <v>0.43287671232876712</v>
      </c>
      <c r="E635" s="3">
        <f t="shared" si="142"/>
        <v>2010</v>
      </c>
      <c r="F635" s="3">
        <f t="shared" si="143"/>
        <v>6</v>
      </c>
      <c r="G635" s="3">
        <f t="shared" si="144"/>
        <v>8</v>
      </c>
      <c r="H635" s="3">
        <f t="shared" si="145"/>
        <v>13</v>
      </c>
      <c r="I635" s="3">
        <f t="shared" si="146"/>
        <v>51</v>
      </c>
      <c r="J635" s="3">
        <f t="shared" si="14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48"/>
        <v>YES</v>
      </c>
      <c r="Q635" t="str">
        <f t="shared" si="149"/>
        <v>NO</v>
      </c>
      <c r="R635" t="str">
        <f t="shared" si="150"/>
        <v>NO</v>
      </c>
      <c r="T635" t="s">
        <v>189</v>
      </c>
      <c r="U635" t="str">
        <f t="shared" si="137"/>
        <v>Windsor St</v>
      </c>
      <c r="W635" t="str">
        <f t="shared" si="138"/>
        <v/>
      </c>
      <c r="X635" t="str">
        <f>IF(ISBLANK(S635),"Intersection","Non-Intersection")</f>
        <v>Intersection</v>
      </c>
      <c r="Y635" t="s">
        <v>1280</v>
      </c>
      <c r="Z635" t="str">
        <f t="shared" si="13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40"/>
        <v>40179</v>
      </c>
      <c r="D636" s="4">
        <f t="shared" si="141"/>
        <v>0.43561643835616437</v>
      </c>
      <c r="E636" s="3">
        <f t="shared" si="142"/>
        <v>2010</v>
      </c>
      <c r="F636" s="3">
        <f t="shared" si="143"/>
        <v>6</v>
      </c>
      <c r="G636" s="3">
        <f t="shared" si="144"/>
        <v>9</v>
      </c>
      <c r="H636" s="3">
        <f t="shared" si="145"/>
        <v>18</v>
      </c>
      <c r="I636" s="3">
        <f t="shared" si="146"/>
        <v>10</v>
      </c>
      <c r="J636" s="3">
        <f t="shared" si="14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48"/>
        <v>YES</v>
      </c>
      <c r="Q636" t="str">
        <f t="shared" si="149"/>
        <v>NO</v>
      </c>
      <c r="R636" t="str">
        <f t="shared" si="150"/>
        <v>NO</v>
      </c>
      <c r="T636" t="s">
        <v>133</v>
      </c>
      <c r="U636" t="str">
        <f t="shared" si="137"/>
        <v>Harvard St</v>
      </c>
      <c r="V636" t="s">
        <v>192</v>
      </c>
      <c r="W636" t="str">
        <f t="shared" si="138"/>
        <v>Hancock St</v>
      </c>
      <c r="X636" t="str">
        <f>IF(ISBLANK(S636),"Intersection","Non-Intersection")</f>
        <v>Intersection</v>
      </c>
      <c r="Y636" t="s">
        <v>370</v>
      </c>
      <c r="Z636" t="str">
        <f t="shared" si="13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40"/>
        <v>40179</v>
      </c>
      <c r="D637" s="4">
        <f t="shared" si="141"/>
        <v>0.43561643835616437</v>
      </c>
      <c r="E637" s="3">
        <f t="shared" si="142"/>
        <v>2010</v>
      </c>
      <c r="F637" s="3">
        <f t="shared" si="143"/>
        <v>6</v>
      </c>
      <c r="G637" s="3">
        <f t="shared" si="144"/>
        <v>9</v>
      </c>
      <c r="H637" s="3">
        <f t="shared" si="145"/>
        <v>18</v>
      </c>
      <c r="I637" s="3">
        <f t="shared" si="146"/>
        <v>45</v>
      </c>
      <c r="J637" s="3">
        <f t="shared" si="14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48"/>
        <v>YES</v>
      </c>
      <c r="Q637" t="str">
        <f t="shared" si="149"/>
        <v>NO</v>
      </c>
      <c r="R637" t="str">
        <f t="shared" si="150"/>
        <v>NO</v>
      </c>
      <c r="T637" t="s">
        <v>288</v>
      </c>
      <c r="U637" t="str">
        <f t="shared" si="137"/>
        <v>Galileo Galilei Way</v>
      </c>
      <c r="V637" t="s">
        <v>32</v>
      </c>
      <c r="W637" t="str">
        <f t="shared" si="138"/>
        <v>Main St</v>
      </c>
      <c r="X637" t="str">
        <f>IF(ISBLANK(S637),"Intersection","Non-Intersection")</f>
        <v>Intersection</v>
      </c>
      <c r="Y637" t="s">
        <v>1281</v>
      </c>
      <c r="Z637" t="str">
        <f t="shared" si="13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40"/>
        <v>40179</v>
      </c>
      <c r="D638" s="4">
        <f t="shared" si="141"/>
        <v>0.43835616438356162</v>
      </c>
      <c r="E638" s="3">
        <f t="shared" si="142"/>
        <v>2010</v>
      </c>
      <c r="F638" s="3">
        <f t="shared" si="143"/>
        <v>6</v>
      </c>
      <c r="G638" s="3">
        <f t="shared" si="144"/>
        <v>10</v>
      </c>
      <c r="H638" s="3">
        <f t="shared" si="145"/>
        <v>7</v>
      </c>
      <c r="I638" s="3">
        <f t="shared" si="146"/>
        <v>50</v>
      </c>
      <c r="J638" s="3">
        <f t="shared" si="14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48"/>
        <v>YES</v>
      </c>
      <c r="Q638" t="str">
        <f t="shared" si="149"/>
        <v>NO</v>
      </c>
      <c r="R638" t="str">
        <f t="shared" si="150"/>
        <v>YES</v>
      </c>
      <c r="T638" t="s">
        <v>19</v>
      </c>
      <c r="U638" t="str">
        <f t="shared" si="137"/>
        <v>Cambridge St</v>
      </c>
      <c r="V638" t="s">
        <v>189</v>
      </c>
      <c r="W638" t="str">
        <f t="shared" si="138"/>
        <v>Windsor St</v>
      </c>
      <c r="X638" t="str">
        <f>IF(ISBLANK(S638),"Intersection","Non-Intersection")</f>
        <v>Intersection</v>
      </c>
      <c r="Y638" t="s">
        <v>244</v>
      </c>
      <c r="Z638" t="str">
        <f t="shared" si="13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40"/>
        <v>40179</v>
      </c>
      <c r="D639" s="4">
        <f t="shared" si="141"/>
        <v>0.43835616438356162</v>
      </c>
      <c r="E639" s="3">
        <f t="shared" si="142"/>
        <v>2010</v>
      </c>
      <c r="F639" s="3">
        <f t="shared" si="143"/>
        <v>6</v>
      </c>
      <c r="G639" s="3">
        <f t="shared" si="144"/>
        <v>10</v>
      </c>
      <c r="H639" s="3">
        <f t="shared" si="145"/>
        <v>18</v>
      </c>
      <c r="I639" s="3">
        <f t="shared" si="146"/>
        <v>56</v>
      </c>
      <c r="J639" s="3">
        <f t="shared" si="14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48"/>
        <v>YES</v>
      </c>
      <c r="Q639" t="str">
        <f t="shared" si="149"/>
        <v>YES</v>
      </c>
      <c r="R639" t="str">
        <f t="shared" si="150"/>
        <v>NO</v>
      </c>
      <c r="T639" t="s">
        <v>1062</v>
      </c>
      <c r="U639" t="str">
        <f t="shared" si="137"/>
        <v>Cambridgeside Pl</v>
      </c>
      <c r="W639" t="str">
        <f t="shared" si="138"/>
        <v/>
      </c>
      <c r="X639" t="str">
        <f>IF(ISBLANK(S639),"Intersection","Non-Intersection")</f>
        <v>Intersection</v>
      </c>
      <c r="Y639" t="s">
        <v>1283</v>
      </c>
      <c r="Z639" t="str">
        <f t="shared" si="13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40"/>
        <v>40179</v>
      </c>
      <c r="D640" s="4">
        <f t="shared" si="141"/>
        <v>0.43835616438356162</v>
      </c>
      <c r="E640" s="3">
        <f t="shared" si="142"/>
        <v>2010</v>
      </c>
      <c r="F640" s="3">
        <f t="shared" si="143"/>
        <v>6</v>
      </c>
      <c r="G640" s="3">
        <f t="shared" si="144"/>
        <v>10</v>
      </c>
      <c r="H640" s="3">
        <f t="shared" si="145"/>
        <v>20</v>
      </c>
      <c r="I640" s="3">
        <f t="shared" si="146"/>
        <v>13</v>
      </c>
      <c r="J640" s="3">
        <f t="shared" si="14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48"/>
        <v>YES</v>
      </c>
      <c r="Q640" t="str">
        <f t="shared" si="149"/>
        <v>NO</v>
      </c>
      <c r="R640" t="str">
        <f t="shared" si="150"/>
        <v>NO</v>
      </c>
      <c r="T640" t="s">
        <v>105</v>
      </c>
      <c r="U640" t="str">
        <f t="shared" si="137"/>
        <v>Broadway</v>
      </c>
      <c r="V640" t="s">
        <v>498</v>
      </c>
      <c r="W640" t="str">
        <f t="shared" si="138"/>
        <v>Ellery St</v>
      </c>
      <c r="X640" t="str">
        <f>IF(ISBLANK(S640),"Intersection","Non-Intersection")</f>
        <v>Intersection</v>
      </c>
      <c r="Y640" t="s">
        <v>499</v>
      </c>
      <c r="Z640" t="str">
        <f t="shared" si="13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40"/>
        <v>40179</v>
      </c>
      <c r="D641" s="4">
        <f t="shared" si="141"/>
        <v>0.43835616438356162</v>
      </c>
      <c r="E641" s="3">
        <f t="shared" si="142"/>
        <v>2010</v>
      </c>
      <c r="F641" s="3">
        <f t="shared" si="143"/>
        <v>6</v>
      </c>
      <c r="G641" s="3">
        <f t="shared" si="144"/>
        <v>10</v>
      </c>
      <c r="H641" s="3">
        <f t="shared" si="145"/>
        <v>7</v>
      </c>
      <c r="I641" s="3">
        <f t="shared" si="146"/>
        <v>19</v>
      </c>
      <c r="J641" s="3">
        <f t="shared" si="14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48"/>
        <v>NO</v>
      </c>
      <c r="Q641" t="str">
        <f t="shared" si="149"/>
        <v>NO</v>
      </c>
      <c r="R641" t="str">
        <f t="shared" si="150"/>
        <v>NO</v>
      </c>
      <c r="S641">
        <v>2585</v>
      </c>
      <c r="T641" t="s">
        <v>14</v>
      </c>
      <c r="U641" t="str">
        <f t="shared" si="137"/>
        <v>Massachusetts Ave</v>
      </c>
      <c r="W641" t="str">
        <f t="shared" si="138"/>
        <v/>
      </c>
      <c r="X641" t="str">
        <f>IF(ISBLANK(S641),"Intersection","Non-Intersection")</f>
        <v>Non-Intersection</v>
      </c>
      <c r="Y641" t="s">
        <v>1284</v>
      </c>
      <c r="Z641" t="str">
        <f t="shared" si="13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40"/>
        <v>40179</v>
      </c>
      <c r="D642" s="4">
        <f t="shared" si="141"/>
        <v>0.43835616438356162</v>
      </c>
      <c r="E642" s="3">
        <f t="shared" si="142"/>
        <v>2010</v>
      </c>
      <c r="F642" s="3">
        <f t="shared" si="143"/>
        <v>6</v>
      </c>
      <c r="G642" s="3">
        <f t="shared" si="144"/>
        <v>10</v>
      </c>
      <c r="H642" s="3">
        <f t="shared" si="145"/>
        <v>13</v>
      </c>
      <c r="I642" s="3">
        <f t="shared" si="146"/>
        <v>15</v>
      </c>
      <c r="J642" s="3">
        <f t="shared" si="14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48"/>
        <v>YES</v>
      </c>
      <c r="Q642" t="str">
        <f t="shared" si="149"/>
        <v>NO</v>
      </c>
      <c r="R642" t="str">
        <f t="shared" si="150"/>
        <v>NO</v>
      </c>
      <c r="T642" t="s">
        <v>199</v>
      </c>
      <c r="U642" t="str">
        <f t="shared" si="137"/>
        <v>Brattle St</v>
      </c>
      <c r="V642" t="s">
        <v>326</v>
      </c>
      <c r="W642" t="str">
        <f t="shared" si="138"/>
        <v>Jfk St</v>
      </c>
      <c r="X642" t="str">
        <f>IF(ISBLANK(S642),"Intersection","Non-Intersection")</f>
        <v>Intersection</v>
      </c>
      <c r="Y642" t="s">
        <v>574</v>
      </c>
      <c r="Z642" t="str">
        <f t="shared" si="13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40"/>
        <v>40179</v>
      </c>
      <c r="D643" s="4">
        <f t="shared" si="141"/>
        <v>0.44109589041095892</v>
      </c>
      <c r="E643" s="3">
        <f t="shared" si="142"/>
        <v>2010</v>
      </c>
      <c r="F643" s="3">
        <f t="shared" si="143"/>
        <v>6</v>
      </c>
      <c r="G643" s="3">
        <f t="shared" si="144"/>
        <v>11</v>
      </c>
      <c r="H643" s="3">
        <f t="shared" si="145"/>
        <v>6</v>
      </c>
      <c r="I643" s="3">
        <f t="shared" si="146"/>
        <v>59</v>
      </c>
      <c r="J643" s="3">
        <f t="shared" si="14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48"/>
        <v>YES</v>
      </c>
      <c r="Q643" t="str">
        <f t="shared" si="149"/>
        <v>NO</v>
      </c>
      <c r="R643" t="str">
        <f t="shared" si="150"/>
        <v>NO</v>
      </c>
      <c r="S643">
        <v>122</v>
      </c>
      <c r="T643" t="s">
        <v>611</v>
      </c>
      <c r="U643" t="str">
        <f t="shared" ref="U643:U706" si="151">TRIM(PROPER(T643))</f>
        <v>Berkshire St</v>
      </c>
      <c r="W643" t="str">
        <f t="shared" ref="W643:W706" si="152">TRIM(PROPER(V643))</f>
        <v/>
      </c>
      <c r="X643" t="str">
        <f>IF(ISBLANK(S643),"Intersection","Non-Intersection")</f>
        <v>Non-Intersection</v>
      </c>
      <c r="Y643" t="s">
        <v>1286</v>
      </c>
      <c r="Z643" t="str">
        <f t="shared" ref="Z643:Z706" si="153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40"/>
        <v>40179</v>
      </c>
      <c r="D644" s="4">
        <f t="shared" si="141"/>
        <v>0.44109589041095892</v>
      </c>
      <c r="E644" s="3">
        <f t="shared" si="142"/>
        <v>2010</v>
      </c>
      <c r="F644" s="3">
        <f t="shared" si="143"/>
        <v>6</v>
      </c>
      <c r="G644" s="3">
        <f t="shared" si="144"/>
        <v>11</v>
      </c>
      <c r="H644" s="3">
        <f t="shared" si="145"/>
        <v>7</v>
      </c>
      <c r="I644" s="3">
        <f t="shared" si="146"/>
        <v>25</v>
      </c>
      <c r="J644" s="3">
        <f t="shared" si="14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48"/>
        <v>YES</v>
      </c>
      <c r="Q644" t="str">
        <f t="shared" si="149"/>
        <v>NO</v>
      </c>
      <c r="R644" t="str">
        <f t="shared" si="150"/>
        <v>NO</v>
      </c>
      <c r="S644">
        <v>195</v>
      </c>
      <c r="T644" t="s">
        <v>133</v>
      </c>
      <c r="U644" t="str">
        <f t="shared" si="151"/>
        <v>Harvard St</v>
      </c>
      <c r="W644" t="str">
        <f t="shared" si="152"/>
        <v/>
      </c>
      <c r="X644" t="str">
        <f>IF(ISBLANK(S644),"Intersection","Non-Intersection")</f>
        <v>Non-Intersection</v>
      </c>
      <c r="Y644" t="s">
        <v>1288</v>
      </c>
      <c r="Z644" t="str">
        <f t="shared" si="153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40"/>
        <v>40179</v>
      </c>
      <c r="D645" s="4">
        <f t="shared" si="141"/>
        <v>0.44109589041095892</v>
      </c>
      <c r="E645" s="3">
        <f t="shared" si="142"/>
        <v>2010</v>
      </c>
      <c r="F645" s="3">
        <f t="shared" si="143"/>
        <v>6</v>
      </c>
      <c r="G645" s="3">
        <f t="shared" si="144"/>
        <v>11</v>
      </c>
      <c r="H645" s="3">
        <f t="shared" si="145"/>
        <v>9</v>
      </c>
      <c r="I645" s="3">
        <f t="shared" si="146"/>
        <v>4</v>
      </c>
      <c r="J645" s="3">
        <f t="shared" si="14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48"/>
        <v>YES</v>
      </c>
      <c r="Q645" t="str">
        <f t="shared" si="149"/>
        <v>NO</v>
      </c>
      <c r="R645" t="str">
        <f t="shared" si="150"/>
        <v>NO</v>
      </c>
      <c r="S645">
        <v>25</v>
      </c>
      <c r="T645" t="s">
        <v>413</v>
      </c>
      <c r="U645" t="str">
        <f t="shared" si="151"/>
        <v>Smith Pl</v>
      </c>
      <c r="W645" t="str">
        <f t="shared" si="152"/>
        <v/>
      </c>
      <c r="X645" t="str">
        <f>IF(ISBLANK(S645),"Intersection","Non-Intersection")</f>
        <v>Non-Intersection</v>
      </c>
      <c r="Y645" t="s">
        <v>1290</v>
      </c>
      <c r="Z645" t="str">
        <f t="shared" si="153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40"/>
        <v>40179</v>
      </c>
      <c r="D646" s="4">
        <f t="shared" si="141"/>
        <v>0.44109589041095892</v>
      </c>
      <c r="E646" s="3">
        <f t="shared" si="142"/>
        <v>2010</v>
      </c>
      <c r="F646" s="3">
        <f t="shared" si="143"/>
        <v>6</v>
      </c>
      <c r="G646" s="3">
        <f t="shared" si="144"/>
        <v>11</v>
      </c>
      <c r="H646" s="3">
        <f t="shared" si="145"/>
        <v>11</v>
      </c>
      <c r="I646" s="3">
        <f t="shared" si="146"/>
        <v>29</v>
      </c>
      <c r="J646" s="3">
        <f t="shared" si="14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48"/>
        <v>YES</v>
      </c>
      <c r="Q646" t="str">
        <f t="shared" si="149"/>
        <v>NO</v>
      </c>
      <c r="R646" t="str">
        <f t="shared" si="150"/>
        <v>NO</v>
      </c>
      <c r="S646">
        <v>18</v>
      </c>
      <c r="T646" t="s">
        <v>268</v>
      </c>
      <c r="U646" t="str">
        <f t="shared" si="151"/>
        <v>White St</v>
      </c>
      <c r="W646" t="str">
        <f t="shared" si="152"/>
        <v/>
      </c>
      <c r="X646" t="str">
        <f>IF(ISBLANK(S646),"Intersection","Non-Intersection")</f>
        <v>Non-Intersection</v>
      </c>
      <c r="Y646" t="s">
        <v>1292</v>
      </c>
      <c r="Z646" t="str">
        <f t="shared" si="153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40"/>
        <v>40179</v>
      </c>
      <c r="D647" s="4">
        <f t="shared" si="141"/>
        <v>0.44109589041095892</v>
      </c>
      <c r="E647" s="3">
        <f t="shared" si="142"/>
        <v>2010</v>
      </c>
      <c r="F647" s="3">
        <f t="shared" si="143"/>
        <v>6</v>
      </c>
      <c r="G647" s="3">
        <f t="shared" si="144"/>
        <v>11</v>
      </c>
      <c r="H647" s="3">
        <f t="shared" si="145"/>
        <v>12</v>
      </c>
      <c r="I647" s="3">
        <f t="shared" si="146"/>
        <v>30</v>
      </c>
      <c r="J647" s="3">
        <f t="shared" si="14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48"/>
        <v>YES</v>
      </c>
      <c r="Q647" t="str">
        <f t="shared" si="149"/>
        <v>NO</v>
      </c>
      <c r="R647" t="str">
        <f t="shared" si="150"/>
        <v>NO</v>
      </c>
      <c r="S647">
        <v>372</v>
      </c>
      <c r="T647" t="s">
        <v>142</v>
      </c>
      <c r="U647" t="str">
        <f t="shared" si="151"/>
        <v>Huron Ave</v>
      </c>
      <c r="W647" t="str">
        <f t="shared" si="152"/>
        <v/>
      </c>
      <c r="X647" t="str">
        <f>IF(ISBLANK(S647),"Intersection","Non-Intersection")</f>
        <v>Non-Intersection</v>
      </c>
      <c r="Y647" t="s">
        <v>1294</v>
      </c>
      <c r="Z647" t="str">
        <f t="shared" si="153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40"/>
        <v>40179</v>
      </c>
      <c r="D648" s="4">
        <f t="shared" si="141"/>
        <v>0.44109589041095892</v>
      </c>
      <c r="E648" s="3">
        <f t="shared" si="142"/>
        <v>2010</v>
      </c>
      <c r="F648" s="3">
        <f t="shared" si="143"/>
        <v>6</v>
      </c>
      <c r="G648" s="3">
        <f t="shared" si="144"/>
        <v>11</v>
      </c>
      <c r="H648" s="3">
        <f t="shared" si="145"/>
        <v>18</v>
      </c>
      <c r="I648" s="3">
        <f t="shared" si="146"/>
        <v>20</v>
      </c>
      <c r="J648" s="3">
        <f t="shared" si="14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48"/>
        <v>YES</v>
      </c>
      <c r="Q648" t="str">
        <f t="shared" si="149"/>
        <v>NO</v>
      </c>
      <c r="R648" t="str">
        <f t="shared" si="150"/>
        <v>NO</v>
      </c>
      <c r="S648">
        <v>589</v>
      </c>
      <c r="T648" t="s">
        <v>198</v>
      </c>
      <c r="U648" t="str">
        <f t="shared" si="151"/>
        <v>Mount Auburn St</v>
      </c>
      <c r="W648" t="str">
        <f t="shared" si="152"/>
        <v/>
      </c>
      <c r="X648" t="str">
        <f>IF(ISBLANK(S648),"Intersection","Non-Intersection")</f>
        <v>Non-Intersection</v>
      </c>
      <c r="Y648" t="s">
        <v>200</v>
      </c>
      <c r="Z648" t="str">
        <f t="shared" si="153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40"/>
        <v>40179</v>
      </c>
      <c r="D649" s="4">
        <f t="shared" si="141"/>
        <v>0.44109589041095892</v>
      </c>
      <c r="E649" s="3">
        <f t="shared" si="142"/>
        <v>2010</v>
      </c>
      <c r="F649" s="3">
        <f t="shared" si="143"/>
        <v>6</v>
      </c>
      <c r="G649" s="3">
        <f t="shared" si="144"/>
        <v>11</v>
      </c>
      <c r="H649" s="3">
        <f t="shared" si="145"/>
        <v>21</v>
      </c>
      <c r="I649" s="3">
        <f t="shared" si="146"/>
        <v>30</v>
      </c>
      <c r="J649" s="3">
        <f t="shared" si="14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48"/>
        <v>YES</v>
      </c>
      <c r="Q649" t="str">
        <f t="shared" si="149"/>
        <v>NO</v>
      </c>
      <c r="R649" t="str">
        <f t="shared" si="150"/>
        <v>NO</v>
      </c>
      <c r="S649">
        <v>53</v>
      </c>
      <c r="T649" t="s">
        <v>277</v>
      </c>
      <c r="U649" t="str">
        <f t="shared" si="151"/>
        <v>Lawn St</v>
      </c>
      <c r="W649" t="str">
        <f t="shared" si="152"/>
        <v/>
      </c>
      <c r="X649" t="str">
        <f>IF(ISBLANK(S649),"Intersection","Non-Intersection")</f>
        <v>Non-Intersection</v>
      </c>
      <c r="Y649" t="s">
        <v>1297</v>
      </c>
      <c r="Z649" t="str">
        <f t="shared" si="153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40"/>
        <v>40179</v>
      </c>
      <c r="D650" s="4">
        <f t="shared" si="141"/>
        <v>0.44109589041095892</v>
      </c>
      <c r="E650" s="3">
        <f t="shared" si="142"/>
        <v>2010</v>
      </c>
      <c r="F650" s="3">
        <f t="shared" si="143"/>
        <v>6</v>
      </c>
      <c r="G650" s="3">
        <f t="shared" si="144"/>
        <v>11</v>
      </c>
      <c r="H650" s="3">
        <f t="shared" si="145"/>
        <v>13</v>
      </c>
      <c r="I650" s="3">
        <f t="shared" si="146"/>
        <v>30</v>
      </c>
      <c r="J650" s="3">
        <f t="shared" si="14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48"/>
        <v>YES</v>
      </c>
      <c r="Q650" t="str">
        <f t="shared" si="149"/>
        <v>NO</v>
      </c>
      <c r="R650" t="str">
        <f t="shared" si="150"/>
        <v>NO</v>
      </c>
      <c r="T650" t="s">
        <v>326</v>
      </c>
      <c r="U650" t="str">
        <f t="shared" si="151"/>
        <v>Jfk St</v>
      </c>
      <c r="V650" t="s">
        <v>198</v>
      </c>
      <c r="W650" t="str">
        <f t="shared" si="152"/>
        <v>Mount Auburn St</v>
      </c>
      <c r="X650" t="str">
        <f>IF(ISBLANK(S650),"Intersection","Non-Intersection")</f>
        <v>Intersection</v>
      </c>
      <c r="Y650" t="s">
        <v>385</v>
      </c>
      <c r="Z650" t="str">
        <f t="shared" si="153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40"/>
        <v>40179</v>
      </c>
      <c r="D651" s="4">
        <f t="shared" si="141"/>
        <v>0.44109589041095892</v>
      </c>
      <c r="E651" s="3">
        <f t="shared" si="142"/>
        <v>2010</v>
      </c>
      <c r="F651" s="3">
        <f t="shared" si="143"/>
        <v>6</v>
      </c>
      <c r="G651" s="3">
        <f t="shared" si="144"/>
        <v>11</v>
      </c>
      <c r="H651" s="3">
        <f t="shared" si="145"/>
        <v>12</v>
      </c>
      <c r="I651" s="3">
        <f t="shared" si="146"/>
        <v>14</v>
      </c>
      <c r="J651" s="3">
        <f t="shared" si="14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48"/>
        <v>YES</v>
      </c>
      <c r="Q651" t="str">
        <f t="shared" si="149"/>
        <v>YES</v>
      </c>
      <c r="R651" t="str">
        <f t="shared" si="150"/>
        <v>NO</v>
      </c>
      <c r="T651" t="s">
        <v>14</v>
      </c>
      <c r="U651" t="str">
        <f t="shared" si="151"/>
        <v>Massachusetts Ave</v>
      </c>
      <c r="V651" t="s">
        <v>185</v>
      </c>
      <c r="W651" t="str">
        <f t="shared" si="152"/>
        <v>Garden St</v>
      </c>
      <c r="X651" t="str">
        <f>IF(ISBLANK(S651),"Intersection","Non-Intersection")</f>
        <v>Intersection</v>
      </c>
      <c r="Y651" t="s">
        <v>1247</v>
      </c>
      <c r="Z651" t="str">
        <f t="shared" si="153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40"/>
        <v>40179</v>
      </c>
      <c r="D652" s="4">
        <f t="shared" si="141"/>
        <v>0.44383561643835617</v>
      </c>
      <c r="E652" s="3">
        <f t="shared" si="142"/>
        <v>2010</v>
      </c>
      <c r="F652" s="3">
        <f t="shared" si="143"/>
        <v>6</v>
      </c>
      <c r="G652" s="3">
        <f t="shared" si="144"/>
        <v>12</v>
      </c>
      <c r="H652" s="3">
        <f t="shared" si="145"/>
        <v>12</v>
      </c>
      <c r="I652" s="3">
        <f t="shared" si="146"/>
        <v>45</v>
      </c>
      <c r="J652" s="3">
        <f t="shared" si="14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48"/>
        <v>YES</v>
      </c>
      <c r="Q652" t="str">
        <f t="shared" si="149"/>
        <v>NO</v>
      </c>
      <c r="R652" t="str">
        <f t="shared" si="150"/>
        <v>NO</v>
      </c>
      <c r="S652">
        <v>699</v>
      </c>
      <c r="T652" t="s">
        <v>198</v>
      </c>
      <c r="U652" t="str">
        <f t="shared" si="151"/>
        <v>Mount Auburn St</v>
      </c>
      <c r="W652" t="str">
        <f t="shared" si="152"/>
        <v/>
      </c>
      <c r="X652" t="str">
        <f>IF(ISBLANK(S652),"Intersection","Non-Intersection")</f>
        <v>Non-Intersection</v>
      </c>
      <c r="Y652" t="s">
        <v>585</v>
      </c>
      <c r="Z652" t="str">
        <f t="shared" si="153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40"/>
        <v>40179</v>
      </c>
      <c r="D653" s="4">
        <f t="shared" si="141"/>
        <v>0.44383561643835617</v>
      </c>
      <c r="E653" s="3">
        <f t="shared" si="142"/>
        <v>2010</v>
      </c>
      <c r="F653" s="3">
        <f t="shared" si="143"/>
        <v>6</v>
      </c>
      <c r="G653" s="3">
        <f t="shared" si="144"/>
        <v>12</v>
      </c>
      <c r="H653" s="3">
        <f t="shared" si="145"/>
        <v>15</v>
      </c>
      <c r="I653" s="3">
        <f t="shared" si="146"/>
        <v>17</v>
      </c>
      <c r="J653" s="3">
        <f t="shared" si="14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48"/>
        <v>YES</v>
      </c>
      <c r="Q653" t="str">
        <f t="shared" si="149"/>
        <v>NO</v>
      </c>
      <c r="R653" t="str">
        <f t="shared" si="150"/>
        <v>NO</v>
      </c>
      <c r="T653" t="s">
        <v>37</v>
      </c>
      <c r="U653" t="str">
        <f t="shared" si="151"/>
        <v>Magazine St</v>
      </c>
      <c r="V653" t="s">
        <v>1299</v>
      </c>
      <c r="W653" t="str">
        <f t="shared" si="152"/>
        <v>Lawrence St</v>
      </c>
      <c r="X653" t="str">
        <f>IF(ISBLANK(S653),"Intersection","Non-Intersection")</f>
        <v>Intersection</v>
      </c>
      <c r="Y653" t="s">
        <v>1300</v>
      </c>
      <c r="Z653" t="str">
        <f t="shared" si="153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40"/>
        <v>40179</v>
      </c>
      <c r="D654" s="4">
        <f t="shared" si="141"/>
        <v>0.44657534246575342</v>
      </c>
      <c r="E654" s="3">
        <f t="shared" si="142"/>
        <v>2010</v>
      </c>
      <c r="F654" s="3">
        <f t="shared" si="143"/>
        <v>6</v>
      </c>
      <c r="G654" s="3">
        <f t="shared" si="144"/>
        <v>13</v>
      </c>
      <c r="H654" s="3">
        <f t="shared" si="145"/>
        <v>13</v>
      </c>
      <c r="I654" s="3">
        <f t="shared" si="146"/>
        <v>30</v>
      </c>
      <c r="J654" s="3">
        <f t="shared" si="14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48"/>
        <v>YES</v>
      </c>
      <c r="Q654" t="str">
        <f t="shared" si="149"/>
        <v>NO</v>
      </c>
      <c r="R654" t="str">
        <f t="shared" si="150"/>
        <v>NO</v>
      </c>
      <c r="S654">
        <v>209</v>
      </c>
      <c r="T654" t="s">
        <v>170</v>
      </c>
      <c r="U654" t="str">
        <f t="shared" si="151"/>
        <v>Alewife Brook Pky</v>
      </c>
      <c r="W654" t="str">
        <f t="shared" si="152"/>
        <v/>
      </c>
      <c r="X654" t="str">
        <f>IF(ISBLANK(S654),"Intersection","Non-Intersection")</f>
        <v>Non-Intersection</v>
      </c>
      <c r="Y654" t="s">
        <v>1302</v>
      </c>
      <c r="Z654" t="str">
        <f t="shared" si="153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40"/>
        <v>40179</v>
      </c>
      <c r="D655" s="4">
        <f t="shared" si="141"/>
        <v>0.44657534246575342</v>
      </c>
      <c r="E655" s="3">
        <f t="shared" si="142"/>
        <v>2010</v>
      </c>
      <c r="F655" s="3">
        <f t="shared" si="143"/>
        <v>6</v>
      </c>
      <c r="G655" s="3">
        <f t="shared" si="144"/>
        <v>13</v>
      </c>
      <c r="H655" s="3">
        <f t="shared" si="145"/>
        <v>17</v>
      </c>
      <c r="I655" s="3">
        <f t="shared" si="146"/>
        <v>29</v>
      </c>
      <c r="J655" s="3">
        <f t="shared" si="14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48"/>
        <v>YES</v>
      </c>
      <c r="Q655" t="str">
        <f t="shared" si="149"/>
        <v>NO</v>
      </c>
      <c r="R655" t="str">
        <f t="shared" si="150"/>
        <v>NO</v>
      </c>
      <c r="T655" t="s">
        <v>70</v>
      </c>
      <c r="U655" t="str">
        <f t="shared" si="151"/>
        <v>Pearl St</v>
      </c>
      <c r="W655" t="str">
        <f t="shared" si="152"/>
        <v/>
      </c>
      <c r="X655" t="str">
        <f>IF(ISBLANK(S655),"Intersection","Non-Intersection")</f>
        <v>Intersection</v>
      </c>
      <c r="Y655" t="s">
        <v>1304</v>
      </c>
      <c r="Z655" t="str">
        <f t="shared" si="153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40"/>
        <v>40179</v>
      </c>
      <c r="D656" s="4">
        <f t="shared" si="141"/>
        <v>0.44657534246575342</v>
      </c>
      <c r="E656" s="3">
        <f t="shared" si="142"/>
        <v>2010</v>
      </c>
      <c r="F656" s="3">
        <f t="shared" si="143"/>
        <v>6</v>
      </c>
      <c r="G656" s="3">
        <f t="shared" si="144"/>
        <v>13</v>
      </c>
      <c r="H656" s="3">
        <f t="shared" si="145"/>
        <v>17</v>
      </c>
      <c r="I656" s="3">
        <f t="shared" si="146"/>
        <v>0</v>
      </c>
      <c r="J656" s="3">
        <f t="shared" si="14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48"/>
        <v>YES</v>
      </c>
      <c r="Q656" t="str">
        <f t="shared" si="149"/>
        <v>NO</v>
      </c>
      <c r="R656" t="str">
        <f t="shared" si="150"/>
        <v>NO</v>
      </c>
      <c r="S656">
        <v>100</v>
      </c>
      <c r="T656" t="s">
        <v>1062</v>
      </c>
      <c r="U656" t="str">
        <f t="shared" si="151"/>
        <v>Cambridgeside Pl</v>
      </c>
      <c r="W656" t="str">
        <f t="shared" si="152"/>
        <v/>
      </c>
      <c r="X656" t="str">
        <f>IF(ISBLANK(S656),"Intersection","Non-Intersection")</f>
        <v>Non-Intersection</v>
      </c>
      <c r="Y656" t="s">
        <v>1143</v>
      </c>
      <c r="Z656" t="str">
        <f t="shared" si="153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40"/>
        <v>40179</v>
      </c>
      <c r="D657" s="4">
        <f t="shared" si="141"/>
        <v>0.44657534246575342</v>
      </c>
      <c r="E657" s="3">
        <f t="shared" si="142"/>
        <v>2010</v>
      </c>
      <c r="F657" s="3">
        <f t="shared" si="143"/>
        <v>6</v>
      </c>
      <c r="G657" s="3">
        <f t="shared" si="144"/>
        <v>13</v>
      </c>
      <c r="H657" s="3">
        <f t="shared" si="145"/>
        <v>2</v>
      </c>
      <c r="I657" s="3">
        <f t="shared" si="146"/>
        <v>29</v>
      </c>
      <c r="J657" s="3">
        <f t="shared" si="14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48"/>
        <v>YES</v>
      </c>
      <c r="Q657" t="str">
        <f t="shared" si="149"/>
        <v>NO</v>
      </c>
      <c r="R657" t="str">
        <f t="shared" si="150"/>
        <v>NO</v>
      </c>
      <c r="S657">
        <v>10</v>
      </c>
      <c r="T657" t="s">
        <v>325</v>
      </c>
      <c r="U657" t="str">
        <f t="shared" si="151"/>
        <v>Eliot St</v>
      </c>
      <c r="W657" t="str">
        <f t="shared" si="152"/>
        <v/>
      </c>
      <c r="X657" t="str">
        <f>IF(ISBLANK(S657),"Intersection","Non-Intersection")</f>
        <v>Non-Intersection</v>
      </c>
      <c r="Y657" t="s">
        <v>1305</v>
      </c>
      <c r="Z657" t="str">
        <f t="shared" si="153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40"/>
        <v>40179</v>
      </c>
      <c r="D658" s="4">
        <f t="shared" si="141"/>
        <v>0.44931506849315067</v>
      </c>
      <c r="E658" s="3">
        <f t="shared" si="142"/>
        <v>2010</v>
      </c>
      <c r="F658" s="3">
        <f t="shared" si="143"/>
        <v>6</v>
      </c>
      <c r="G658" s="3">
        <f t="shared" si="144"/>
        <v>14</v>
      </c>
      <c r="H658" s="3">
        <f t="shared" si="145"/>
        <v>15</v>
      </c>
      <c r="I658" s="3">
        <f t="shared" si="146"/>
        <v>49</v>
      </c>
      <c r="J658" s="3">
        <f t="shared" si="14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48"/>
        <v>YES</v>
      </c>
      <c r="Q658" t="str">
        <f t="shared" si="149"/>
        <v>NO</v>
      </c>
      <c r="R658" t="str">
        <f t="shared" si="150"/>
        <v>NO</v>
      </c>
      <c r="S658">
        <v>19</v>
      </c>
      <c r="T658" t="s">
        <v>199</v>
      </c>
      <c r="U658" t="str">
        <f t="shared" si="151"/>
        <v>Brattle St</v>
      </c>
      <c r="V658" t="s">
        <v>326</v>
      </c>
      <c r="W658" t="str">
        <f t="shared" si="152"/>
        <v>Jfk St</v>
      </c>
      <c r="X658" t="str">
        <f>IF(ISBLANK(S658),"Intersection","Non-Intersection")</f>
        <v>Non-Intersection</v>
      </c>
      <c r="Y658" t="s">
        <v>1308</v>
      </c>
      <c r="Z658" t="str">
        <f t="shared" si="153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40"/>
        <v>40179</v>
      </c>
      <c r="D659" s="4">
        <f t="shared" si="141"/>
        <v>0.45205479452054792</v>
      </c>
      <c r="E659" s="3">
        <f t="shared" si="142"/>
        <v>2010</v>
      </c>
      <c r="F659" s="3">
        <f t="shared" si="143"/>
        <v>6</v>
      </c>
      <c r="G659" s="3">
        <f t="shared" si="144"/>
        <v>15</v>
      </c>
      <c r="H659" s="3">
        <f t="shared" si="145"/>
        <v>14</v>
      </c>
      <c r="I659" s="3">
        <f t="shared" si="146"/>
        <v>0</v>
      </c>
      <c r="J659" s="3">
        <f t="shared" si="14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48"/>
        <v>YES</v>
      </c>
      <c r="Q659" t="str">
        <f t="shared" si="149"/>
        <v>NO</v>
      </c>
      <c r="R659" t="str">
        <f t="shared" si="150"/>
        <v>NO</v>
      </c>
      <c r="S659">
        <v>102</v>
      </c>
      <c r="T659" t="s">
        <v>20</v>
      </c>
      <c r="U659" t="str">
        <f t="shared" si="151"/>
        <v>Sciarappa St</v>
      </c>
      <c r="W659" t="str">
        <f t="shared" si="152"/>
        <v/>
      </c>
      <c r="X659" t="str">
        <f>IF(ISBLANK(S659),"Intersection","Non-Intersection")</f>
        <v>Non-Intersection</v>
      </c>
      <c r="Y659" t="s">
        <v>1310</v>
      </c>
      <c r="Z659" t="str">
        <f t="shared" si="153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40"/>
        <v>40179</v>
      </c>
      <c r="D660" s="4">
        <f t="shared" si="141"/>
        <v>0.45205479452054792</v>
      </c>
      <c r="E660" s="3">
        <f t="shared" si="142"/>
        <v>2010</v>
      </c>
      <c r="F660" s="3">
        <f t="shared" si="143"/>
        <v>6</v>
      </c>
      <c r="G660" s="3">
        <f t="shared" si="144"/>
        <v>15</v>
      </c>
      <c r="H660" s="3">
        <f t="shared" si="145"/>
        <v>16</v>
      </c>
      <c r="I660" s="3">
        <f t="shared" si="146"/>
        <v>6</v>
      </c>
      <c r="J660" s="3">
        <f t="shared" si="14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48"/>
        <v>YES</v>
      </c>
      <c r="Q660" t="str">
        <f t="shared" si="149"/>
        <v>NO</v>
      </c>
      <c r="R660" t="str">
        <f t="shared" si="150"/>
        <v>NO</v>
      </c>
      <c r="T660" t="s">
        <v>198</v>
      </c>
      <c r="U660" t="str">
        <f t="shared" si="151"/>
        <v>Mount Auburn St</v>
      </c>
      <c r="V660" t="s">
        <v>177</v>
      </c>
      <c r="W660" t="str">
        <f t="shared" si="152"/>
        <v>Holworthy St</v>
      </c>
      <c r="X660" t="str">
        <f>IF(ISBLANK(S660),"Intersection","Non-Intersection")</f>
        <v>Intersection</v>
      </c>
      <c r="Y660" t="s">
        <v>1312</v>
      </c>
      <c r="Z660" t="str">
        <f t="shared" si="153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40"/>
        <v>40179</v>
      </c>
      <c r="D661" s="4">
        <f t="shared" si="141"/>
        <v>0.45205479452054792</v>
      </c>
      <c r="E661" s="3">
        <f t="shared" si="142"/>
        <v>2010</v>
      </c>
      <c r="F661" s="3">
        <f t="shared" si="143"/>
        <v>6</v>
      </c>
      <c r="G661" s="3">
        <f t="shared" si="144"/>
        <v>15</v>
      </c>
      <c r="H661" s="3">
        <f t="shared" si="145"/>
        <v>17</v>
      </c>
      <c r="I661" s="3">
        <f t="shared" si="146"/>
        <v>17</v>
      </c>
      <c r="J661" s="3">
        <f t="shared" si="14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48"/>
        <v>YES</v>
      </c>
      <c r="Q661" t="str">
        <f t="shared" si="149"/>
        <v>YES</v>
      </c>
      <c r="R661" t="str">
        <f t="shared" si="150"/>
        <v>NO</v>
      </c>
      <c r="S661">
        <v>319</v>
      </c>
      <c r="T661" t="s">
        <v>14</v>
      </c>
      <c r="U661" t="str">
        <f t="shared" si="151"/>
        <v>Massachusetts Ave</v>
      </c>
      <c r="W661" t="str">
        <f t="shared" si="152"/>
        <v/>
      </c>
      <c r="X661" t="str">
        <f>IF(ISBLANK(S661),"Intersection","Non-Intersection")</f>
        <v>Non-Intersection</v>
      </c>
      <c r="Y661" t="s">
        <v>1314</v>
      </c>
      <c r="Z661" t="str">
        <f t="shared" si="153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40"/>
        <v>40179</v>
      </c>
      <c r="D662" s="4">
        <f t="shared" si="141"/>
        <v>0.45479452054794522</v>
      </c>
      <c r="E662" s="3">
        <f t="shared" si="142"/>
        <v>2010</v>
      </c>
      <c r="F662" s="3">
        <f t="shared" si="143"/>
        <v>6</v>
      </c>
      <c r="G662" s="3">
        <f t="shared" si="144"/>
        <v>16</v>
      </c>
      <c r="H662" s="3">
        <f t="shared" si="145"/>
        <v>9</v>
      </c>
      <c r="I662" s="3">
        <f t="shared" si="146"/>
        <v>55</v>
      </c>
      <c r="J662" s="3">
        <f t="shared" si="14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48"/>
        <v>YES</v>
      </c>
      <c r="Q662" t="str">
        <f t="shared" si="149"/>
        <v>YES</v>
      </c>
      <c r="R662" t="str">
        <f t="shared" si="150"/>
        <v>NO</v>
      </c>
      <c r="T662" t="s">
        <v>14</v>
      </c>
      <c r="U662" t="str">
        <f t="shared" si="151"/>
        <v>Massachusetts Ave</v>
      </c>
      <c r="V662" t="s">
        <v>1316</v>
      </c>
      <c r="W662" t="str">
        <f t="shared" si="152"/>
        <v>State St</v>
      </c>
      <c r="X662" t="str">
        <f>IF(ISBLANK(S662),"Intersection","Non-Intersection")</f>
        <v>Intersection</v>
      </c>
      <c r="Y662" t="s">
        <v>1317</v>
      </c>
      <c r="Z662" t="str">
        <f t="shared" si="153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40"/>
        <v>40179</v>
      </c>
      <c r="D663" s="4">
        <f t="shared" si="141"/>
        <v>0.45479452054794522</v>
      </c>
      <c r="E663" s="3">
        <f t="shared" si="142"/>
        <v>2010</v>
      </c>
      <c r="F663" s="3">
        <f t="shared" si="143"/>
        <v>6</v>
      </c>
      <c r="G663" s="3">
        <f t="shared" si="144"/>
        <v>16</v>
      </c>
      <c r="H663" s="3">
        <f t="shared" si="145"/>
        <v>17</v>
      </c>
      <c r="I663" s="3">
        <f t="shared" si="146"/>
        <v>49</v>
      </c>
      <c r="J663" s="3">
        <f t="shared" si="14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48"/>
        <v>YES</v>
      </c>
      <c r="Q663" t="str">
        <f t="shared" si="149"/>
        <v>YES</v>
      </c>
      <c r="R663" t="str">
        <f t="shared" si="150"/>
        <v>NO</v>
      </c>
      <c r="T663" t="s">
        <v>14</v>
      </c>
      <c r="U663" t="str">
        <f t="shared" si="151"/>
        <v>Massachusetts Ave</v>
      </c>
      <c r="V663" t="s">
        <v>70</v>
      </c>
      <c r="W663" t="str">
        <f t="shared" si="152"/>
        <v>Pearl St</v>
      </c>
      <c r="X663" t="str">
        <f>IF(ISBLANK(S663),"Intersection","Non-Intersection")</f>
        <v>Intersection</v>
      </c>
      <c r="Y663" t="s">
        <v>855</v>
      </c>
      <c r="Z663" t="str">
        <f t="shared" si="153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40"/>
        <v>40179</v>
      </c>
      <c r="D664" s="4">
        <f t="shared" si="141"/>
        <v>0.45753424657534247</v>
      </c>
      <c r="E664" s="3">
        <f t="shared" si="142"/>
        <v>2010</v>
      </c>
      <c r="F664" s="3">
        <f t="shared" si="143"/>
        <v>6</v>
      </c>
      <c r="G664" s="3">
        <f t="shared" si="144"/>
        <v>17</v>
      </c>
      <c r="H664" s="3">
        <f t="shared" si="145"/>
        <v>9</v>
      </c>
      <c r="I664" s="3">
        <f t="shared" si="146"/>
        <v>0</v>
      </c>
      <c r="J664" s="3">
        <f t="shared" si="14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48"/>
        <v>YES</v>
      </c>
      <c r="Q664" t="str">
        <f t="shared" si="149"/>
        <v>NO</v>
      </c>
      <c r="R664" t="str">
        <f t="shared" si="150"/>
        <v>NO</v>
      </c>
      <c r="T664" t="s">
        <v>147</v>
      </c>
      <c r="U664" t="str">
        <f t="shared" si="151"/>
        <v>Sixth St</v>
      </c>
      <c r="V664" t="s">
        <v>19</v>
      </c>
      <c r="W664" t="str">
        <f t="shared" si="152"/>
        <v>Cambridge St</v>
      </c>
      <c r="X664" t="str">
        <f>IF(ISBLANK(S664),"Intersection","Non-Intersection")</f>
        <v>Intersection</v>
      </c>
      <c r="Y664" t="s">
        <v>1319</v>
      </c>
      <c r="Z664" t="str">
        <f t="shared" si="153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40"/>
        <v>40179</v>
      </c>
      <c r="D665" s="4">
        <f t="shared" si="141"/>
        <v>0.45753424657534247</v>
      </c>
      <c r="E665" s="3">
        <f t="shared" si="142"/>
        <v>2010</v>
      </c>
      <c r="F665" s="3">
        <f t="shared" si="143"/>
        <v>6</v>
      </c>
      <c r="G665" s="3">
        <f t="shared" si="144"/>
        <v>17</v>
      </c>
      <c r="H665" s="3">
        <f t="shared" si="145"/>
        <v>14</v>
      </c>
      <c r="I665" s="3">
        <f t="shared" si="146"/>
        <v>0</v>
      </c>
      <c r="J665" s="3">
        <f t="shared" si="14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48"/>
        <v>YES</v>
      </c>
      <c r="Q665" t="str">
        <f t="shared" si="149"/>
        <v>NO</v>
      </c>
      <c r="R665" t="str">
        <f t="shared" si="150"/>
        <v>YES</v>
      </c>
      <c r="S665">
        <v>5</v>
      </c>
      <c r="T665" t="s">
        <v>260</v>
      </c>
      <c r="U665" t="str">
        <f t="shared" si="151"/>
        <v>Third St</v>
      </c>
      <c r="W665" t="str">
        <f t="shared" si="152"/>
        <v/>
      </c>
      <c r="X665" t="str">
        <f>IF(ISBLANK(S665),"Intersection","Non-Intersection")</f>
        <v>Non-Intersection</v>
      </c>
      <c r="Y665" t="s">
        <v>912</v>
      </c>
      <c r="Z665" t="str">
        <f t="shared" si="153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40"/>
        <v>40179</v>
      </c>
      <c r="D666" s="4">
        <f t="shared" si="141"/>
        <v>0.45753424657534247</v>
      </c>
      <c r="E666" s="3">
        <f t="shared" si="142"/>
        <v>2010</v>
      </c>
      <c r="F666" s="3">
        <f t="shared" si="143"/>
        <v>6</v>
      </c>
      <c r="G666" s="3">
        <f t="shared" si="144"/>
        <v>17</v>
      </c>
      <c r="H666" s="3">
        <f t="shared" si="145"/>
        <v>23</v>
      </c>
      <c r="I666" s="3">
        <f t="shared" si="146"/>
        <v>29</v>
      </c>
      <c r="J666" s="3">
        <f t="shared" si="14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48"/>
        <v>YES</v>
      </c>
      <c r="Q666" t="str">
        <f t="shared" si="149"/>
        <v>NO</v>
      </c>
      <c r="R666" t="str">
        <f t="shared" si="150"/>
        <v>NO</v>
      </c>
      <c r="S666">
        <v>18</v>
      </c>
      <c r="T666" t="s">
        <v>1320</v>
      </c>
      <c r="U666" t="str">
        <f t="shared" si="151"/>
        <v>Craigie St</v>
      </c>
      <c r="W666" t="str">
        <f t="shared" si="152"/>
        <v/>
      </c>
      <c r="X666" t="str">
        <f>IF(ISBLANK(S666),"Intersection","Non-Intersection")</f>
        <v>Non-Intersection</v>
      </c>
      <c r="Y666" t="s">
        <v>1321</v>
      </c>
      <c r="Z666" t="str">
        <f t="shared" si="153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40"/>
        <v>40179</v>
      </c>
      <c r="D667" s="4">
        <f t="shared" si="141"/>
        <v>0.46027397260273972</v>
      </c>
      <c r="E667" s="3">
        <f t="shared" si="142"/>
        <v>2010</v>
      </c>
      <c r="F667" s="3">
        <f t="shared" si="143"/>
        <v>6</v>
      </c>
      <c r="G667" s="3">
        <f t="shared" si="144"/>
        <v>18</v>
      </c>
      <c r="H667" s="3">
        <f t="shared" si="145"/>
        <v>7</v>
      </c>
      <c r="I667" s="3">
        <f t="shared" si="146"/>
        <v>30</v>
      </c>
      <c r="J667" s="3">
        <f t="shared" si="14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48"/>
        <v>YES</v>
      </c>
      <c r="Q667" t="str">
        <f t="shared" si="149"/>
        <v>NO</v>
      </c>
      <c r="R667" t="str">
        <f t="shared" si="150"/>
        <v>NO</v>
      </c>
      <c r="T667" t="s">
        <v>216</v>
      </c>
      <c r="U667" t="str">
        <f t="shared" si="151"/>
        <v>Washington Ave</v>
      </c>
      <c r="V667" t="s">
        <v>796</v>
      </c>
      <c r="W667" t="str">
        <f t="shared" si="152"/>
        <v>Portland St</v>
      </c>
      <c r="X667" t="str">
        <f>IF(ISBLANK(S667),"Intersection","Non-Intersection")</f>
        <v>Intersection</v>
      </c>
      <c r="Y667" t="s">
        <v>1323</v>
      </c>
      <c r="Z667" t="str">
        <f t="shared" si="153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40"/>
        <v>40179</v>
      </c>
      <c r="D668" s="4">
        <f t="shared" si="141"/>
        <v>0.46027397260273972</v>
      </c>
      <c r="E668" s="3">
        <f t="shared" si="142"/>
        <v>2010</v>
      </c>
      <c r="F668" s="3">
        <f t="shared" si="143"/>
        <v>6</v>
      </c>
      <c r="G668" s="3">
        <f t="shared" si="144"/>
        <v>18</v>
      </c>
      <c r="H668" s="3">
        <f t="shared" si="145"/>
        <v>15</v>
      </c>
      <c r="I668" s="3">
        <f t="shared" si="146"/>
        <v>30</v>
      </c>
      <c r="J668" s="3">
        <f t="shared" si="14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48"/>
        <v>YES</v>
      </c>
      <c r="Q668" t="str">
        <f t="shared" si="149"/>
        <v>NO</v>
      </c>
      <c r="R668" t="str">
        <f t="shared" si="150"/>
        <v>NO</v>
      </c>
      <c r="S668">
        <v>100</v>
      </c>
      <c r="T668" t="s">
        <v>1062</v>
      </c>
      <c r="U668" t="str">
        <f t="shared" si="151"/>
        <v>Cambridgeside Pl</v>
      </c>
      <c r="W668" t="str">
        <f t="shared" si="152"/>
        <v/>
      </c>
      <c r="X668" t="str">
        <f>IF(ISBLANK(S668),"Intersection","Non-Intersection")</f>
        <v>Non-Intersection</v>
      </c>
      <c r="Y668" t="s">
        <v>1143</v>
      </c>
      <c r="Z668" t="str">
        <f t="shared" si="153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40"/>
        <v>40179</v>
      </c>
      <c r="D669" s="4">
        <f t="shared" si="141"/>
        <v>0.46027397260273972</v>
      </c>
      <c r="E669" s="3">
        <f t="shared" si="142"/>
        <v>2010</v>
      </c>
      <c r="F669" s="3">
        <f t="shared" si="143"/>
        <v>6</v>
      </c>
      <c r="G669" s="3">
        <f t="shared" si="144"/>
        <v>18</v>
      </c>
      <c r="H669" s="3">
        <f t="shared" si="145"/>
        <v>18</v>
      </c>
      <c r="I669" s="3">
        <f t="shared" si="146"/>
        <v>59</v>
      </c>
      <c r="J669" s="3">
        <f t="shared" si="14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48"/>
        <v>YES</v>
      </c>
      <c r="Q669" t="str">
        <f t="shared" si="149"/>
        <v>NO</v>
      </c>
      <c r="R669" t="str">
        <f t="shared" si="150"/>
        <v>NO</v>
      </c>
      <c r="S669">
        <v>100</v>
      </c>
      <c r="T669" t="s">
        <v>1062</v>
      </c>
      <c r="U669" t="str">
        <f t="shared" si="151"/>
        <v>Cambridgeside Pl</v>
      </c>
      <c r="W669" t="str">
        <f t="shared" si="152"/>
        <v/>
      </c>
      <c r="X669" t="str">
        <f>IF(ISBLANK(S669),"Intersection","Non-Intersection")</f>
        <v>Non-Intersection</v>
      </c>
      <c r="Y669" t="s">
        <v>1143</v>
      </c>
      <c r="Z669" t="str">
        <f t="shared" si="153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40"/>
        <v>40179</v>
      </c>
      <c r="D670" s="4">
        <f t="shared" si="141"/>
        <v>0.46027397260273972</v>
      </c>
      <c r="E670" s="3">
        <f t="shared" si="142"/>
        <v>2010</v>
      </c>
      <c r="F670" s="3">
        <f t="shared" si="143"/>
        <v>6</v>
      </c>
      <c r="G670" s="3">
        <f t="shared" si="144"/>
        <v>18</v>
      </c>
      <c r="H670" s="3">
        <f t="shared" si="145"/>
        <v>2</v>
      </c>
      <c r="I670" s="3">
        <f t="shared" si="146"/>
        <v>57</v>
      </c>
      <c r="J670" s="3">
        <f t="shared" si="14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48"/>
        <v>YES</v>
      </c>
      <c r="Q670" t="str">
        <f t="shared" si="149"/>
        <v>NO</v>
      </c>
      <c r="R670" t="str">
        <f t="shared" si="150"/>
        <v>NO</v>
      </c>
      <c r="S670">
        <v>16</v>
      </c>
      <c r="T670" t="s">
        <v>1324</v>
      </c>
      <c r="U670" t="str">
        <f t="shared" si="151"/>
        <v>Flagg St</v>
      </c>
      <c r="W670" t="str">
        <f t="shared" si="152"/>
        <v/>
      </c>
      <c r="X670" t="str">
        <f>IF(ISBLANK(S670),"Intersection","Non-Intersection")</f>
        <v>Non-Intersection</v>
      </c>
      <c r="Y670" t="s">
        <v>1325</v>
      </c>
      <c r="Z670" t="str">
        <f t="shared" si="153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40"/>
        <v>40179</v>
      </c>
      <c r="D671" s="4">
        <f t="shared" si="141"/>
        <v>0.46301369863013697</v>
      </c>
      <c r="E671" s="3">
        <f t="shared" si="142"/>
        <v>2010</v>
      </c>
      <c r="F671" s="3">
        <f t="shared" si="143"/>
        <v>6</v>
      </c>
      <c r="G671" s="3">
        <f t="shared" si="144"/>
        <v>19</v>
      </c>
      <c r="H671" s="3">
        <f t="shared" si="145"/>
        <v>6</v>
      </c>
      <c r="I671" s="3">
        <f t="shared" si="146"/>
        <v>30</v>
      </c>
      <c r="J671" s="3">
        <f t="shared" si="14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48"/>
        <v>YES</v>
      </c>
      <c r="Q671" t="str">
        <f t="shared" si="149"/>
        <v>NO</v>
      </c>
      <c r="R671" t="str">
        <f t="shared" si="150"/>
        <v>NO</v>
      </c>
      <c r="S671">
        <v>27</v>
      </c>
      <c r="T671" t="s">
        <v>832</v>
      </c>
      <c r="U671" t="str">
        <f t="shared" si="151"/>
        <v>Fairmont Ave</v>
      </c>
      <c r="W671" t="str">
        <f t="shared" si="152"/>
        <v/>
      </c>
      <c r="X671" t="str">
        <f>IF(ISBLANK(S671),"Intersection","Non-Intersection")</f>
        <v>Non-Intersection</v>
      </c>
      <c r="Y671" t="s">
        <v>1327</v>
      </c>
      <c r="Z671" t="str">
        <f t="shared" si="153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40"/>
        <v>40179</v>
      </c>
      <c r="D672" s="4">
        <f t="shared" si="141"/>
        <v>0.46301369863013697</v>
      </c>
      <c r="E672" s="3">
        <f t="shared" si="142"/>
        <v>2010</v>
      </c>
      <c r="F672" s="3">
        <f t="shared" si="143"/>
        <v>6</v>
      </c>
      <c r="G672" s="3">
        <f t="shared" si="144"/>
        <v>19</v>
      </c>
      <c r="H672" s="3">
        <f t="shared" si="145"/>
        <v>11</v>
      </c>
      <c r="I672" s="3">
        <f t="shared" si="146"/>
        <v>49</v>
      </c>
      <c r="J672" s="3">
        <f t="shared" si="14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48"/>
        <v>YES</v>
      </c>
      <c r="Q672" t="str">
        <f t="shared" si="149"/>
        <v>NO</v>
      </c>
      <c r="R672" t="str">
        <f t="shared" si="150"/>
        <v>NO</v>
      </c>
      <c r="T672" t="s">
        <v>142</v>
      </c>
      <c r="U672" t="str">
        <f t="shared" si="151"/>
        <v>Huron Ave</v>
      </c>
      <c r="V672" t="s">
        <v>409</v>
      </c>
      <c r="W672" t="str">
        <f t="shared" si="152"/>
        <v>Appleton St</v>
      </c>
      <c r="X672" t="str">
        <f>IF(ISBLANK(S672),"Intersection","Non-Intersection")</f>
        <v>Intersection</v>
      </c>
      <c r="Y672" t="s">
        <v>1329</v>
      </c>
      <c r="Z672" t="str">
        <f t="shared" si="153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54">EOMONTH(B673,MONTH(B673)*-1)+1</f>
        <v>40179</v>
      </c>
      <c r="D673" s="4">
        <f t="shared" ref="D673:D734" si="155">YEARFRAC(C673,B673,1)</f>
        <v>0.46575342465753422</v>
      </c>
      <c r="E673" s="3">
        <f t="shared" ref="E673:E734" si="156">YEAR(B673)</f>
        <v>2010</v>
      </c>
      <c r="F673" s="3">
        <f t="shared" ref="F673:F734" si="157">MONTH(B673)</f>
        <v>6</v>
      </c>
      <c r="G673" s="3">
        <f t="shared" ref="G673:G734" si="158">DAY(B673)</f>
        <v>20</v>
      </c>
      <c r="H673" s="3">
        <f t="shared" ref="H673:H734" si="159">HOUR(B673)</f>
        <v>14</v>
      </c>
      <c r="I673" s="3">
        <f t="shared" ref="I673:I734" si="160">MINUTE(B673)</f>
        <v>46</v>
      </c>
      <c r="J673" s="3">
        <f t="shared" ref="J673:J734" si="161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62">IF(OR(N673="Auto",O673="Auto"),"YES",IF(OR(N673="Taxi",O673="Taxi"),"YES",IF(OR(N673="Van",O673="Van"),"YES",IF(OR(N673="Truck",O673="Truck"),"YES","NO"))))</f>
        <v>YES</v>
      </c>
      <c r="Q673" t="str">
        <f t="shared" ref="Q673:Q734" si="163">IF(OR(N673="Bicycle",O673="Bicycle"),"YES","NO")</f>
        <v>NO</v>
      </c>
      <c r="R673" t="str">
        <f t="shared" ref="R673:R734" si="164">IF(OR(N673="Pedestrian",O673="Pedestrian"),"YES","NO")</f>
        <v>NO</v>
      </c>
      <c r="T673" t="s">
        <v>146</v>
      </c>
      <c r="U673" t="str">
        <f t="shared" si="151"/>
        <v>Spring St</v>
      </c>
      <c r="V673" t="s">
        <v>260</v>
      </c>
      <c r="W673" t="str">
        <f t="shared" si="152"/>
        <v>Third St</v>
      </c>
      <c r="X673" t="str">
        <f>IF(ISBLANK(S673),"Intersection","Non-Intersection")</f>
        <v>Intersection</v>
      </c>
      <c r="Y673" t="s">
        <v>1331</v>
      </c>
      <c r="Z673" t="str">
        <f t="shared" si="153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54"/>
        <v>40179</v>
      </c>
      <c r="D674" s="4">
        <f t="shared" si="155"/>
        <v>0.46575342465753422</v>
      </c>
      <c r="E674" s="3">
        <f t="shared" si="156"/>
        <v>2010</v>
      </c>
      <c r="F674" s="3">
        <f t="shared" si="157"/>
        <v>6</v>
      </c>
      <c r="G674" s="3">
        <f t="shared" si="158"/>
        <v>20</v>
      </c>
      <c r="H674" s="3">
        <f t="shared" si="159"/>
        <v>22</v>
      </c>
      <c r="I674" s="3">
        <f t="shared" si="160"/>
        <v>15</v>
      </c>
      <c r="J674" s="3">
        <f t="shared" si="161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62"/>
        <v>YES</v>
      </c>
      <c r="Q674" t="str">
        <f t="shared" si="163"/>
        <v>NO</v>
      </c>
      <c r="R674" t="str">
        <f t="shared" si="164"/>
        <v>NO</v>
      </c>
      <c r="T674" t="s">
        <v>14</v>
      </c>
      <c r="U674" t="str">
        <f t="shared" si="151"/>
        <v>Massachusetts Ave</v>
      </c>
      <c r="V674" t="s">
        <v>94</v>
      </c>
      <c r="W674" t="str">
        <f t="shared" si="152"/>
        <v>Shepard St</v>
      </c>
      <c r="X674" t="str">
        <f>IF(ISBLANK(S674),"Intersection","Non-Intersection")</f>
        <v>Intersection</v>
      </c>
      <c r="Y674" t="s">
        <v>95</v>
      </c>
      <c r="Z674" t="str">
        <f t="shared" si="153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54"/>
        <v>40179</v>
      </c>
      <c r="D675" s="4">
        <f t="shared" si="155"/>
        <v>0.46575342465753422</v>
      </c>
      <c r="E675" s="3">
        <f t="shared" si="156"/>
        <v>2010</v>
      </c>
      <c r="F675" s="3">
        <f t="shared" si="157"/>
        <v>6</v>
      </c>
      <c r="G675" s="3">
        <f t="shared" si="158"/>
        <v>20</v>
      </c>
      <c r="H675" s="3">
        <f t="shared" si="159"/>
        <v>17</v>
      </c>
      <c r="I675" s="3">
        <f t="shared" si="160"/>
        <v>0</v>
      </c>
      <c r="J675" s="3">
        <f t="shared" si="161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62"/>
        <v>YES</v>
      </c>
      <c r="Q675" t="str">
        <f t="shared" si="163"/>
        <v>NO</v>
      </c>
      <c r="R675" t="str">
        <f t="shared" si="164"/>
        <v>NO</v>
      </c>
      <c r="T675" t="s">
        <v>185</v>
      </c>
      <c r="U675" t="str">
        <f t="shared" si="151"/>
        <v>Garden St</v>
      </c>
      <c r="V675" t="s">
        <v>449</v>
      </c>
      <c r="W675" t="str">
        <f t="shared" si="152"/>
        <v>Appian Way</v>
      </c>
      <c r="X675" t="str">
        <f>IF(ISBLANK(S675),"Intersection","Non-Intersection")</f>
        <v>Intersection</v>
      </c>
      <c r="Y675" t="s">
        <v>729</v>
      </c>
      <c r="Z675" t="str">
        <f t="shared" si="153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54"/>
        <v>40179</v>
      </c>
      <c r="D676" s="4">
        <f t="shared" si="155"/>
        <v>0.46849315068493153</v>
      </c>
      <c r="E676" s="3">
        <f t="shared" si="156"/>
        <v>2010</v>
      </c>
      <c r="F676" s="3">
        <f t="shared" si="157"/>
        <v>6</v>
      </c>
      <c r="G676" s="3">
        <f t="shared" si="158"/>
        <v>21</v>
      </c>
      <c r="H676" s="3">
        <f t="shared" si="159"/>
        <v>9</v>
      </c>
      <c r="I676" s="3">
        <f t="shared" si="160"/>
        <v>30</v>
      </c>
      <c r="J676" s="3">
        <f t="shared" si="161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62"/>
        <v>YES</v>
      </c>
      <c r="Q676" t="str">
        <f t="shared" si="163"/>
        <v>NO</v>
      </c>
      <c r="R676" t="str">
        <f t="shared" si="164"/>
        <v>NO</v>
      </c>
      <c r="T676" t="s">
        <v>198</v>
      </c>
      <c r="U676" t="str">
        <f t="shared" si="151"/>
        <v>Mount Auburn St</v>
      </c>
      <c r="V676" t="s">
        <v>42</v>
      </c>
      <c r="W676" t="str">
        <f t="shared" si="152"/>
        <v>Putnam Ave</v>
      </c>
      <c r="X676" t="str">
        <f>IF(ISBLANK(S676),"Intersection","Non-Intersection")</f>
        <v>Intersection</v>
      </c>
      <c r="Y676" t="s">
        <v>285</v>
      </c>
      <c r="Z676" t="str">
        <f t="shared" si="153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54"/>
        <v>40179</v>
      </c>
      <c r="D677" s="4">
        <f t="shared" si="155"/>
        <v>0.46849315068493153</v>
      </c>
      <c r="E677" s="3">
        <f t="shared" si="156"/>
        <v>2010</v>
      </c>
      <c r="F677" s="3">
        <f t="shared" si="157"/>
        <v>6</v>
      </c>
      <c r="G677" s="3">
        <f t="shared" si="158"/>
        <v>21</v>
      </c>
      <c r="H677" s="3">
        <f t="shared" si="159"/>
        <v>11</v>
      </c>
      <c r="I677" s="3">
        <f t="shared" si="160"/>
        <v>29</v>
      </c>
      <c r="J677" s="3">
        <f t="shared" si="161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62"/>
        <v>YES</v>
      </c>
      <c r="Q677" t="str">
        <f t="shared" si="163"/>
        <v>NO</v>
      </c>
      <c r="R677" t="str">
        <f t="shared" si="164"/>
        <v>NO</v>
      </c>
      <c r="S677">
        <v>1920</v>
      </c>
      <c r="T677" t="s">
        <v>14</v>
      </c>
      <c r="U677" t="str">
        <f t="shared" si="151"/>
        <v>Massachusetts Ave</v>
      </c>
      <c r="V677" t="s">
        <v>1332</v>
      </c>
      <c r="W677" t="str">
        <f t="shared" si="152"/>
        <v>Porter Rd</v>
      </c>
      <c r="X677" t="str">
        <f>IF(ISBLANK(S677),"Intersection","Non-Intersection")</f>
        <v>Non-Intersection</v>
      </c>
      <c r="Y677" t="s">
        <v>1333</v>
      </c>
      <c r="Z677" t="str">
        <f t="shared" si="153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54"/>
        <v>40179</v>
      </c>
      <c r="D678" s="4">
        <f t="shared" si="155"/>
        <v>0.46849315068493153</v>
      </c>
      <c r="E678" s="3">
        <f t="shared" si="156"/>
        <v>2010</v>
      </c>
      <c r="F678" s="3">
        <f t="shared" si="157"/>
        <v>6</v>
      </c>
      <c r="G678" s="3">
        <f t="shared" si="158"/>
        <v>21</v>
      </c>
      <c r="H678" s="3">
        <f t="shared" si="159"/>
        <v>18</v>
      </c>
      <c r="I678" s="3">
        <f t="shared" si="160"/>
        <v>45</v>
      </c>
      <c r="J678" s="3">
        <f t="shared" si="161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62"/>
        <v>YES</v>
      </c>
      <c r="Q678" t="str">
        <f t="shared" si="163"/>
        <v>NO</v>
      </c>
      <c r="R678" t="str">
        <f t="shared" si="164"/>
        <v>NO</v>
      </c>
      <c r="S678">
        <v>679</v>
      </c>
      <c r="T678" t="s">
        <v>186</v>
      </c>
      <c r="U678" t="str">
        <f t="shared" si="151"/>
        <v>Concord Ave</v>
      </c>
      <c r="W678" t="str">
        <f t="shared" si="152"/>
        <v/>
      </c>
      <c r="X678" t="str">
        <f>IF(ISBLANK(S678),"Intersection","Non-Intersection")</f>
        <v>Non-Intersection</v>
      </c>
      <c r="Y678" t="s">
        <v>1335</v>
      </c>
      <c r="Z678" t="str">
        <f t="shared" si="153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54"/>
        <v>40179</v>
      </c>
      <c r="D679" s="4">
        <f t="shared" si="155"/>
        <v>0.46849315068493153</v>
      </c>
      <c r="E679" s="3">
        <f t="shared" si="156"/>
        <v>2010</v>
      </c>
      <c r="F679" s="3">
        <f t="shared" si="157"/>
        <v>6</v>
      </c>
      <c r="G679" s="3">
        <f t="shared" si="158"/>
        <v>21</v>
      </c>
      <c r="H679" s="3">
        <f t="shared" si="159"/>
        <v>8</v>
      </c>
      <c r="I679" s="3">
        <f t="shared" si="160"/>
        <v>0</v>
      </c>
      <c r="J679" s="3">
        <f t="shared" si="161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62"/>
        <v>YES</v>
      </c>
      <c r="Q679" t="str">
        <f t="shared" si="163"/>
        <v>NO</v>
      </c>
      <c r="R679" t="str">
        <f t="shared" si="164"/>
        <v>NO</v>
      </c>
      <c r="T679" t="s">
        <v>15</v>
      </c>
      <c r="U679" t="str">
        <f t="shared" si="151"/>
        <v>Rindge Ave</v>
      </c>
      <c r="V679" t="s">
        <v>561</v>
      </c>
      <c r="W679" t="str">
        <f t="shared" si="152"/>
        <v>Sargent St</v>
      </c>
      <c r="X679" t="str">
        <f>IF(ISBLANK(S679),"Intersection","Non-Intersection")</f>
        <v>Intersection</v>
      </c>
      <c r="Y679" t="s">
        <v>1337</v>
      </c>
      <c r="Z679" t="str">
        <f t="shared" si="153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54"/>
        <v>40179</v>
      </c>
      <c r="D680" s="4">
        <f t="shared" si="155"/>
        <v>0.46849315068493153</v>
      </c>
      <c r="E680" s="3">
        <f t="shared" si="156"/>
        <v>2010</v>
      </c>
      <c r="F680" s="3">
        <f t="shared" si="157"/>
        <v>6</v>
      </c>
      <c r="G680" s="3">
        <f t="shared" si="158"/>
        <v>21</v>
      </c>
      <c r="H680" s="3">
        <f t="shared" si="159"/>
        <v>21</v>
      </c>
      <c r="I680" s="3">
        <f t="shared" si="160"/>
        <v>34</v>
      </c>
      <c r="J680" s="3">
        <f t="shared" si="161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62"/>
        <v>YES</v>
      </c>
      <c r="Q680" t="str">
        <f t="shared" si="163"/>
        <v>NO</v>
      </c>
      <c r="R680" t="str">
        <f t="shared" si="164"/>
        <v>NO</v>
      </c>
      <c r="S680">
        <v>85</v>
      </c>
      <c r="T680" t="s">
        <v>316</v>
      </c>
      <c r="U680" t="str">
        <f t="shared" si="151"/>
        <v>Bishop Allen Dr</v>
      </c>
      <c r="W680" t="str">
        <f t="shared" si="152"/>
        <v/>
      </c>
      <c r="X680" t="str">
        <f>IF(ISBLANK(S680),"Intersection","Non-Intersection")</f>
        <v>Non-Intersection</v>
      </c>
      <c r="Y680" t="s">
        <v>1339</v>
      </c>
      <c r="Z680" t="str">
        <f t="shared" si="153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54"/>
        <v>40179</v>
      </c>
      <c r="D681" s="4">
        <f t="shared" si="155"/>
        <v>0.47123287671232877</v>
      </c>
      <c r="E681" s="3">
        <f t="shared" si="156"/>
        <v>2010</v>
      </c>
      <c r="F681" s="3">
        <f t="shared" si="157"/>
        <v>6</v>
      </c>
      <c r="G681" s="3">
        <f t="shared" si="158"/>
        <v>22</v>
      </c>
      <c r="H681" s="3">
        <f t="shared" si="159"/>
        <v>17</v>
      </c>
      <c r="I681" s="3">
        <f t="shared" si="160"/>
        <v>0</v>
      </c>
      <c r="J681" s="3">
        <f t="shared" si="161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62"/>
        <v>YES</v>
      </c>
      <c r="Q681" t="str">
        <f t="shared" si="163"/>
        <v>NO</v>
      </c>
      <c r="R681" t="str">
        <f t="shared" si="164"/>
        <v>NO</v>
      </c>
      <c r="S681">
        <v>28</v>
      </c>
      <c r="T681" t="s">
        <v>1341</v>
      </c>
      <c r="U681" t="str">
        <f t="shared" si="151"/>
        <v>Camp St</v>
      </c>
      <c r="W681" t="str">
        <f t="shared" si="152"/>
        <v/>
      </c>
      <c r="X681" t="str">
        <f>IF(ISBLANK(S681),"Intersection","Non-Intersection")</f>
        <v>Non-Intersection</v>
      </c>
      <c r="Y681" t="s">
        <v>1342</v>
      </c>
      <c r="Z681" t="str">
        <f t="shared" si="153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54"/>
        <v>40179</v>
      </c>
      <c r="D682" s="4">
        <f t="shared" si="155"/>
        <v>0.47397260273972602</v>
      </c>
      <c r="E682" s="3">
        <f t="shared" si="156"/>
        <v>2010</v>
      </c>
      <c r="F682" s="3">
        <f t="shared" si="157"/>
        <v>6</v>
      </c>
      <c r="G682" s="3">
        <f t="shared" si="158"/>
        <v>23</v>
      </c>
      <c r="H682" s="3">
        <f t="shared" si="159"/>
        <v>20</v>
      </c>
      <c r="I682" s="3">
        <f t="shared" si="160"/>
        <v>10</v>
      </c>
      <c r="J682" s="3">
        <f t="shared" si="161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62"/>
        <v>YES</v>
      </c>
      <c r="Q682" t="str">
        <f t="shared" si="163"/>
        <v>NO</v>
      </c>
      <c r="R682" t="str">
        <f t="shared" si="164"/>
        <v>NO</v>
      </c>
      <c r="T682" t="s">
        <v>993</v>
      </c>
      <c r="U682" t="str">
        <f t="shared" si="151"/>
        <v>Fifth St</v>
      </c>
      <c r="V682" t="s">
        <v>698</v>
      </c>
      <c r="W682" t="str">
        <f t="shared" si="152"/>
        <v>Thorndike St</v>
      </c>
      <c r="X682" t="str">
        <f>IF(ISBLANK(S682),"Intersection","Non-Intersection")</f>
        <v>Intersection</v>
      </c>
      <c r="Y682" t="s">
        <v>1344</v>
      </c>
      <c r="Z682" t="str">
        <f t="shared" si="153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54"/>
        <v>40179</v>
      </c>
      <c r="D683" s="4">
        <f t="shared" si="155"/>
        <v>0.47397260273972602</v>
      </c>
      <c r="E683" s="3">
        <f t="shared" si="156"/>
        <v>2010</v>
      </c>
      <c r="F683" s="3">
        <f t="shared" si="157"/>
        <v>6</v>
      </c>
      <c r="G683" s="3">
        <f t="shared" si="158"/>
        <v>23</v>
      </c>
      <c r="H683" s="3">
        <f t="shared" si="159"/>
        <v>20</v>
      </c>
      <c r="I683" s="3">
        <f t="shared" si="160"/>
        <v>29</v>
      </c>
      <c r="J683" s="3">
        <f t="shared" si="161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62"/>
        <v>YES</v>
      </c>
      <c r="Q683" t="str">
        <f t="shared" si="163"/>
        <v>NO</v>
      </c>
      <c r="R683" t="str">
        <f t="shared" si="164"/>
        <v>NO</v>
      </c>
      <c r="T683" t="s">
        <v>105</v>
      </c>
      <c r="U683" t="str">
        <f t="shared" si="151"/>
        <v>Broadway</v>
      </c>
      <c r="V683" t="s">
        <v>79</v>
      </c>
      <c r="W683" t="str">
        <f t="shared" si="152"/>
        <v>Ames St</v>
      </c>
      <c r="X683" t="str">
        <f>IF(ISBLANK(S683),"Intersection","Non-Intersection")</f>
        <v>Intersection</v>
      </c>
      <c r="Y683" t="s">
        <v>1346</v>
      </c>
      <c r="Z683" t="str">
        <f t="shared" si="153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54"/>
        <v>40179</v>
      </c>
      <c r="D684" s="4">
        <f t="shared" si="155"/>
        <v>0.47397260273972602</v>
      </c>
      <c r="E684" s="3">
        <f t="shared" si="156"/>
        <v>2010</v>
      </c>
      <c r="F684" s="3">
        <f t="shared" si="157"/>
        <v>6</v>
      </c>
      <c r="G684" s="3">
        <f t="shared" si="158"/>
        <v>23</v>
      </c>
      <c r="H684" s="3">
        <f t="shared" si="159"/>
        <v>10</v>
      </c>
      <c r="I684" s="3">
        <f t="shared" si="160"/>
        <v>15</v>
      </c>
      <c r="J684" s="3">
        <f t="shared" si="161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62"/>
        <v>YES</v>
      </c>
      <c r="Q684" t="str">
        <f t="shared" si="163"/>
        <v>NO</v>
      </c>
      <c r="R684" t="str">
        <f t="shared" si="164"/>
        <v>NO</v>
      </c>
      <c r="S684">
        <v>22</v>
      </c>
      <c r="T684" t="s">
        <v>1348</v>
      </c>
      <c r="U684" t="str">
        <f t="shared" si="151"/>
        <v>Robinson St</v>
      </c>
      <c r="W684" t="str">
        <f t="shared" si="152"/>
        <v/>
      </c>
      <c r="X684" t="str">
        <f>IF(ISBLANK(S684),"Intersection","Non-Intersection")</f>
        <v>Non-Intersection</v>
      </c>
      <c r="Y684" t="s">
        <v>1349</v>
      </c>
      <c r="Z684" t="str">
        <f t="shared" si="153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54"/>
        <v>40179</v>
      </c>
      <c r="D685" s="4">
        <f t="shared" si="155"/>
        <v>0.47671232876712327</v>
      </c>
      <c r="E685" s="3">
        <f t="shared" si="156"/>
        <v>2010</v>
      </c>
      <c r="F685" s="3">
        <f t="shared" si="157"/>
        <v>6</v>
      </c>
      <c r="G685" s="3">
        <f t="shared" si="158"/>
        <v>24</v>
      </c>
      <c r="H685" s="3">
        <f t="shared" si="159"/>
        <v>14</v>
      </c>
      <c r="I685" s="3">
        <f t="shared" si="160"/>
        <v>0</v>
      </c>
      <c r="J685" s="3">
        <f t="shared" si="161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62"/>
        <v>YES</v>
      </c>
      <c r="Q685" t="str">
        <f t="shared" si="163"/>
        <v>YES</v>
      </c>
      <c r="R685" t="str">
        <f t="shared" si="164"/>
        <v>NO</v>
      </c>
      <c r="T685" t="s">
        <v>142</v>
      </c>
      <c r="U685" t="str">
        <f t="shared" si="151"/>
        <v>Huron Ave</v>
      </c>
      <c r="V685" t="s">
        <v>1351</v>
      </c>
      <c r="W685" t="str">
        <f t="shared" si="152"/>
        <v>Appleton Pl</v>
      </c>
      <c r="X685" t="str">
        <f>IF(ISBLANK(S685),"Intersection","Non-Intersection")</f>
        <v>Intersection</v>
      </c>
      <c r="Y685" t="s">
        <v>1352</v>
      </c>
      <c r="Z685" t="str">
        <f t="shared" si="153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54"/>
        <v>40179</v>
      </c>
      <c r="D686" s="4">
        <f t="shared" si="155"/>
        <v>0.47671232876712327</v>
      </c>
      <c r="E686" s="3">
        <f t="shared" si="156"/>
        <v>2010</v>
      </c>
      <c r="F686" s="3">
        <f t="shared" si="157"/>
        <v>6</v>
      </c>
      <c r="G686" s="3">
        <f t="shared" si="158"/>
        <v>24</v>
      </c>
      <c r="H686" s="3">
        <f t="shared" si="159"/>
        <v>14</v>
      </c>
      <c r="I686" s="3">
        <f t="shared" si="160"/>
        <v>15</v>
      </c>
      <c r="J686" s="3">
        <f t="shared" si="161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62"/>
        <v>YES</v>
      </c>
      <c r="Q686" t="str">
        <f t="shared" si="163"/>
        <v>NO</v>
      </c>
      <c r="R686" t="str">
        <f t="shared" si="164"/>
        <v>NO</v>
      </c>
      <c r="T686" t="s">
        <v>291</v>
      </c>
      <c r="U686" t="str">
        <f t="shared" si="151"/>
        <v>Raymond St</v>
      </c>
      <c r="V686" t="s">
        <v>1353</v>
      </c>
      <c r="W686" t="str">
        <f t="shared" si="152"/>
        <v>Gray Gardens East</v>
      </c>
      <c r="X686" t="str">
        <f>IF(ISBLANK(S686),"Intersection","Non-Intersection")</f>
        <v>Intersection</v>
      </c>
      <c r="Y686" t="s">
        <v>1354</v>
      </c>
      <c r="Z686" t="str">
        <f t="shared" si="153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54"/>
        <v>40179</v>
      </c>
      <c r="D687" s="4">
        <f t="shared" si="155"/>
        <v>0.47671232876712327</v>
      </c>
      <c r="E687" s="3">
        <f t="shared" si="156"/>
        <v>2010</v>
      </c>
      <c r="F687" s="3">
        <f t="shared" si="157"/>
        <v>6</v>
      </c>
      <c r="G687" s="3">
        <f t="shared" si="158"/>
        <v>24</v>
      </c>
      <c r="H687" s="3">
        <f t="shared" si="159"/>
        <v>21</v>
      </c>
      <c r="I687" s="3">
        <f t="shared" si="160"/>
        <v>49</v>
      </c>
      <c r="J687" s="3">
        <f t="shared" si="161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62"/>
        <v>YES</v>
      </c>
      <c r="Q687" t="str">
        <f t="shared" si="163"/>
        <v>NO</v>
      </c>
      <c r="R687" t="str">
        <f t="shared" si="164"/>
        <v>YES</v>
      </c>
      <c r="T687" t="s">
        <v>119</v>
      </c>
      <c r="U687" t="str">
        <f t="shared" si="151"/>
        <v>Albany St</v>
      </c>
      <c r="V687" t="s">
        <v>958</v>
      </c>
      <c r="W687" t="str">
        <f t="shared" si="152"/>
        <v>Pacific St</v>
      </c>
      <c r="X687" t="str">
        <f>IF(ISBLANK(S687),"Intersection","Non-Intersection")</f>
        <v>Intersection</v>
      </c>
      <c r="Y687" t="s">
        <v>959</v>
      </c>
      <c r="Z687" t="str">
        <f t="shared" si="153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54"/>
        <v>40179</v>
      </c>
      <c r="D688" s="4">
        <f t="shared" si="155"/>
        <v>0.47671232876712327</v>
      </c>
      <c r="E688" s="3">
        <f t="shared" si="156"/>
        <v>2010</v>
      </c>
      <c r="F688" s="3">
        <f t="shared" si="157"/>
        <v>6</v>
      </c>
      <c r="G688" s="3">
        <f t="shared" si="158"/>
        <v>24</v>
      </c>
      <c r="H688" s="3">
        <f t="shared" si="159"/>
        <v>10</v>
      </c>
      <c r="I688" s="3">
        <f t="shared" si="160"/>
        <v>41</v>
      </c>
      <c r="J688" s="3">
        <f t="shared" si="161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62"/>
        <v>YES</v>
      </c>
      <c r="Q688" t="str">
        <f t="shared" si="163"/>
        <v>NO</v>
      </c>
      <c r="R688" t="str">
        <f t="shared" si="164"/>
        <v>NO</v>
      </c>
      <c r="T688" t="s">
        <v>985</v>
      </c>
      <c r="U688" t="str">
        <f t="shared" si="151"/>
        <v>Plymouth St</v>
      </c>
      <c r="V688" t="s">
        <v>587</v>
      </c>
      <c r="W688" t="str">
        <f t="shared" si="152"/>
        <v>Webster Ave</v>
      </c>
      <c r="X688" t="str">
        <f>IF(ISBLANK(S688),"Intersection","Non-Intersection")</f>
        <v>Intersection</v>
      </c>
      <c r="Y688" t="s">
        <v>1356</v>
      </c>
      <c r="Z688" t="str">
        <f t="shared" si="153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54"/>
        <v>40179</v>
      </c>
      <c r="D689" s="4">
        <f t="shared" si="155"/>
        <v>0.47945205479452052</v>
      </c>
      <c r="E689" s="3">
        <f t="shared" si="156"/>
        <v>2010</v>
      </c>
      <c r="F689" s="3">
        <f t="shared" si="157"/>
        <v>6</v>
      </c>
      <c r="G689" s="3">
        <f t="shared" si="158"/>
        <v>25</v>
      </c>
      <c r="H689" s="3">
        <f t="shared" si="159"/>
        <v>22</v>
      </c>
      <c r="I689" s="3">
        <f t="shared" si="160"/>
        <v>22</v>
      </c>
      <c r="J689" s="3">
        <f t="shared" si="161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62"/>
        <v>YES</v>
      </c>
      <c r="Q689" t="str">
        <f t="shared" si="163"/>
        <v>YES</v>
      </c>
      <c r="R689" t="str">
        <f t="shared" si="164"/>
        <v>NO</v>
      </c>
      <c r="T689" t="s">
        <v>74</v>
      </c>
      <c r="U689" t="str">
        <f t="shared" si="151"/>
        <v>Hampshire St</v>
      </c>
      <c r="V689" t="s">
        <v>342</v>
      </c>
      <c r="W689" t="str">
        <f t="shared" si="152"/>
        <v>Prospect St</v>
      </c>
      <c r="X689" t="str">
        <f>IF(ISBLANK(S689),"Intersection","Non-Intersection")</f>
        <v>Intersection</v>
      </c>
      <c r="Y689" t="s">
        <v>462</v>
      </c>
      <c r="Z689" t="str">
        <f t="shared" si="153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54"/>
        <v>40179</v>
      </c>
      <c r="D690" s="4">
        <f t="shared" si="155"/>
        <v>0.47945205479452052</v>
      </c>
      <c r="E690" s="3">
        <f t="shared" si="156"/>
        <v>2010</v>
      </c>
      <c r="F690" s="3">
        <f t="shared" si="157"/>
        <v>6</v>
      </c>
      <c r="G690" s="3">
        <f t="shared" si="158"/>
        <v>25</v>
      </c>
      <c r="H690" s="3">
        <f t="shared" si="159"/>
        <v>9</v>
      </c>
      <c r="I690" s="3">
        <f t="shared" si="160"/>
        <v>20</v>
      </c>
      <c r="J690" s="3">
        <f t="shared" si="161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62"/>
        <v>YES</v>
      </c>
      <c r="Q690" t="str">
        <f t="shared" si="163"/>
        <v>NO</v>
      </c>
      <c r="R690" t="str">
        <f t="shared" si="164"/>
        <v>NO</v>
      </c>
      <c r="T690" t="s">
        <v>14</v>
      </c>
      <c r="U690" t="str">
        <f t="shared" si="151"/>
        <v>Massachusetts Ave</v>
      </c>
      <c r="V690" t="s">
        <v>1182</v>
      </c>
      <c r="W690" t="str">
        <f t="shared" si="152"/>
        <v>Amherst St</v>
      </c>
      <c r="X690" t="str">
        <f>IF(ISBLANK(S690),"Intersection","Non-Intersection")</f>
        <v>Intersection</v>
      </c>
      <c r="Y690" t="s">
        <v>1240</v>
      </c>
      <c r="Z690" t="str">
        <f t="shared" si="153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54"/>
        <v>40179</v>
      </c>
      <c r="D691" s="4">
        <f t="shared" si="155"/>
        <v>0.47945205479452052</v>
      </c>
      <c r="E691" s="3">
        <f t="shared" si="156"/>
        <v>2010</v>
      </c>
      <c r="F691" s="3">
        <f t="shared" si="157"/>
        <v>6</v>
      </c>
      <c r="G691" s="3">
        <f t="shared" si="158"/>
        <v>25</v>
      </c>
      <c r="H691" s="3">
        <f t="shared" si="159"/>
        <v>13</v>
      </c>
      <c r="I691" s="3">
        <f t="shared" si="160"/>
        <v>30</v>
      </c>
      <c r="J691" s="3">
        <f t="shared" si="161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62"/>
        <v>YES</v>
      </c>
      <c r="Q691" t="str">
        <f t="shared" si="163"/>
        <v>NO</v>
      </c>
      <c r="R691" t="str">
        <f t="shared" si="164"/>
        <v>NO</v>
      </c>
      <c r="T691" t="s">
        <v>260</v>
      </c>
      <c r="U691" t="str">
        <f t="shared" si="151"/>
        <v>Third St</v>
      </c>
      <c r="V691" t="s">
        <v>209</v>
      </c>
      <c r="W691" t="str">
        <f t="shared" si="152"/>
        <v>Binney St</v>
      </c>
      <c r="X691" t="str">
        <f>IF(ISBLANK(S691),"Intersection","Non-Intersection")</f>
        <v>Intersection</v>
      </c>
      <c r="Y691" t="s">
        <v>1358</v>
      </c>
      <c r="Z691" t="str">
        <f t="shared" si="153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54"/>
        <v>40179</v>
      </c>
      <c r="D692" s="4">
        <f t="shared" si="155"/>
        <v>0.47945205479452052</v>
      </c>
      <c r="E692" s="3">
        <f t="shared" si="156"/>
        <v>2010</v>
      </c>
      <c r="F692" s="3">
        <f t="shared" si="157"/>
        <v>6</v>
      </c>
      <c r="G692" s="3">
        <f t="shared" si="158"/>
        <v>25</v>
      </c>
      <c r="H692" s="3">
        <f t="shared" si="159"/>
        <v>12</v>
      </c>
      <c r="I692" s="3">
        <f t="shared" si="160"/>
        <v>59</v>
      </c>
      <c r="J692" s="3">
        <f t="shared" si="161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62"/>
        <v>YES</v>
      </c>
      <c r="Q692" t="str">
        <f t="shared" si="163"/>
        <v>NO</v>
      </c>
      <c r="R692" t="str">
        <f t="shared" si="164"/>
        <v>NO</v>
      </c>
      <c r="S692">
        <v>211</v>
      </c>
      <c r="T692" t="s">
        <v>170</v>
      </c>
      <c r="U692" t="str">
        <f t="shared" si="151"/>
        <v>Alewife Brook Pky</v>
      </c>
      <c r="W692" t="str">
        <f t="shared" si="152"/>
        <v/>
      </c>
      <c r="X692" t="str">
        <f>IF(ISBLANK(S692),"Intersection","Non-Intersection")</f>
        <v>Non-Intersection</v>
      </c>
      <c r="Y692" t="s">
        <v>1359</v>
      </c>
      <c r="Z692" t="str">
        <f t="shared" si="153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54"/>
        <v>40179</v>
      </c>
      <c r="D693" s="4">
        <f t="shared" si="155"/>
        <v>0.48219178082191783</v>
      </c>
      <c r="E693" s="3">
        <f t="shared" si="156"/>
        <v>2010</v>
      </c>
      <c r="F693" s="3">
        <f t="shared" si="157"/>
        <v>6</v>
      </c>
      <c r="G693" s="3">
        <f t="shared" si="158"/>
        <v>26</v>
      </c>
      <c r="H693" s="3">
        <f t="shared" si="159"/>
        <v>20</v>
      </c>
      <c r="I693" s="3">
        <f t="shared" si="160"/>
        <v>29</v>
      </c>
      <c r="J693" s="3">
        <f t="shared" si="161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62"/>
        <v>YES</v>
      </c>
      <c r="Q693" t="str">
        <f t="shared" si="163"/>
        <v>NO</v>
      </c>
      <c r="R693" t="str">
        <f t="shared" si="164"/>
        <v>NO</v>
      </c>
      <c r="S693">
        <v>77</v>
      </c>
      <c r="T693" t="s">
        <v>14</v>
      </c>
      <c r="U693" t="str">
        <f t="shared" si="151"/>
        <v>Massachusetts Ave</v>
      </c>
      <c r="W693" t="str">
        <f t="shared" si="152"/>
        <v/>
      </c>
      <c r="X693" t="str">
        <f>IF(ISBLANK(S693),"Intersection","Non-Intersection")</f>
        <v>Non-Intersection</v>
      </c>
      <c r="Y693" t="s">
        <v>415</v>
      </c>
      <c r="Z693" t="str">
        <f t="shared" si="153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54"/>
        <v>40179</v>
      </c>
      <c r="D694" s="4">
        <f t="shared" si="155"/>
        <v>0.48219178082191783</v>
      </c>
      <c r="E694" s="3">
        <f t="shared" si="156"/>
        <v>2010</v>
      </c>
      <c r="F694" s="3">
        <f t="shared" si="157"/>
        <v>6</v>
      </c>
      <c r="G694" s="3">
        <f t="shared" si="158"/>
        <v>26</v>
      </c>
      <c r="H694" s="3">
        <f t="shared" si="159"/>
        <v>5</v>
      </c>
      <c r="I694" s="3">
        <f t="shared" si="160"/>
        <v>29</v>
      </c>
      <c r="J694" s="3">
        <f t="shared" si="161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62"/>
        <v>YES</v>
      </c>
      <c r="Q694" t="str">
        <f t="shared" si="163"/>
        <v>NO</v>
      </c>
      <c r="R694" t="str">
        <f t="shared" si="164"/>
        <v>NO</v>
      </c>
      <c r="S694">
        <v>44</v>
      </c>
      <c r="T694" t="s">
        <v>379</v>
      </c>
      <c r="U694" t="str">
        <f t="shared" si="151"/>
        <v>Second St</v>
      </c>
      <c r="W694" t="str">
        <f t="shared" si="152"/>
        <v/>
      </c>
      <c r="X694" t="str">
        <f>IF(ISBLANK(S694),"Intersection","Non-Intersection")</f>
        <v>Non-Intersection</v>
      </c>
      <c r="Y694" t="s">
        <v>1361</v>
      </c>
      <c r="Z694" t="str">
        <f t="shared" si="153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54"/>
        <v>40179</v>
      </c>
      <c r="D695" s="4">
        <f t="shared" si="155"/>
        <v>0.48219178082191783</v>
      </c>
      <c r="E695" s="3">
        <f t="shared" si="156"/>
        <v>2010</v>
      </c>
      <c r="F695" s="3">
        <f t="shared" si="157"/>
        <v>6</v>
      </c>
      <c r="G695" s="3">
        <f t="shared" si="158"/>
        <v>26</v>
      </c>
      <c r="H695" s="3">
        <f t="shared" si="159"/>
        <v>17</v>
      </c>
      <c r="I695" s="3">
        <f t="shared" si="160"/>
        <v>13</v>
      </c>
      <c r="J695" s="3">
        <f t="shared" si="161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62"/>
        <v>YES</v>
      </c>
      <c r="Q695" t="str">
        <f t="shared" si="163"/>
        <v>YES</v>
      </c>
      <c r="R695" t="str">
        <f t="shared" si="164"/>
        <v>NO</v>
      </c>
      <c r="S695">
        <v>2161</v>
      </c>
      <c r="T695" t="s">
        <v>14</v>
      </c>
      <c r="U695" t="str">
        <f t="shared" si="151"/>
        <v>Massachusetts Ave</v>
      </c>
      <c r="W695" t="str">
        <f t="shared" si="152"/>
        <v/>
      </c>
      <c r="X695" t="str">
        <f>IF(ISBLANK(S695),"Intersection","Non-Intersection")</f>
        <v>Non-Intersection</v>
      </c>
      <c r="Y695" t="s">
        <v>1363</v>
      </c>
      <c r="Z695" t="str">
        <f t="shared" si="153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54"/>
        <v>40179</v>
      </c>
      <c r="D696" s="4">
        <f t="shared" si="155"/>
        <v>0.48219178082191783</v>
      </c>
      <c r="E696" s="3">
        <f t="shared" si="156"/>
        <v>2010</v>
      </c>
      <c r="F696" s="3">
        <f t="shared" si="157"/>
        <v>6</v>
      </c>
      <c r="G696" s="3">
        <f t="shared" si="158"/>
        <v>26</v>
      </c>
      <c r="H696" s="3">
        <f t="shared" si="159"/>
        <v>5</v>
      </c>
      <c r="I696" s="3">
        <f t="shared" si="160"/>
        <v>29</v>
      </c>
      <c r="J696" s="3">
        <f t="shared" si="161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62"/>
        <v>YES</v>
      </c>
      <c r="Q696" t="str">
        <f t="shared" si="163"/>
        <v>NO</v>
      </c>
      <c r="R696" t="str">
        <f t="shared" si="164"/>
        <v>NO</v>
      </c>
      <c r="S696">
        <v>44</v>
      </c>
      <c r="T696" t="s">
        <v>379</v>
      </c>
      <c r="U696" t="str">
        <f t="shared" si="151"/>
        <v>Second St</v>
      </c>
      <c r="W696" t="str">
        <f t="shared" si="152"/>
        <v/>
      </c>
      <c r="X696" t="str">
        <f>IF(ISBLANK(S696),"Intersection","Non-Intersection")</f>
        <v>Non-Intersection</v>
      </c>
      <c r="Y696" t="s">
        <v>1361</v>
      </c>
      <c r="Z696" t="str">
        <f t="shared" si="153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54"/>
        <v>40179</v>
      </c>
      <c r="D697" s="4">
        <f t="shared" si="155"/>
        <v>0.48493150684931507</v>
      </c>
      <c r="E697" s="3">
        <f t="shared" si="156"/>
        <v>2010</v>
      </c>
      <c r="F697" s="3">
        <f t="shared" si="157"/>
        <v>6</v>
      </c>
      <c r="G697" s="3">
        <f t="shared" si="158"/>
        <v>27</v>
      </c>
      <c r="H697" s="3">
        <f t="shared" si="159"/>
        <v>15</v>
      </c>
      <c r="I697" s="3">
        <f t="shared" si="160"/>
        <v>40</v>
      </c>
      <c r="J697" s="3">
        <f t="shared" si="161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62"/>
        <v>YES</v>
      </c>
      <c r="Q697" t="str">
        <f t="shared" si="163"/>
        <v>NO</v>
      </c>
      <c r="R697" t="str">
        <f t="shared" si="164"/>
        <v>NO</v>
      </c>
      <c r="S697">
        <v>46</v>
      </c>
      <c r="T697" t="s">
        <v>1226</v>
      </c>
      <c r="U697" t="str">
        <f t="shared" si="151"/>
        <v>Dana St</v>
      </c>
      <c r="W697" t="str">
        <f t="shared" si="152"/>
        <v/>
      </c>
      <c r="X697" t="str">
        <f>IF(ISBLANK(S697),"Intersection","Non-Intersection")</f>
        <v>Non-Intersection</v>
      </c>
      <c r="Y697" t="s">
        <v>1365</v>
      </c>
      <c r="Z697" t="str">
        <f t="shared" si="153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54"/>
        <v>40179</v>
      </c>
      <c r="D698" s="4">
        <f t="shared" si="155"/>
        <v>0.48767123287671232</v>
      </c>
      <c r="E698" s="3">
        <f t="shared" si="156"/>
        <v>2010</v>
      </c>
      <c r="F698" s="3">
        <f t="shared" si="157"/>
        <v>6</v>
      </c>
      <c r="G698" s="3">
        <f t="shared" si="158"/>
        <v>28</v>
      </c>
      <c r="H698" s="3">
        <f t="shared" si="159"/>
        <v>16</v>
      </c>
      <c r="I698" s="3">
        <f t="shared" si="160"/>
        <v>43</v>
      </c>
      <c r="J698" s="3">
        <f t="shared" si="161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62"/>
        <v>YES</v>
      </c>
      <c r="Q698" t="str">
        <f t="shared" si="163"/>
        <v>NO</v>
      </c>
      <c r="R698" t="str">
        <f t="shared" si="164"/>
        <v>NO</v>
      </c>
      <c r="S698">
        <v>1334</v>
      </c>
      <c r="T698" t="s">
        <v>19</v>
      </c>
      <c r="U698" t="str">
        <f t="shared" si="151"/>
        <v>Cambridge St</v>
      </c>
      <c r="V698" t="s">
        <v>74</v>
      </c>
      <c r="W698" t="str">
        <f t="shared" si="152"/>
        <v>Hampshire St</v>
      </c>
      <c r="X698" t="str">
        <f>IF(ISBLANK(S698),"Intersection","Non-Intersection")</f>
        <v>Non-Intersection</v>
      </c>
      <c r="Y698" t="s">
        <v>1105</v>
      </c>
      <c r="Z698" t="str">
        <f t="shared" si="153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54"/>
        <v>40179</v>
      </c>
      <c r="D699" s="4">
        <f t="shared" si="155"/>
        <v>0.48767123287671232</v>
      </c>
      <c r="E699" s="3">
        <f t="shared" si="156"/>
        <v>2010</v>
      </c>
      <c r="F699" s="3">
        <f t="shared" si="157"/>
        <v>6</v>
      </c>
      <c r="G699" s="3">
        <f t="shared" si="158"/>
        <v>28</v>
      </c>
      <c r="H699" s="3">
        <f t="shared" si="159"/>
        <v>14</v>
      </c>
      <c r="I699" s="3">
        <f t="shared" si="160"/>
        <v>45</v>
      </c>
      <c r="J699" s="3">
        <f t="shared" si="161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62"/>
        <v>YES</v>
      </c>
      <c r="Q699" t="str">
        <f t="shared" si="163"/>
        <v>NO</v>
      </c>
      <c r="R699" t="str">
        <f t="shared" si="164"/>
        <v>NO</v>
      </c>
      <c r="S699">
        <v>318</v>
      </c>
      <c r="T699" t="s">
        <v>105</v>
      </c>
      <c r="U699" t="str">
        <f t="shared" si="151"/>
        <v>Broadway</v>
      </c>
      <c r="W699" t="str">
        <f t="shared" si="152"/>
        <v/>
      </c>
      <c r="X699" t="str">
        <f>IF(ISBLANK(S699),"Intersection","Non-Intersection")</f>
        <v>Non-Intersection</v>
      </c>
      <c r="Y699" t="s">
        <v>1367</v>
      </c>
      <c r="Z699" t="str">
        <f t="shared" si="153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54"/>
        <v>40179</v>
      </c>
      <c r="D700" s="4">
        <f t="shared" si="155"/>
        <v>0.49041095890410957</v>
      </c>
      <c r="E700" s="3">
        <f t="shared" si="156"/>
        <v>2010</v>
      </c>
      <c r="F700" s="3">
        <f t="shared" si="157"/>
        <v>6</v>
      </c>
      <c r="G700" s="3">
        <f t="shared" si="158"/>
        <v>29</v>
      </c>
      <c r="H700" s="3">
        <f t="shared" si="159"/>
        <v>7</v>
      </c>
      <c r="I700" s="3">
        <f t="shared" si="160"/>
        <v>50</v>
      </c>
      <c r="J700" s="3">
        <f t="shared" si="161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62"/>
        <v>YES</v>
      </c>
      <c r="Q700" t="str">
        <f t="shared" si="163"/>
        <v>NO</v>
      </c>
      <c r="R700" t="str">
        <f t="shared" si="164"/>
        <v>YES</v>
      </c>
      <c r="T700" t="s">
        <v>19</v>
      </c>
      <c r="U700" t="str">
        <f t="shared" si="151"/>
        <v>Cambridge St</v>
      </c>
      <c r="V700" t="s">
        <v>134</v>
      </c>
      <c r="W700" t="str">
        <f t="shared" si="152"/>
        <v>Quincy St</v>
      </c>
      <c r="X700" t="str">
        <f>IF(ISBLANK(S700),"Intersection","Non-Intersection")</f>
        <v>Intersection</v>
      </c>
      <c r="Y700" t="s">
        <v>150</v>
      </c>
      <c r="Z700" t="str">
        <f t="shared" si="153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54"/>
        <v>40179</v>
      </c>
      <c r="D701" s="4">
        <f t="shared" si="155"/>
        <v>0.49041095890410957</v>
      </c>
      <c r="E701" s="3">
        <f t="shared" si="156"/>
        <v>2010</v>
      </c>
      <c r="F701" s="3">
        <f t="shared" si="157"/>
        <v>6</v>
      </c>
      <c r="G701" s="3">
        <f t="shared" si="158"/>
        <v>29</v>
      </c>
      <c r="H701" s="3">
        <f t="shared" si="159"/>
        <v>9</v>
      </c>
      <c r="I701" s="3">
        <f t="shared" si="160"/>
        <v>42</v>
      </c>
      <c r="J701" s="3">
        <f t="shared" si="161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62"/>
        <v>YES</v>
      </c>
      <c r="Q701" t="str">
        <f t="shared" si="163"/>
        <v>NO</v>
      </c>
      <c r="R701" t="str">
        <f t="shared" si="164"/>
        <v>NO</v>
      </c>
      <c r="T701" t="s">
        <v>453</v>
      </c>
      <c r="U701" t="str">
        <f t="shared" si="151"/>
        <v>Brookline St</v>
      </c>
      <c r="V701" t="s">
        <v>509</v>
      </c>
      <c r="W701" t="str">
        <f t="shared" si="152"/>
        <v>Green St</v>
      </c>
      <c r="X701" t="str">
        <f>IF(ISBLANK(S701),"Intersection","Non-Intersection")</f>
        <v>Intersection</v>
      </c>
      <c r="Y701" t="s">
        <v>1369</v>
      </c>
      <c r="Z701" t="str">
        <f t="shared" si="153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54"/>
        <v>40179</v>
      </c>
      <c r="D702" s="4">
        <f t="shared" si="155"/>
        <v>0.49041095890410957</v>
      </c>
      <c r="E702" s="3">
        <f t="shared" si="156"/>
        <v>2010</v>
      </c>
      <c r="F702" s="3">
        <f t="shared" si="157"/>
        <v>6</v>
      </c>
      <c r="G702" s="3">
        <f t="shared" si="158"/>
        <v>29</v>
      </c>
      <c r="H702" s="3">
        <f t="shared" si="159"/>
        <v>11</v>
      </c>
      <c r="I702" s="3">
        <f t="shared" si="160"/>
        <v>45</v>
      </c>
      <c r="J702" s="3">
        <f t="shared" si="161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62"/>
        <v>YES</v>
      </c>
      <c r="Q702" t="str">
        <f t="shared" si="163"/>
        <v>NO</v>
      </c>
      <c r="R702" t="str">
        <f t="shared" si="164"/>
        <v>NO</v>
      </c>
      <c r="S702">
        <v>245</v>
      </c>
      <c r="T702" t="s">
        <v>14</v>
      </c>
      <c r="U702" t="str">
        <f t="shared" si="151"/>
        <v>Massachusetts Ave</v>
      </c>
      <c r="V702" t="s">
        <v>1371</v>
      </c>
      <c r="W702" t="str">
        <f t="shared" si="152"/>
        <v>Front St</v>
      </c>
      <c r="X702" t="str">
        <f>IF(ISBLANK(S702),"Intersection","Non-Intersection")</f>
        <v>Non-Intersection</v>
      </c>
      <c r="Y702" t="s">
        <v>1372</v>
      </c>
      <c r="Z702" t="str">
        <f t="shared" si="153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54"/>
        <v>40179</v>
      </c>
      <c r="D703" s="4">
        <f t="shared" si="155"/>
        <v>0.49041095890410957</v>
      </c>
      <c r="E703" s="3">
        <f t="shared" si="156"/>
        <v>2010</v>
      </c>
      <c r="F703" s="3">
        <f t="shared" si="157"/>
        <v>6</v>
      </c>
      <c r="G703" s="3">
        <f t="shared" si="158"/>
        <v>29</v>
      </c>
      <c r="H703" s="3">
        <f t="shared" si="159"/>
        <v>15</v>
      </c>
      <c r="I703" s="3">
        <f t="shared" si="160"/>
        <v>46</v>
      </c>
      <c r="J703" s="3">
        <f t="shared" si="161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62"/>
        <v>YES</v>
      </c>
      <c r="Q703" t="str">
        <f t="shared" si="163"/>
        <v>NO</v>
      </c>
      <c r="R703" t="str">
        <f t="shared" si="164"/>
        <v>NO</v>
      </c>
      <c r="T703" t="s">
        <v>316</v>
      </c>
      <c r="U703" t="str">
        <f t="shared" si="151"/>
        <v>Bishop Allen Dr</v>
      </c>
      <c r="W703" t="str">
        <f t="shared" si="152"/>
        <v/>
      </c>
      <c r="X703" t="str">
        <f>IF(ISBLANK(S703),"Intersection","Non-Intersection")</f>
        <v>Intersection</v>
      </c>
      <c r="Y703" t="s">
        <v>1374</v>
      </c>
      <c r="Z703" t="str">
        <f t="shared" si="153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54"/>
        <v>40179</v>
      </c>
      <c r="D704" s="4">
        <f t="shared" si="155"/>
        <v>0.49041095890410957</v>
      </c>
      <c r="E704" s="3">
        <f t="shared" si="156"/>
        <v>2010</v>
      </c>
      <c r="F704" s="3">
        <f t="shared" si="157"/>
        <v>6</v>
      </c>
      <c r="G704" s="3">
        <f t="shared" si="158"/>
        <v>29</v>
      </c>
      <c r="H704" s="3">
        <f t="shared" si="159"/>
        <v>18</v>
      </c>
      <c r="I704" s="3">
        <f t="shared" si="160"/>
        <v>20</v>
      </c>
      <c r="J704" s="3">
        <f t="shared" si="161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62"/>
        <v>YES</v>
      </c>
      <c r="Q704" t="str">
        <f t="shared" si="163"/>
        <v>NO</v>
      </c>
      <c r="R704" t="str">
        <f t="shared" si="164"/>
        <v>NO</v>
      </c>
      <c r="S704">
        <v>373</v>
      </c>
      <c r="T704" t="s">
        <v>105</v>
      </c>
      <c r="U704" t="str">
        <f t="shared" si="151"/>
        <v>Broadway</v>
      </c>
      <c r="W704" t="str">
        <f t="shared" si="152"/>
        <v/>
      </c>
      <c r="X704" t="str">
        <f>IF(ISBLANK(S704),"Intersection","Non-Intersection")</f>
        <v>Non-Intersection</v>
      </c>
      <c r="Y704" t="s">
        <v>1375</v>
      </c>
      <c r="Z704" t="str">
        <f t="shared" si="153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54"/>
        <v>40179</v>
      </c>
      <c r="D705" s="4">
        <f t="shared" si="155"/>
        <v>0.49315068493150682</v>
      </c>
      <c r="E705" s="3">
        <f t="shared" si="156"/>
        <v>2010</v>
      </c>
      <c r="F705" s="3">
        <f t="shared" si="157"/>
        <v>6</v>
      </c>
      <c r="G705" s="3">
        <f t="shared" si="158"/>
        <v>30</v>
      </c>
      <c r="H705" s="3">
        <f t="shared" si="159"/>
        <v>19</v>
      </c>
      <c r="I705" s="3">
        <f t="shared" si="160"/>
        <v>40</v>
      </c>
      <c r="J705" s="3">
        <f t="shared" si="161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62"/>
        <v>YES</v>
      </c>
      <c r="Q705" t="str">
        <f t="shared" si="163"/>
        <v>NO</v>
      </c>
      <c r="R705" t="str">
        <f t="shared" si="164"/>
        <v>NO</v>
      </c>
      <c r="S705">
        <v>340</v>
      </c>
      <c r="T705" t="s">
        <v>41</v>
      </c>
      <c r="U705" t="str">
        <f t="shared" si="151"/>
        <v>River St</v>
      </c>
      <c r="W705" t="str">
        <f t="shared" si="152"/>
        <v/>
      </c>
      <c r="X705" t="str">
        <f>IF(ISBLANK(S705),"Intersection","Non-Intersection")</f>
        <v>Non-Intersection</v>
      </c>
      <c r="Y705" t="s">
        <v>696</v>
      </c>
      <c r="Z705" t="str">
        <f t="shared" si="153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54"/>
        <v>40179</v>
      </c>
      <c r="D706" s="4">
        <f t="shared" si="155"/>
        <v>0.49315068493150682</v>
      </c>
      <c r="E706" s="3">
        <f t="shared" si="156"/>
        <v>2010</v>
      </c>
      <c r="F706" s="3">
        <f t="shared" si="157"/>
        <v>6</v>
      </c>
      <c r="G706" s="3">
        <f t="shared" si="158"/>
        <v>30</v>
      </c>
      <c r="H706" s="3">
        <f t="shared" si="159"/>
        <v>12</v>
      </c>
      <c r="I706" s="3">
        <f t="shared" si="160"/>
        <v>49</v>
      </c>
      <c r="J706" s="3">
        <f t="shared" si="161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62"/>
        <v>YES</v>
      </c>
      <c r="Q706" t="str">
        <f t="shared" si="163"/>
        <v>YES</v>
      </c>
      <c r="R706" t="str">
        <f t="shared" si="164"/>
        <v>NO</v>
      </c>
      <c r="T706" t="s">
        <v>14</v>
      </c>
      <c r="U706" t="str">
        <f t="shared" si="151"/>
        <v>Massachusetts Ave</v>
      </c>
      <c r="V706" t="s">
        <v>104</v>
      </c>
      <c r="W706" t="str">
        <f t="shared" si="152"/>
        <v>Inman St</v>
      </c>
      <c r="X706" t="str">
        <f>IF(ISBLANK(S706),"Intersection","Non-Intersection")</f>
        <v>Intersection</v>
      </c>
      <c r="Y706" t="s">
        <v>1129</v>
      </c>
      <c r="Z706" t="str">
        <f t="shared" si="153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54"/>
        <v>40179</v>
      </c>
      <c r="D707" s="4">
        <f t="shared" si="155"/>
        <v>0.49315068493150682</v>
      </c>
      <c r="E707" s="3">
        <f t="shared" si="156"/>
        <v>2010</v>
      </c>
      <c r="F707" s="3">
        <f t="shared" si="157"/>
        <v>6</v>
      </c>
      <c r="G707" s="3">
        <f t="shared" si="158"/>
        <v>30</v>
      </c>
      <c r="H707" s="3">
        <f t="shared" si="159"/>
        <v>2</v>
      </c>
      <c r="I707" s="3">
        <f t="shared" si="160"/>
        <v>55</v>
      </c>
      <c r="J707" s="3">
        <f t="shared" si="161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62"/>
        <v>YES</v>
      </c>
      <c r="Q707" t="str">
        <f t="shared" si="163"/>
        <v>NO</v>
      </c>
      <c r="R707" t="str">
        <f t="shared" si="164"/>
        <v>NO</v>
      </c>
      <c r="S707">
        <v>264</v>
      </c>
      <c r="T707" t="s">
        <v>252</v>
      </c>
      <c r="U707" t="str">
        <f t="shared" ref="U707:U770" si="165">TRIM(PROPER(T707))</f>
        <v>Walden St</v>
      </c>
      <c r="W707" t="str">
        <f t="shared" ref="W707:W770" si="166">TRIM(PROPER(V707))</f>
        <v/>
      </c>
      <c r="X707" t="str">
        <f>IF(ISBLANK(S707),"Intersection","Non-Intersection")</f>
        <v>Non-Intersection</v>
      </c>
      <c r="Y707" t="s">
        <v>1377</v>
      </c>
      <c r="Z707" t="str">
        <f t="shared" ref="Z707:Z770" si="167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54"/>
        <v>40179</v>
      </c>
      <c r="D708" s="4">
        <f t="shared" si="155"/>
        <v>0.49589041095890413</v>
      </c>
      <c r="E708" s="3">
        <f t="shared" si="156"/>
        <v>2010</v>
      </c>
      <c r="F708" s="3">
        <f t="shared" si="157"/>
        <v>7</v>
      </c>
      <c r="G708" s="3">
        <f t="shared" si="158"/>
        <v>1</v>
      </c>
      <c r="H708" s="3">
        <f t="shared" si="159"/>
        <v>14</v>
      </c>
      <c r="I708" s="3">
        <f t="shared" si="160"/>
        <v>49</v>
      </c>
      <c r="J708" s="3">
        <f t="shared" si="161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62"/>
        <v>YES</v>
      </c>
      <c r="Q708" t="str">
        <f t="shared" si="163"/>
        <v>NO</v>
      </c>
      <c r="R708" t="str">
        <f t="shared" si="164"/>
        <v>NO</v>
      </c>
      <c r="S708">
        <v>41</v>
      </c>
      <c r="T708" t="s">
        <v>840</v>
      </c>
      <c r="U708" t="str">
        <f t="shared" si="165"/>
        <v>Church St</v>
      </c>
      <c r="W708" t="str">
        <f t="shared" si="166"/>
        <v/>
      </c>
      <c r="X708" t="str">
        <f>IF(ISBLANK(S708),"Intersection","Non-Intersection")</f>
        <v>Non-Intersection</v>
      </c>
      <c r="Y708" t="s">
        <v>1180</v>
      </c>
      <c r="Z708" t="str">
        <f t="shared" si="167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54"/>
        <v>40179</v>
      </c>
      <c r="D709" s="4">
        <f t="shared" si="155"/>
        <v>0.49589041095890413</v>
      </c>
      <c r="E709" s="3">
        <f t="shared" si="156"/>
        <v>2010</v>
      </c>
      <c r="F709" s="3">
        <f t="shared" si="157"/>
        <v>7</v>
      </c>
      <c r="G709" s="3">
        <f t="shared" si="158"/>
        <v>1</v>
      </c>
      <c r="H709" s="3">
        <f t="shared" si="159"/>
        <v>15</v>
      </c>
      <c r="I709" s="3">
        <f t="shared" si="160"/>
        <v>40</v>
      </c>
      <c r="J709" s="3">
        <f t="shared" si="161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62"/>
        <v>YES</v>
      </c>
      <c r="Q709" t="str">
        <f t="shared" si="163"/>
        <v>NO</v>
      </c>
      <c r="R709" t="str">
        <f t="shared" si="164"/>
        <v>YES</v>
      </c>
      <c r="S709">
        <v>30</v>
      </c>
      <c r="T709" t="s">
        <v>326</v>
      </c>
      <c r="U709" t="str">
        <f t="shared" si="165"/>
        <v>Jfk St</v>
      </c>
      <c r="W709" t="str">
        <f t="shared" si="166"/>
        <v/>
      </c>
      <c r="X709" t="str">
        <f>IF(ISBLANK(S709),"Intersection","Non-Intersection")</f>
        <v>Non-Intersection</v>
      </c>
      <c r="Y709" t="s">
        <v>1379</v>
      </c>
      <c r="Z709" t="str">
        <f t="shared" si="167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54"/>
        <v>40179</v>
      </c>
      <c r="D710" s="4">
        <f t="shared" si="155"/>
        <v>0.49589041095890413</v>
      </c>
      <c r="E710" s="3">
        <f t="shared" si="156"/>
        <v>2010</v>
      </c>
      <c r="F710" s="3">
        <f t="shared" si="157"/>
        <v>7</v>
      </c>
      <c r="G710" s="3">
        <f t="shared" si="158"/>
        <v>1</v>
      </c>
      <c r="H710" s="3">
        <f t="shared" si="159"/>
        <v>19</v>
      </c>
      <c r="I710" s="3">
        <f t="shared" si="160"/>
        <v>44</v>
      </c>
      <c r="J710" s="3">
        <f t="shared" si="161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62"/>
        <v>YES</v>
      </c>
      <c r="Q710" t="str">
        <f t="shared" si="163"/>
        <v>NO</v>
      </c>
      <c r="R710" t="str">
        <f t="shared" si="164"/>
        <v>NO</v>
      </c>
      <c r="S710">
        <v>319</v>
      </c>
      <c r="T710" t="s">
        <v>41</v>
      </c>
      <c r="U710" t="str">
        <f t="shared" si="165"/>
        <v>River St</v>
      </c>
      <c r="W710" t="str">
        <f t="shared" si="166"/>
        <v/>
      </c>
      <c r="X710" t="str">
        <f>IF(ISBLANK(S710),"Intersection","Non-Intersection")</f>
        <v>Non-Intersection</v>
      </c>
      <c r="Y710" t="s">
        <v>1381</v>
      </c>
      <c r="Z710" t="str">
        <f t="shared" si="167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54"/>
        <v>40179</v>
      </c>
      <c r="D711" s="4">
        <f t="shared" si="155"/>
        <v>0.49589041095890413</v>
      </c>
      <c r="E711" s="3">
        <f t="shared" si="156"/>
        <v>2010</v>
      </c>
      <c r="F711" s="3">
        <f t="shared" si="157"/>
        <v>7</v>
      </c>
      <c r="G711" s="3">
        <f t="shared" si="158"/>
        <v>1</v>
      </c>
      <c r="H711" s="3">
        <f t="shared" si="159"/>
        <v>14</v>
      </c>
      <c r="I711" s="3">
        <f t="shared" si="160"/>
        <v>39</v>
      </c>
      <c r="J711" s="3">
        <f t="shared" si="161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62"/>
        <v>YES</v>
      </c>
      <c r="Q711" t="str">
        <f t="shared" si="163"/>
        <v>NO</v>
      </c>
      <c r="R711" t="str">
        <f t="shared" si="164"/>
        <v>YES</v>
      </c>
      <c r="T711" t="s">
        <v>14</v>
      </c>
      <c r="U711" t="str">
        <f t="shared" si="165"/>
        <v>Massachusetts Ave</v>
      </c>
      <c r="V711" t="s">
        <v>315</v>
      </c>
      <c r="W711" t="str">
        <f t="shared" si="166"/>
        <v>Essex St</v>
      </c>
      <c r="X711" t="str">
        <f>IF(ISBLANK(S711),"Intersection","Non-Intersection")</f>
        <v>Intersection</v>
      </c>
      <c r="Y711" t="s">
        <v>1383</v>
      </c>
      <c r="Z711" t="str">
        <f t="shared" si="167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54"/>
        <v>40179</v>
      </c>
      <c r="D712" s="4">
        <f t="shared" si="155"/>
        <v>0.49589041095890413</v>
      </c>
      <c r="E712" s="3">
        <f t="shared" si="156"/>
        <v>2010</v>
      </c>
      <c r="F712" s="3">
        <f t="shared" si="157"/>
        <v>7</v>
      </c>
      <c r="G712" s="3">
        <f t="shared" si="158"/>
        <v>1</v>
      </c>
      <c r="H712" s="3">
        <f t="shared" si="159"/>
        <v>16</v>
      </c>
      <c r="I712" s="3">
        <f t="shared" si="160"/>
        <v>30</v>
      </c>
      <c r="J712" s="3">
        <f t="shared" si="161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62"/>
        <v>YES</v>
      </c>
      <c r="Q712" t="str">
        <f t="shared" si="163"/>
        <v>NO</v>
      </c>
      <c r="R712" t="str">
        <f t="shared" si="164"/>
        <v>NO</v>
      </c>
      <c r="T712" t="s">
        <v>332</v>
      </c>
      <c r="U712" t="str">
        <f t="shared" si="165"/>
        <v>Allston St</v>
      </c>
      <c r="V712" t="s">
        <v>70</v>
      </c>
      <c r="W712" t="str">
        <f t="shared" si="166"/>
        <v>Pearl St</v>
      </c>
      <c r="X712" t="str">
        <f>IF(ISBLANK(S712),"Intersection","Non-Intersection")</f>
        <v>Intersection</v>
      </c>
      <c r="Y712" t="s">
        <v>1385</v>
      </c>
      <c r="Z712" t="str">
        <f t="shared" si="167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54"/>
        <v>40179</v>
      </c>
      <c r="D713" s="4">
        <f t="shared" si="155"/>
        <v>0.49863013698630138</v>
      </c>
      <c r="E713" s="3">
        <f t="shared" si="156"/>
        <v>2010</v>
      </c>
      <c r="F713" s="3">
        <f t="shared" si="157"/>
        <v>7</v>
      </c>
      <c r="G713" s="3">
        <f t="shared" si="158"/>
        <v>2</v>
      </c>
      <c r="H713" s="3">
        <f t="shared" si="159"/>
        <v>11</v>
      </c>
      <c r="I713" s="3">
        <f t="shared" si="160"/>
        <v>35</v>
      </c>
      <c r="J713" s="3">
        <f t="shared" si="161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62"/>
        <v>YES</v>
      </c>
      <c r="Q713" t="str">
        <f t="shared" si="163"/>
        <v>NO</v>
      </c>
      <c r="R713" t="str">
        <f t="shared" si="164"/>
        <v>NO</v>
      </c>
      <c r="T713" t="s">
        <v>105</v>
      </c>
      <c r="U713" t="str">
        <f t="shared" si="165"/>
        <v>Broadway</v>
      </c>
      <c r="V713" t="s">
        <v>209</v>
      </c>
      <c r="W713" t="str">
        <f t="shared" si="166"/>
        <v>Binney St</v>
      </c>
      <c r="X713" t="str">
        <f>IF(ISBLANK(S713),"Intersection","Non-Intersection")</f>
        <v>Intersection</v>
      </c>
      <c r="Y713" t="s">
        <v>1387</v>
      </c>
      <c r="Z713" t="str">
        <f t="shared" si="167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54"/>
        <v>40179</v>
      </c>
      <c r="D714" s="4">
        <f t="shared" si="155"/>
        <v>0.49863013698630138</v>
      </c>
      <c r="E714" s="3">
        <f t="shared" si="156"/>
        <v>2010</v>
      </c>
      <c r="F714" s="3">
        <f t="shared" si="157"/>
        <v>7</v>
      </c>
      <c r="G714" s="3">
        <f t="shared" si="158"/>
        <v>2</v>
      </c>
      <c r="H714" s="3">
        <f t="shared" si="159"/>
        <v>16</v>
      </c>
      <c r="I714" s="3">
        <f t="shared" si="160"/>
        <v>50</v>
      </c>
      <c r="J714" s="3">
        <f t="shared" si="161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62"/>
        <v>YES</v>
      </c>
      <c r="Q714" t="str">
        <f t="shared" si="163"/>
        <v>YES</v>
      </c>
      <c r="R714" t="str">
        <f t="shared" si="164"/>
        <v>NO</v>
      </c>
      <c r="T714" t="s">
        <v>14</v>
      </c>
      <c r="U714" t="str">
        <f t="shared" si="165"/>
        <v>Massachusetts Ave</v>
      </c>
      <c r="V714" t="s">
        <v>1389</v>
      </c>
      <c r="W714" t="str">
        <f t="shared" si="166"/>
        <v>Dover St</v>
      </c>
      <c r="X714" t="str">
        <f>IF(ISBLANK(S714),"Intersection","Non-Intersection")</f>
        <v>Intersection</v>
      </c>
      <c r="Y714" t="s">
        <v>1390</v>
      </c>
      <c r="Z714" t="str">
        <f t="shared" si="167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54"/>
        <v>40179</v>
      </c>
      <c r="D715" s="4">
        <f t="shared" si="155"/>
        <v>0.49863013698630138</v>
      </c>
      <c r="E715" s="3">
        <f t="shared" si="156"/>
        <v>2010</v>
      </c>
      <c r="F715" s="3">
        <f t="shared" si="157"/>
        <v>7</v>
      </c>
      <c r="G715" s="3">
        <f t="shared" si="158"/>
        <v>2</v>
      </c>
      <c r="H715" s="3">
        <f t="shared" si="159"/>
        <v>12</v>
      </c>
      <c r="I715" s="3">
        <f t="shared" si="160"/>
        <v>30</v>
      </c>
      <c r="J715" s="3">
        <f t="shared" si="161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62"/>
        <v>YES</v>
      </c>
      <c r="Q715" t="str">
        <f t="shared" si="163"/>
        <v>NO</v>
      </c>
      <c r="R715" t="str">
        <f t="shared" si="164"/>
        <v>NO</v>
      </c>
      <c r="S715">
        <v>241</v>
      </c>
      <c r="T715" t="s">
        <v>198</v>
      </c>
      <c r="U715" t="str">
        <f t="shared" si="165"/>
        <v>Mount Auburn St</v>
      </c>
      <c r="W715" t="str">
        <f t="shared" si="166"/>
        <v/>
      </c>
      <c r="X715" t="str">
        <f>IF(ISBLANK(S715),"Intersection","Non-Intersection")</f>
        <v>Non-Intersection</v>
      </c>
      <c r="Y715" t="s">
        <v>1392</v>
      </c>
      <c r="Z715" t="str">
        <f t="shared" si="167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54"/>
        <v>40179</v>
      </c>
      <c r="D716" s="4">
        <f t="shared" si="155"/>
        <v>0.49863013698630138</v>
      </c>
      <c r="E716" s="3">
        <f t="shared" si="156"/>
        <v>2010</v>
      </c>
      <c r="F716" s="3">
        <f t="shared" si="157"/>
        <v>7</v>
      </c>
      <c r="G716" s="3">
        <f t="shared" si="158"/>
        <v>2</v>
      </c>
      <c r="H716" s="3">
        <f t="shared" si="159"/>
        <v>14</v>
      </c>
      <c r="I716" s="3">
        <f t="shared" si="160"/>
        <v>0</v>
      </c>
      <c r="J716" s="3">
        <f t="shared" si="161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62"/>
        <v>YES</v>
      </c>
      <c r="Q716" t="str">
        <f t="shared" si="163"/>
        <v>NO</v>
      </c>
      <c r="R716" t="str">
        <f t="shared" si="164"/>
        <v>NO</v>
      </c>
      <c r="T716" t="s">
        <v>14</v>
      </c>
      <c r="U716" t="str">
        <f t="shared" si="165"/>
        <v>Massachusetts Ave</v>
      </c>
      <c r="V716" t="s">
        <v>340</v>
      </c>
      <c r="W716" t="str">
        <f t="shared" si="166"/>
        <v>Davenport St</v>
      </c>
      <c r="X716" t="str">
        <f>IF(ISBLANK(S716),"Intersection","Non-Intersection")</f>
        <v>Intersection</v>
      </c>
      <c r="Y716" t="s">
        <v>1394</v>
      </c>
      <c r="Z716" t="str">
        <f t="shared" si="167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54"/>
        <v>40179</v>
      </c>
      <c r="D717" s="4">
        <f t="shared" si="155"/>
        <v>0.49863013698630138</v>
      </c>
      <c r="E717" s="3">
        <f t="shared" si="156"/>
        <v>2010</v>
      </c>
      <c r="F717" s="3">
        <f t="shared" si="157"/>
        <v>7</v>
      </c>
      <c r="G717" s="3">
        <f t="shared" si="158"/>
        <v>2</v>
      </c>
      <c r="H717" s="3">
        <f t="shared" si="159"/>
        <v>13</v>
      </c>
      <c r="I717" s="3">
        <f t="shared" si="160"/>
        <v>44</v>
      </c>
      <c r="J717" s="3">
        <f t="shared" si="161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62"/>
        <v>YES</v>
      </c>
      <c r="Q717" t="str">
        <f t="shared" si="163"/>
        <v>YES</v>
      </c>
      <c r="R717" t="str">
        <f t="shared" si="164"/>
        <v>NO</v>
      </c>
      <c r="S717">
        <v>720</v>
      </c>
      <c r="T717" t="s">
        <v>14</v>
      </c>
      <c r="U717" t="str">
        <f t="shared" si="165"/>
        <v>Massachusetts Ave</v>
      </c>
      <c r="W717" t="str">
        <f t="shared" si="166"/>
        <v/>
      </c>
      <c r="X717" t="str">
        <f>IF(ISBLANK(S717),"Intersection","Non-Intersection")</f>
        <v>Non-Intersection</v>
      </c>
      <c r="Y717" t="s">
        <v>1395</v>
      </c>
      <c r="Z717" t="str">
        <f t="shared" si="167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54"/>
        <v>40179</v>
      </c>
      <c r="D718" s="4">
        <f t="shared" si="155"/>
        <v>0.50136986301369868</v>
      </c>
      <c r="E718" s="3">
        <f t="shared" si="156"/>
        <v>2010</v>
      </c>
      <c r="F718" s="3">
        <f t="shared" si="157"/>
        <v>7</v>
      </c>
      <c r="G718" s="3">
        <f t="shared" si="158"/>
        <v>3</v>
      </c>
      <c r="H718" s="3">
        <f t="shared" si="159"/>
        <v>15</v>
      </c>
      <c r="I718" s="3">
        <f t="shared" si="160"/>
        <v>0</v>
      </c>
      <c r="J718" s="3">
        <f t="shared" si="161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62"/>
        <v>YES</v>
      </c>
      <c r="Q718" t="str">
        <f t="shared" si="163"/>
        <v>NO</v>
      </c>
      <c r="R718" t="str">
        <f t="shared" si="164"/>
        <v>NO</v>
      </c>
      <c r="S718">
        <v>201</v>
      </c>
      <c r="T718" t="s">
        <v>53</v>
      </c>
      <c r="U718" t="str">
        <f t="shared" si="165"/>
        <v>Monsignor Obrien Hwy</v>
      </c>
      <c r="W718" t="str">
        <f t="shared" si="166"/>
        <v/>
      </c>
      <c r="X718" t="str">
        <f>IF(ISBLANK(S718),"Intersection","Non-Intersection")</f>
        <v>Non-Intersection</v>
      </c>
      <c r="Y718" t="s">
        <v>1397</v>
      </c>
      <c r="Z718" t="str">
        <f t="shared" si="167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54"/>
        <v>40179</v>
      </c>
      <c r="D719" s="4">
        <f t="shared" si="155"/>
        <v>0.50136986301369868</v>
      </c>
      <c r="E719" s="3">
        <f t="shared" si="156"/>
        <v>2010</v>
      </c>
      <c r="F719" s="3">
        <f t="shared" si="157"/>
        <v>7</v>
      </c>
      <c r="G719" s="3">
        <f t="shared" si="158"/>
        <v>3</v>
      </c>
      <c r="H719" s="3">
        <f t="shared" si="159"/>
        <v>15</v>
      </c>
      <c r="I719" s="3">
        <f t="shared" si="160"/>
        <v>0</v>
      </c>
      <c r="J719" s="3">
        <f t="shared" si="161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62"/>
        <v>YES</v>
      </c>
      <c r="Q719" t="str">
        <f t="shared" si="163"/>
        <v>NO</v>
      </c>
      <c r="R719" t="str">
        <f t="shared" si="164"/>
        <v>NO</v>
      </c>
      <c r="S719">
        <v>100</v>
      </c>
      <c r="T719" t="s">
        <v>1062</v>
      </c>
      <c r="U719" t="str">
        <f t="shared" si="165"/>
        <v>Cambridgeside Pl</v>
      </c>
      <c r="W719" t="str">
        <f t="shared" si="166"/>
        <v/>
      </c>
      <c r="X719" t="str">
        <f>IF(ISBLANK(S719),"Intersection","Non-Intersection")</f>
        <v>Non-Intersection</v>
      </c>
      <c r="Y719" t="s">
        <v>1143</v>
      </c>
      <c r="Z719" t="str">
        <f t="shared" si="167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54"/>
        <v>40179</v>
      </c>
      <c r="D720" s="4">
        <f t="shared" si="155"/>
        <v>0.50136986301369868</v>
      </c>
      <c r="E720" s="3">
        <f t="shared" si="156"/>
        <v>2010</v>
      </c>
      <c r="F720" s="3">
        <f t="shared" si="157"/>
        <v>7</v>
      </c>
      <c r="G720" s="3">
        <f t="shared" si="158"/>
        <v>3</v>
      </c>
      <c r="H720" s="3">
        <f t="shared" si="159"/>
        <v>23</v>
      </c>
      <c r="I720" s="3">
        <f t="shared" si="160"/>
        <v>0</v>
      </c>
      <c r="J720" s="3">
        <f t="shared" si="161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62"/>
        <v>YES</v>
      </c>
      <c r="Q720" t="str">
        <f t="shared" si="163"/>
        <v>NO</v>
      </c>
      <c r="R720" t="str">
        <f t="shared" si="164"/>
        <v>NO</v>
      </c>
      <c r="S720">
        <v>378</v>
      </c>
      <c r="T720" t="s">
        <v>14</v>
      </c>
      <c r="U720" t="str">
        <f t="shared" si="165"/>
        <v>Massachusetts Ave</v>
      </c>
      <c r="W720" t="str">
        <f t="shared" si="166"/>
        <v/>
      </c>
      <c r="X720" t="str">
        <f>IF(ISBLANK(S720),"Intersection","Non-Intersection")</f>
        <v>Non-Intersection</v>
      </c>
      <c r="Y720" t="s">
        <v>1399</v>
      </c>
      <c r="Z720" t="str">
        <f t="shared" si="167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54"/>
        <v>40179</v>
      </c>
      <c r="D721" s="4">
        <f t="shared" si="155"/>
        <v>0.50410958904109593</v>
      </c>
      <c r="E721" s="3">
        <f t="shared" si="156"/>
        <v>2010</v>
      </c>
      <c r="F721" s="3">
        <f t="shared" si="157"/>
        <v>7</v>
      </c>
      <c r="G721" s="3">
        <f t="shared" si="158"/>
        <v>4</v>
      </c>
      <c r="H721" s="3">
        <f t="shared" si="159"/>
        <v>21</v>
      </c>
      <c r="I721" s="3">
        <f t="shared" si="160"/>
        <v>47</v>
      </c>
      <c r="J721" s="3">
        <f t="shared" si="161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62"/>
        <v>YES</v>
      </c>
      <c r="Q721" t="str">
        <f t="shared" si="163"/>
        <v>YES</v>
      </c>
      <c r="R721" t="str">
        <f t="shared" si="164"/>
        <v>NO</v>
      </c>
      <c r="T721" t="s">
        <v>105</v>
      </c>
      <c r="U721" t="str">
        <f t="shared" si="165"/>
        <v>Broadway</v>
      </c>
      <c r="V721" t="s">
        <v>101</v>
      </c>
      <c r="W721" t="str">
        <f t="shared" si="166"/>
        <v>Columbia St</v>
      </c>
      <c r="X721" t="str">
        <f>IF(ISBLANK(S721),"Intersection","Non-Intersection")</f>
        <v>Intersection</v>
      </c>
      <c r="Y721" t="s">
        <v>1403</v>
      </c>
      <c r="Z721" t="str">
        <f t="shared" si="167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54"/>
        <v>40179</v>
      </c>
      <c r="D722" s="4">
        <f t="shared" si="155"/>
        <v>0.50410958904109593</v>
      </c>
      <c r="E722" s="3">
        <f t="shared" si="156"/>
        <v>2010</v>
      </c>
      <c r="F722" s="3">
        <f t="shared" si="157"/>
        <v>7</v>
      </c>
      <c r="G722" s="3">
        <f t="shared" si="158"/>
        <v>4</v>
      </c>
      <c r="H722" s="3">
        <f t="shared" si="159"/>
        <v>15</v>
      </c>
      <c r="I722" s="3">
        <f t="shared" si="160"/>
        <v>21</v>
      </c>
      <c r="J722" s="3">
        <f t="shared" si="161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62"/>
        <v>YES</v>
      </c>
      <c r="Q722" t="str">
        <f t="shared" si="163"/>
        <v>NO</v>
      </c>
      <c r="R722" t="str">
        <f t="shared" si="164"/>
        <v>NO</v>
      </c>
      <c r="T722" t="s">
        <v>27</v>
      </c>
      <c r="U722" t="str">
        <f t="shared" si="165"/>
        <v>Western Ave</v>
      </c>
      <c r="V722" t="s">
        <v>757</v>
      </c>
      <c r="W722" t="str">
        <f t="shared" si="166"/>
        <v>Blackstone St</v>
      </c>
      <c r="X722" t="str">
        <f>IF(ISBLANK(S722),"Intersection","Non-Intersection")</f>
        <v>Intersection</v>
      </c>
      <c r="Y722" t="s">
        <v>1405</v>
      </c>
      <c r="Z722" t="str">
        <f t="shared" si="167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54"/>
        <v>40179</v>
      </c>
      <c r="D723" s="4">
        <f t="shared" si="155"/>
        <v>0.50410958904109593</v>
      </c>
      <c r="E723" s="3">
        <f t="shared" si="156"/>
        <v>2010</v>
      </c>
      <c r="F723" s="3">
        <f t="shared" si="157"/>
        <v>7</v>
      </c>
      <c r="G723" s="3">
        <f t="shared" si="158"/>
        <v>4</v>
      </c>
      <c r="H723" s="3">
        <f t="shared" si="159"/>
        <v>19</v>
      </c>
      <c r="I723" s="3">
        <f t="shared" si="160"/>
        <v>21</v>
      </c>
      <c r="J723" s="3">
        <f t="shared" si="161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62"/>
        <v>YES</v>
      </c>
      <c r="Q723" t="str">
        <f t="shared" si="163"/>
        <v>NO</v>
      </c>
      <c r="R723" t="str">
        <f t="shared" si="164"/>
        <v>NO</v>
      </c>
      <c r="T723" t="s">
        <v>332</v>
      </c>
      <c r="U723" t="str">
        <f t="shared" si="165"/>
        <v>Allston St</v>
      </c>
      <c r="V723" t="s">
        <v>178</v>
      </c>
      <c r="W723" t="str">
        <f t="shared" si="166"/>
        <v>Pleasant St</v>
      </c>
      <c r="X723" t="str">
        <f>IF(ISBLANK(S723),"Intersection","Non-Intersection")</f>
        <v>Intersection</v>
      </c>
      <c r="Y723" t="s">
        <v>1407</v>
      </c>
      <c r="Z723" t="str">
        <f t="shared" si="167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54"/>
        <v>40179</v>
      </c>
      <c r="D724" s="4">
        <f t="shared" si="155"/>
        <v>0.50684931506849318</v>
      </c>
      <c r="E724" s="3">
        <f t="shared" si="156"/>
        <v>2010</v>
      </c>
      <c r="F724" s="3">
        <f t="shared" si="157"/>
        <v>7</v>
      </c>
      <c r="G724" s="3">
        <f t="shared" si="158"/>
        <v>5</v>
      </c>
      <c r="H724" s="3">
        <f t="shared" si="159"/>
        <v>22</v>
      </c>
      <c r="I724" s="3">
        <f t="shared" si="160"/>
        <v>30</v>
      </c>
      <c r="J724" s="3">
        <f t="shared" si="161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62"/>
        <v>NO</v>
      </c>
      <c r="Q724" t="str">
        <f t="shared" si="163"/>
        <v>NO</v>
      </c>
      <c r="R724" t="str">
        <f t="shared" si="164"/>
        <v>NO</v>
      </c>
      <c r="T724" t="s">
        <v>79</v>
      </c>
      <c r="U724" t="str">
        <f t="shared" si="165"/>
        <v>Ames St</v>
      </c>
      <c r="V724" t="s">
        <v>1182</v>
      </c>
      <c r="W724" t="str">
        <f t="shared" si="166"/>
        <v>Amherst St</v>
      </c>
      <c r="X724" t="str">
        <f>IF(ISBLANK(S724),"Intersection","Non-Intersection")</f>
        <v>Intersection</v>
      </c>
      <c r="Y724" t="s">
        <v>1183</v>
      </c>
      <c r="Z724" t="str">
        <f t="shared" si="167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54"/>
        <v>40179</v>
      </c>
      <c r="D725" s="4">
        <f t="shared" si="155"/>
        <v>0.50684931506849318</v>
      </c>
      <c r="E725" s="3">
        <f t="shared" si="156"/>
        <v>2010</v>
      </c>
      <c r="F725" s="3">
        <f t="shared" si="157"/>
        <v>7</v>
      </c>
      <c r="G725" s="3">
        <f t="shared" si="158"/>
        <v>5</v>
      </c>
      <c r="H725" s="3">
        <f t="shared" si="159"/>
        <v>21</v>
      </c>
      <c r="I725" s="3">
        <f t="shared" si="160"/>
        <v>59</v>
      </c>
      <c r="J725" s="3">
        <f t="shared" si="161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62"/>
        <v>YES</v>
      </c>
      <c r="Q725" t="str">
        <f t="shared" si="163"/>
        <v>NO</v>
      </c>
      <c r="R725" t="str">
        <f t="shared" si="164"/>
        <v>NO</v>
      </c>
      <c r="T725" t="s">
        <v>280</v>
      </c>
      <c r="U725" t="str">
        <f t="shared" si="165"/>
        <v>Jackson St</v>
      </c>
      <c r="V725" t="s">
        <v>15</v>
      </c>
      <c r="W725" t="str">
        <f t="shared" si="166"/>
        <v>Rindge Ave</v>
      </c>
      <c r="X725" t="str">
        <f>IF(ISBLANK(S725),"Intersection","Non-Intersection")</f>
        <v>Intersection</v>
      </c>
      <c r="Y725" t="s">
        <v>1409</v>
      </c>
      <c r="Z725" t="str">
        <f t="shared" si="167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54"/>
        <v>40179</v>
      </c>
      <c r="D726" s="4">
        <f t="shared" si="155"/>
        <v>0.50684931506849318</v>
      </c>
      <c r="E726" s="3">
        <f t="shared" si="156"/>
        <v>2010</v>
      </c>
      <c r="F726" s="3">
        <f t="shared" si="157"/>
        <v>7</v>
      </c>
      <c r="G726" s="3">
        <f t="shared" si="158"/>
        <v>5</v>
      </c>
      <c r="H726" s="3">
        <f t="shared" si="159"/>
        <v>1</v>
      </c>
      <c r="I726" s="3">
        <f t="shared" si="160"/>
        <v>2</v>
      </c>
      <c r="J726" s="3">
        <f t="shared" si="161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62"/>
        <v>YES</v>
      </c>
      <c r="Q726" t="str">
        <f t="shared" si="163"/>
        <v>NO</v>
      </c>
      <c r="R726" t="str">
        <f t="shared" si="164"/>
        <v>NO</v>
      </c>
      <c r="T726" t="s">
        <v>19</v>
      </c>
      <c r="U726" t="str">
        <f t="shared" si="165"/>
        <v>Cambridge St</v>
      </c>
      <c r="V726" t="s">
        <v>61</v>
      </c>
      <c r="W726" t="str">
        <f t="shared" si="166"/>
        <v>First St</v>
      </c>
      <c r="X726" t="str">
        <f>IF(ISBLANK(S726),"Intersection","Non-Intersection")</f>
        <v>Intersection</v>
      </c>
      <c r="Y726" t="s">
        <v>494</v>
      </c>
      <c r="Z726" t="str">
        <f t="shared" si="167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54"/>
        <v>40179</v>
      </c>
      <c r="D727" s="4">
        <f t="shared" si="155"/>
        <v>0.50958904109589043</v>
      </c>
      <c r="E727" s="3">
        <f t="shared" si="156"/>
        <v>2010</v>
      </c>
      <c r="F727" s="3">
        <f t="shared" si="157"/>
        <v>7</v>
      </c>
      <c r="G727" s="3">
        <f t="shared" si="158"/>
        <v>6</v>
      </c>
      <c r="H727" s="3">
        <f t="shared" si="159"/>
        <v>21</v>
      </c>
      <c r="I727" s="3">
        <f t="shared" si="160"/>
        <v>33</v>
      </c>
      <c r="J727" s="3">
        <f t="shared" si="161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62"/>
        <v>YES</v>
      </c>
      <c r="Q727" t="str">
        <f t="shared" si="163"/>
        <v>NO</v>
      </c>
      <c r="R727" t="str">
        <f t="shared" si="164"/>
        <v>NO</v>
      </c>
      <c r="T727" t="s">
        <v>42</v>
      </c>
      <c r="U727" t="str">
        <f t="shared" si="165"/>
        <v>Putnam Ave</v>
      </c>
      <c r="V727" t="s">
        <v>453</v>
      </c>
      <c r="W727" t="str">
        <f t="shared" si="166"/>
        <v>Brookline St</v>
      </c>
      <c r="X727" t="str">
        <f>IF(ISBLANK(S727),"Intersection","Non-Intersection")</f>
        <v>Intersection</v>
      </c>
      <c r="Y727" t="s">
        <v>1411</v>
      </c>
      <c r="Z727" t="str">
        <f t="shared" si="167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54"/>
        <v>40179</v>
      </c>
      <c r="D728" s="4">
        <f t="shared" si="155"/>
        <v>0.50958904109589043</v>
      </c>
      <c r="E728" s="3">
        <f t="shared" si="156"/>
        <v>2010</v>
      </c>
      <c r="F728" s="3">
        <f t="shared" si="157"/>
        <v>7</v>
      </c>
      <c r="G728" s="3">
        <f t="shared" si="158"/>
        <v>6</v>
      </c>
      <c r="H728" s="3">
        <f t="shared" si="159"/>
        <v>20</v>
      </c>
      <c r="I728" s="3">
        <f t="shared" si="160"/>
        <v>49</v>
      </c>
      <c r="J728" s="3">
        <f t="shared" si="161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62"/>
        <v>YES</v>
      </c>
      <c r="Q728" t="str">
        <f t="shared" si="163"/>
        <v>NO</v>
      </c>
      <c r="R728" t="str">
        <f t="shared" si="164"/>
        <v>NO</v>
      </c>
      <c r="T728" t="s">
        <v>27</v>
      </c>
      <c r="U728" t="str">
        <f t="shared" si="165"/>
        <v>Western Ave</v>
      </c>
      <c r="V728" t="s">
        <v>757</v>
      </c>
      <c r="W728" t="str">
        <f t="shared" si="166"/>
        <v>Blackstone St</v>
      </c>
      <c r="X728" t="str">
        <f>IF(ISBLANK(S728),"Intersection","Non-Intersection")</f>
        <v>Intersection</v>
      </c>
      <c r="Y728" t="s">
        <v>1405</v>
      </c>
      <c r="Z728" t="str">
        <f t="shared" si="167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54"/>
        <v>40179</v>
      </c>
      <c r="D729" s="4">
        <f t="shared" si="155"/>
        <v>0.50958904109589043</v>
      </c>
      <c r="E729" s="3">
        <f t="shared" si="156"/>
        <v>2010</v>
      </c>
      <c r="F729" s="3">
        <f t="shared" si="157"/>
        <v>7</v>
      </c>
      <c r="G729" s="3">
        <f t="shared" si="158"/>
        <v>6</v>
      </c>
      <c r="H729" s="3">
        <f t="shared" si="159"/>
        <v>14</v>
      </c>
      <c r="I729" s="3">
        <f t="shared" si="160"/>
        <v>0</v>
      </c>
      <c r="J729" s="3">
        <f t="shared" si="161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62"/>
        <v>YES</v>
      </c>
      <c r="Q729" t="str">
        <f t="shared" si="163"/>
        <v>YES</v>
      </c>
      <c r="R729" t="str">
        <f t="shared" si="164"/>
        <v>NO</v>
      </c>
      <c r="S729">
        <v>120</v>
      </c>
      <c r="T729" t="s">
        <v>202</v>
      </c>
      <c r="U729" t="str">
        <f t="shared" si="165"/>
        <v>Vassar St</v>
      </c>
      <c r="W729" t="str">
        <f t="shared" si="166"/>
        <v/>
      </c>
      <c r="X729" t="str">
        <f>IF(ISBLANK(S729),"Intersection","Non-Intersection")</f>
        <v>Non-Intersection</v>
      </c>
      <c r="Y729" t="s">
        <v>1413</v>
      </c>
      <c r="Z729" t="str">
        <f t="shared" si="167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54"/>
        <v>40179</v>
      </c>
      <c r="D730" s="4">
        <f t="shared" si="155"/>
        <v>0.50958904109589043</v>
      </c>
      <c r="E730" s="3">
        <f t="shared" si="156"/>
        <v>2010</v>
      </c>
      <c r="F730" s="3">
        <f t="shared" si="157"/>
        <v>7</v>
      </c>
      <c r="G730" s="3">
        <f t="shared" si="158"/>
        <v>6</v>
      </c>
      <c r="H730" s="3">
        <f t="shared" si="159"/>
        <v>17</v>
      </c>
      <c r="I730" s="3">
        <f t="shared" si="160"/>
        <v>13</v>
      </c>
      <c r="J730" s="3">
        <f t="shared" si="161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62"/>
        <v>YES</v>
      </c>
      <c r="Q730" t="str">
        <f t="shared" si="163"/>
        <v>YES</v>
      </c>
      <c r="R730" t="str">
        <f t="shared" si="164"/>
        <v>NO</v>
      </c>
      <c r="T730" t="s">
        <v>195</v>
      </c>
      <c r="U730" t="str">
        <f t="shared" si="165"/>
        <v>Sidney St</v>
      </c>
      <c r="V730" t="s">
        <v>958</v>
      </c>
      <c r="W730" t="str">
        <f t="shared" si="166"/>
        <v>Pacific St</v>
      </c>
      <c r="X730" t="str">
        <f>IF(ISBLANK(S730),"Intersection","Non-Intersection")</f>
        <v>Intersection</v>
      </c>
      <c r="Y730" t="s">
        <v>1415</v>
      </c>
      <c r="Z730" t="str">
        <f t="shared" si="167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54"/>
        <v>40179</v>
      </c>
      <c r="D731" s="4">
        <f t="shared" si="155"/>
        <v>0.51232876712328768</v>
      </c>
      <c r="E731" s="3">
        <f t="shared" si="156"/>
        <v>2010</v>
      </c>
      <c r="F731" s="3">
        <f t="shared" si="157"/>
        <v>7</v>
      </c>
      <c r="G731" s="3">
        <f t="shared" si="158"/>
        <v>7</v>
      </c>
      <c r="H731" s="3">
        <f t="shared" si="159"/>
        <v>15</v>
      </c>
      <c r="I731" s="3">
        <f t="shared" si="160"/>
        <v>0</v>
      </c>
      <c r="J731" s="3">
        <f t="shared" si="161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62"/>
        <v>YES</v>
      </c>
      <c r="Q731" t="str">
        <f t="shared" si="163"/>
        <v>NO</v>
      </c>
      <c r="R731" t="str">
        <f t="shared" si="164"/>
        <v>NO</v>
      </c>
      <c r="T731" t="s">
        <v>14</v>
      </c>
      <c r="U731" t="str">
        <f t="shared" si="165"/>
        <v>Massachusetts Ave</v>
      </c>
      <c r="V731" t="s">
        <v>601</v>
      </c>
      <c r="W731" t="str">
        <f t="shared" si="166"/>
        <v>Cedar St</v>
      </c>
      <c r="X731" t="str">
        <f>IF(ISBLANK(S731),"Intersection","Non-Intersection")</f>
        <v>Intersection</v>
      </c>
      <c r="Y731" t="s">
        <v>602</v>
      </c>
      <c r="Z731" t="str">
        <f t="shared" si="167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54"/>
        <v>40179</v>
      </c>
      <c r="D732" s="4">
        <f t="shared" si="155"/>
        <v>0.51232876712328768</v>
      </c>
      <c r="E732" s="3">
        <f t="shared" si="156"/>
        <v>2010</v>
      </c>
      <c r="F732" s="3">
        <f t="shared" si="157"/>
        <v>7</v>
      </c>
      <c r="G732" s="3">
        <f t="shared" si="158"/>
        <v>7</v>
      </c>
      <c r="H732" s="3">
        <f t="shared" si="159"/>
        <v>10</v>
      </c>
      <c r="I732" s="3">
        <f t="shared" si="160"/>
        <v>30</v>
      </c>
      <c r="J732" s="3">
        <f t="shared" si="161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62"/>
        <v>YES</v>
      </c>
      <c r="Q732" t="str">
        <f t="shared" si="163"/>
        <v>NO</v>
      </c>
      <c r="R732" t="str">
        <f t="shared" si="164"/>
        <v>NO</v>
      </c>
      <c r="T732" t="s">
        <v>354</v>
      </c>
      <c r="U732" t="str">
        <f t="shared" si="165"/>
        <v>Linnaean St</v>
      </c>
      <c r="V732" t="s">
        <v>14</v>
      </c>
      <c r="W732" t="str">
        <f t="shared" si="166"/>
        <v>Massachusetts Ave</v>
      </c>
      <c r="X732" t="str">
        <f>IF(ISBLANK(S732),"Intersection","Non-Intersection")</f>
        <v>Intersection</v>
      </c>
      <c r="Y732" t="s">
        <v>1417</v>
      </c>
      <c r="Z732" t="str">
        <f t="shared" si="167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54"/>
        <v>40179</v>
      </c>
      <c r="D733" s="4">
        <f t="shared" si="155"/>
        <v>0.51232876712328768</v>
      </c>
      <c r="E733" s="3">
        <f t="shared" si="156"/>
        <v>2010</v>
      </c>
      <c r="F733" s="3">
        <f t="shared" si="157"/>
        <v>7</v>
      </c>
      <c r="G733" s="3">
        <f t="shared" si="158"/>
        <v>7</v>
      </c>
      <c r="H733" s="3">
        <f t="shared" si="159"/>
        <v>22</v>
      </c>
      <c r="I733" s="3">
        <f t="shared" si="160"/>
        <v>9</v>
      </c>
      <c r="J733" s="3">
        <f t="shared" si="161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62"/>
        <v>YES</v>
      </c>
      <c r="Q733" t="str">
        <f t="shared" si="163"/>
        <v>NO</v>
      </c>
      <c r="R733" t="str">
        <f t="shared" si="164"/>
        <v>NO</v>
      </c>
      <c r="T733" t="s">
        <v>1013</v>
      </c>
      <c r="U733" t="str">
        <f t="shared" si="165"/>
        <v>Blanchard Rd</v>
      </c>
      <c r="V733" t="s">
        <v>186</v>
      </c>
      <c r="W733" t="str">
        <f t="shared" si="166"/>
        <v>Concord Ave</v>
      </c>
      <c r="X733" t="str">
        <f>IF(ISBLANK(S733),"Intersection","Non-Intersection")</f>
        <v>Intersection</v>
      </c>
      <c r="Y733" t="s">
        <v>1209</v>
      </c>
      <c r="Z733" t="str">
        <f t="shared" si="167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54"/>
        <v>40179</v>
      </c>
      <c r="D734" s="4">
        <f t="shared" si="155"/>
        <v>0.51232876712328768</v>
      </c>
      <c r="E734" s="3">
        <f t="shared" si="156"/>
        <v>2010</v>
      </c>
      <c r="F734" s="3">
        <f t="shared" si="157"/>
        <v>7</v>
      </c>
      <c r="G734" s="3">
        <f t="shared" si="158"/>
        <v>7</v>
      </c>
      <c r="H734" s="3">
        <f t="shared" si="159"/>
        <v>18</v>
      </c>
      <c r="I734" s="3">
        <f t="shared" si="160"/>
        <v>0</v>
      </c>
      <c r="J734" s="3">
        <f t="shared" si="161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62"/>
        <v>YES</v>
      </c>
      <c r="Q734" t="str">
        <f t="shared" si="163"/>
        <v>NO</v>
      </c>
      <c r="R734" t="str">
        <f t="shared" si="164"/>
        <v>NO</v>
      </c>
      <c r="S734">
        <v>33</v>
      </c>
      <c r="T734" t="s">
        <v>484</v>
      </c>
      <c r="U734" t="str">
        <f t="shared" si="165"/>
        <v>Porter St</v>
      </c>
      <c r="W734" t="str">
        <f t="shared" si="166"/>
        <v/>
      </c>
      <c r="X734" t="str">
        <f>IF(ISBLANK(S734),"Intersection","Non-Intersection")</f>
        <v>Non-Intersection</v>
      </c>
      <c r="Y734" t="s">
        <v>1418</v>
      </c>
      <c r="Z734" t="str">
        <f t="shared" si="167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68">EOMONTH(B735,MONTH(B735)*-1)+1</f>
        <v>40179</v>
      </c>
      <c r="D735" s="4">
        <f t="shared" ref="D735:D790" si="169">YEARFRAC(C735,B735,1)</f>
        <v>0.51232876712328768</v>
      </c>
      <c r="E735" s="3">
        <f t="shared" ref="E735:E790" si="170">YEAR(B735)</f>
        <v>2010</v>
      </c>
      <c r="F735" s="3">
        <f t="shared" ref="F735:F790" si="171">MONTH(B735)</f>
        <v>7</v>
      </c>
      <c r="G735" s="3">
        <f t="shared" ref="G735:G790" si="172">DAY(B735)</f>
        <v>7</v>
      </c>
      <c r="H735" s="3">
        <f t="shared" ref="H735:H790" si="173">HOUR(B735)</f>
        <v>13</v>
      </c>
      <c r="I735" s="3">
        <f t="shared" ref="I735:I790" si="174">MINUTE(B735)</f>
        <v>30</v>
      </c>
      <c r="J735" s="3">
        <f t="shared" ref="J735:J790" si="175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76">IF(OR(N735="Auto",O735="Auto"),"YES",IF(OR(N735="Taxi",O735="Taxi"),"YES",IF(OR(N735="Van",O735="Van"),"YES",IF(OR(N735="Truck",O735="Truck"),"YES","NO"))))</f>
        <v>YES</v>
      </c>
      <c r="Q735" t="str">
        <f t="shared" ref="Q735:Q790" si="177">IF(OR(N735="Bicycle",O735="Bicycle"),"YES","NO")</f>
        <v>NO</v>
      </c>
      <c r="R735" t="str">
        <f t="shared" ref="R735:R790" si="178">IF(OR(N735="Pedestrian",O735="Pedestrian"),"YES","NO")</f>
        <v>NO</v>
      </c>
      <c r="T735" t="s">
        <v>326</v>
      </c>
      <c r="U735" t="str">
        <f t="shared" si="165"/>
        <v>Jfk St</v>
      </c>
      <c r="V735" t="s">
        <v>325</v>
      </c>
      <c r="W735" t="str">
        <f t="shared" si="166"/>
        <v>Eliot St</v>
      </c>
      <c r="X735" t="str">
        <f>IF(ISBLANK(S735),"Intersection","Non-Intersection")</f>
        <v>Intersection</v>
      </c>
      <c r="Y735" t="s">
        <v>1420</v>
      </c>
      <c r="Z735" t="str">
        <f t="shared" si="167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68"/>
        <v>40179</v>
      </c>
      <c r="D736" s="4">
        <f t="shared" si="169"/>
        <v>0.51232876712328768</v>
      </c>
      <c r="E736" s="3">
        <f t="shared" si="170"/>
        <v>2010</v>
      </c>
      <c r="F736" s="3">
        <f t="shared" si="171"/>
        <v>7</v>
      </c>
      <c r="G736" s="3">
        <f t="shared" si="172"/>
        <v>7</v>
      </c>
      <c r="H736" s="3">
        <f t="shared" si="173"/>
        <v>11</v>
      </c>
      <c r="I736" s="3">
        <f t="shared" si="174"/>
        <v>29</v>
      </c>
      <c r="J736" s="3">
        <f t="shared" si="175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76"/>
        <v>YES</v>
      </c>
      <c r="Q736" t="str">
        <f t="shared" si="177"/>
        <v>YES</v>
      </c>
      <c r="R736" t="str">
        <f t="shared" si="178"/>
        <v>NO</v>
      </c>
      <c r="T736" t="s">
        <v>202</v>
      </c>
      <c r="U736" t="str">
        <f t="shared" si="165"/>
        <v>Vassar St</v>
      </c>
      <c r="V736" t="s">
        <v>14</v>
      </c>
      <c r="W736" t="str">
        <f t="shared" si="166"/>
        <v>Massachusetts Ave</v>
      </c>
      <c r="X736" t="str">
        <f>IF(ISBLANK(S736),"Intersection","Non-Intersection")</f>
        <v>Intersection</v>
      </c>
      <c r="Y736" t="s">
        <v>222</v>
      </c>
      <c r="Z736" t="str">
        <f t="shared" si="167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68"/>
        <v>40179</v>
      </c>
      <c r="D737" s="4">
        <f t="shared" si="169"/>
        <v>0.51506849315068493</v>
      </c>
      <c r="E737" s="3">
        <f t="shared" si="170"/>
        <v>2010</v>
      </c>
      <c r="F737" s="3">
        <f t="shared" si="171"/>
        <v>7</v>
      </c>
      <c r="G737" s="3">
        <f t="shared" si="172"/>
        <v>8</v>
      </c>
      <c r="H737" s="3">
        <f t="shared" si="173"/>
        <v>2</v>
      </c>
      <c r="I737" s="3">
        <f t="shared" si="174"/>
        <v>0</v>
      </c>
      <c r="J737" s="3">
        <f t="shared" si="175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76"/>
        <v>YES</v>
      </c>
      <c r="Q737" t="str">
        <f t="shared" si="177"/>
        <v>NO</v>
      </c>
      <c r="R737" t="str">
        <f t="shared" si="178"/>
        <v>NO</v>
      </c>
      <c r="S737">
        <v>386</v>
      </c>
      <c r="T737" t="s">
        <v>189</v>
      </c>
      <c r="U737" t="str">
        <f t="shared" si="165"/>
        <v>Windsor St</v>
      </c>
      <c r="W737" t="str">
        <f t="shared" si="166"/>
        <v/>
      </c>
      <c r="X737" t="str">
        <f>IF(ISBLANK(S737),"Intersection","Non-Intersection")</f>
        <v>Non-Intersection</v>
      </c>
      <c r="Y737" t="s">
        <v>1421</v>
      </c>
      <c r="Z737" t="str">
        <f t="shared" si="167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68"/>
        <v>40179</v>
      </c>
      <c r="D738" s="4">
        <f t="shared" si="169"/>
        <v>0.51506849315068493</v>
      </c>
      <c r="E738" s="3">
        <f t="shared" si="170"/>
        <v>2010</v>
      </c>
      <c r="F738" s="3">
        <f t="shared" si="171"/>
        <v>7</v>
      </c>
      <c r="G738" s="3">
        <f t="shared" si="172"/>
        <v>8</v>
      </c>
      <c r="H738" s="3">
        <f t="shared" si="173"/>
        <v>14</v>
      </c>
      <c r="I738" s="3">
        <f t="shared" si="174"/>
        <v>49</v>
      </c>
      <c r="J738" s="3">
        <f t="shared" si="175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76"/>
        <v>YES</v>
      </c>
      <c r="Q738" t="str">
        <f t="shared" si="177"/>
        <v>YES</v>
      </c>
      <c r="R738" t="str">
        <f t="shared" si="178"/>
        <v>NO</v>
      </c>
      <c r="T738" t="s">
        <v>14</v>
      </c>
      <c r="U738" t="str">
        <f t="shared" si="165"/>
        <v>Massachusetts Ave</v>
      </c>
      <c r="V738" t="s">
        <v>340</v>
      </c>
      <c r="W738" t="str">
        <f t="shared" si="166"/>
        <v>Davenport St</v>
      </c>
      <c r="X738" t="str">
        <f>IF(ISBLANK(S738),"Intersection","Non-Intersection")</f>
        <v>Intersection</v>
      </c>
      <c r="Y738" t="s">
        <v>1394</v>
      </c>
      <c r="Z738" t="str">
        <f t="shared" si="167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68"/>
        <v>40179</v>
      </c>
      <c r="D739" s="4">
        <f t="shared" si="169"/>
        <v>0.51506849315068493</v>
      </c>
      <c r="E739" s="3">
        <f t="shared" si="170"/>
        <v>2010</v>
      </c>
      <c r="F739" s="3">
        <f t="shared" si="171"/>
        <v>7</v>
      </c>
      <c r="G739" s="3">
        <f t="shared" si="172"/>
        <v>8</v>
      </c>
      <c r="H739" s="3">
        <f t="shared" si="173"/>
        <v>8</v>
      </c>
      <c r="I739" s="3">
        <f t="shared" si="174"/>
        <v>45</v>
      </c>
      <c r="J739" s="3">
        <f t="shared" si="175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76"/>
        <v>YES</v>
      </c>
      <c r="Q739" t="str">
        <f t="shared" si="177"/>
        <v>NO</v>
      </c>
      <c r="R739" t="str">
        <f t="shared" si="178"/>
        <v>NO</v>
      </c>
      <c r="T739" t="s">
        <v>15</v>
      </c>
      <c r="U739" t="str">
        <f t="shared" si="165"/>
        <v>Rindge Ave</v>
      </c>
      <c r="V739" t="s">
        <v>1214</v>
      </c>
      <c r="W739" t="str">
        <f t="shared" si="166"/>
        <v>Reed St</v>
      </c>
      <c r="X739" t="str">
        <f>IF(ISBLANK(S739),"Intersection","Non-Intersection")</f>
        <v>Intersection</v>
      </c>
      <c r="Y739" t="s">
        <v>1423</v>
      </c>
      <c r="Z739" t="str">
        <f t="shared" si="167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68"/>
        <v>40179</v>
      </c>
      <c r="D740" s="4">
        <f t="shared" si="169"/>
        <v>0.51506849315068493</v>
      </c>
      <c r="E740" s="3">
        <f t="shared" si="170"/>
        <v>2010</v>
      </c>
      <c r="F740" s="3">
        <f t="shared" si="171"/>
        <v>7</v>
      </c>
      <c r="G740" s="3">
        <f t="shared" si="172"/>
        <v>8</v>
      </c>
      <c r="H740" s="3">
        <f t="shared" si="173"/>
        <v>8</v>
      </c>
      <c r="I740" s="3">
        <f t="shared" si="174"/>
        <v>19</v>
      </c>
      <c r="J740" s="3">
        <f t="shared" si="175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76"/>
        <v>YES</v>
      </c>
      <c r="Q740" t="str">
        <f t="shared" si="177"/>
        <v>NO</v>
      </c>
      <c r="R740" t="str">
        <f t="shared" si="178"/>
        <v>NO</v>
      </c>
      <c r="T740" t="s">
        <v>147</v>
      </c>
      <c r="U740" t="str">
        <f t="shared" si="165"/>
        <v>Sixth St</v>
      </c>
      <c r="V740" t="s">
        <v>60</v>
      </c>
      <c r="W740" t="str">
        <f t="shared" si="166"/>
        <v>Rogers St</v>
      </c>
      <c r="X740" t="str">
        <f>IF(ISBLANK(S740),"Intersection","Non-Intersection")</f>
        <v>Intersection</v>
      </c>
      <c r="Y740" t="s">
        <v>1424</v>
      </c>
      <c r="Z740" t="str">
        <f t="shared" si="167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68"/>
        <v>40179</v>
      </c>
      <c r="D741" s="4">
        <f t="shared" si="169"/>
        <v>0.51506849315068493</v>
      </c>
      <c r="E741" s="3">
        <f t="shared" si="170"/>
        <v>2010</v>
      </c>
      <c r="F741" s="3">
        <f t="shared" si="171"/>
        <v>7</v>
      </c>
      <c r="G741" s="3">
        <f t="shared" si="172"/>
        <v>8</v>
      </c>
      <c r="H741" s="3">
        <f t="shared" si="173"/>
        <v>8</v>
      </c>
      <c r="I741" s="3">
        <f t="shared" si="174"/>
        <v>0</v>
      </c>
      <c r="J741" s="3">
        <f t="shared" si="175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76"/>
        <v>YES</v>
      </c>
      <c r="Q741" t="str">
        <f t="shared" si="177"/>
        <v>NO</v>
      </c>
      <c r="R741" t="str">
        <f t="shared" si="178"/>
        <v>NO</v>
      </c>
      <c r="S741">
        <v>186</v>
      </c>
      <c r="T741" t="s">
        <v>170</v>
      </c>
      <c r="U741" t="str">
        <f t="shared" si="165"/>
        <v>Alewife Brook Pky</v>
      </c>
      <c r="W741" t="str">
        <f t="shared" si="166"/>
        <v/>
      </c>
      <c r="X741" t="str">
        <f>IF(ISBLANK(S741),"Intersection","Non-Intersection")</f>
        <v>Non-Intersection</v>
      </c>
      <c r="Y741" t="s">
        <v>242</v>
      </c>
      <c r="Z741" t="str">
        <f t="shared" si="167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68"/>
        <v>40179</v>
      </c>
      <c r="D742" s="4">
        <f t="shared" si="169"/>
        <v>0.51780821917808217</v>
      </c>
      <c r="E742" s="3">
        <f t="shared" si="170"/>
        <v>2010</v>
      </c>
      <c r="F742" s="3">
        <f t="shared" si="171"/>
        <v>7</v>
      </c>
      <c r="G742" s="3">
        <f t="shared" si="172"/>
        <v>9</v>
      </c>
      <c r="H742" s="3">
        <f t="shared" si="173"/>
        <v>9</v>
      </c>
      <c r="I742" s="3">
        <f t="shared" si="174"/>
        <v>7</v>
      </c>
      <c r="J742" s="3">
        <f t="shared" si="175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76"/>
        <v>YES</v>
      </c>
      <c r="Q742" t="str">
        <f t="shared" si="177"/>
        <v>YES</v>
      </c>
      <c r="R742" t="str">
        <f t="shared" si="178"/>
        <v>NO</v>
      </c>
      <c r="S742">
        <v>1</v>
      </c>
      <c r="T742" t="s">
        <v>74</v>
      </c>
      <c r="U742" t="str">
        <f t="shared" si="165"/>
        <v>Hampshire St</v>
      </c>
      <c r="W742" t="str">
        <f t="shared" si="166"/>
        <v/>
      </c>
      <c r="X742" t="str">
        <f>IF(ISBLANK(S742),"Intersection","Non-Intersection")</f>
        <v>Non-Intersection</v>
      </c>
      <c r="Y742" t="s">
        <v>240</v>
      </c>
      <c r="Z742" t="str">
        <f t="shared" si="167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68"/>
        <v>40179</v>
      </c>
      <c r="D743" s="4">
        <f t="shared" si="169"/>
        <v>0.51780821917808217</v>
      </c>
      <c r="E743" s="3">
        <f t="shared" si="170"/>
        <v>2010</v>
      </c>
      <c r="F743" s="3">
        <f t="shared" si="171"/>
        <v>7</v>
      </c>
      <c r="G743" s="3">
        <f t="shared" si="172"/>
        <v>9</v>
      </c>
      <c r="H743" s="3">
        <f t="shared" si="173"/>
        <v>17</v>
      </c>
      <c r="I743" s="3">
        <f t="shared" si="174"/>
        <v>39</v>
      </c>
      <c r="J743" s="3">
        <f t="shared" si="175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76"/>
        <v>YES</v>
      </c>
      <c r="Q743" t="str">
        <f t="shared" si="177"/>
        <v>NO</v>
      </c>
      <c r="R743" t="str">
        <f t="shared" si="178"/>
        <v>NO</v>
      </c>
      <c r="T743" t="s">
        <v>14</v>
      </c>
      <c r="U743" t="str">
        <f t="shared" si="165"/>
        <v>Massachusetts Ave</v>
      </c>
      <c r="V743" t="s">
        <v>1427</v>
      </c>
      <c r="W743" t="str">
        <f t="shared" si="166"/>
        <v>Harvard Sq</v>
      </c>
      <c r="X743" t="str">
        <f>IF(ISBLANK(S743),"Intersection","Non-Intersection")</f>
        <v>Intersection</v>
      </c>
      <c r="Y743" t="s">
        <v>1428</v>
      </c>
      <c r="Z743" t="str">
        <f t="shared" si="167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68"/>
        <v>40179</v>
      </c>
      <c r="D744" s="4">
        <f t="shared" si="169"/>
        <v>0.51780821917808217</v>
      </c>
      <c r="E744" s="3">
        <f t="shared" si="170"/>
        <v>2010</v>
      </c>
      <c r="F744" s="3">
        <f t="shared" si="171"/>
        <v>7</v>
      </c>
      <c r="G744" s="3">
        <f t="shared" si="172"/>
        <v>9</v>
      </c>
      <c r="H744" s="3">
        <f t="shared" si="173"/>
        <v>11</v>
      </c>
      <c r="I744" s="3">
        <f t="shared" si="174"/>
        <v>29</v>
      </c>
      <c r="J744" s="3">
        <f t="shared" si="175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76"/>
        <v>YES</v>
      </c>
      <c r="Q744" t="str">
        <f t="shared" si="177"/>
        <v>NO</v>
      </c>
      <c r="R744" t="str">
        <f t="shared" si="178"/>
        <v>NO</v>
      </c>
      <c r="T744" t="s">
        <v>19</v>
      </c>
      <c r="U744" t="str">
        <f t="shared" si="165"/>
        <v>Cambridge St</v>
      </c>
      <c r="V744" t="s">
        <v>129</v>
      </c>
      <c r="W744" t="str">
        <f t="shared" si="166"/>
        <v>Cardinal Medeiros Ave</v>
      </c>
      <c r="X744" t="str">
        <f>IF(ISBLANK(S744),"Intersection","Non-Intersection")</f>
        <v>Intersection</v>
      </c>
      <c r="Y744" t="s">
        <v>130</v>
      </c>
      <c r="Z744" t="str">
        <f t="shared" si="167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68"/>
        <v>40179</v>
      </c>
      <c r="D745" s="4">
        <f t="shared" si="169"/>
        <v>0.51780821917808217</v>
      </c>
      <c r="E745" s="3">
        <f t="shared" si="170"/>
        <v>2010</v>
      </c>
      <c r="F745" s="3">
        <f t="shared" si="171"/>
        <v>7</v>
      </c>
      <c r="G745" s="3">
        <f t="shared" si="172"/>
        <v>9</v>
      </c>
      <c r="H745" s="3">
        <f t="shared" si="173"/>
        <v>16</v>
      </c>
      <c r="I745" s="3">
        <f t="shared" si="174"/>
        <v>38</v>
      </c>
      <c r="J745" s="3">
        <f t="shared" si="175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76"/>
        <v>YES</v>
      </c>
      <c r="Q745" t="str">
        <f t="shared" si="177"/>
        <v>YES</v>
      </c>
      <c r="R745" t="str">
        <f t="shared" si="178"/>
        <v>NO</v>
      </c>
      <c r="T745" t="s">
        <v>19</v>
      </c>
      <c r="U745" t="str">
        <f t="shared" si="165"/>
        <v>Cambridge St</v>
      </c>
      <c r="V745" t="s">
        <v>189</v>
      </c>
      <c r="W745" t="str">
        <f t="shared" si="166"/>
        <v>Windsor St</v>
      </c>
      <c r="X745" t="str">
        <f>IF(ISBLANK(S745),"Intersection","Non-Intersection")</f>
        <v>Intersection</v>
      </c>
      <c r="Y745" t="s">
        <v>244</v>
      </c>
      <c r="Z745" t="str">
        <f t="shared" si="167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68"/>
        <v>40179</v>
      </c>
      <c r="D746" s="4">
        <f t="shared" si="169"/>
        <v>0.51780821917808217</v>
      </c>
      <c r="E746" s="3">
        <f t="shared" si="170"/>
        <v>2010</v>
      </c>
      <c r="F746" s="3">
        <f t="shared" si="171"/>
        <v>7</v>
      </c>
      <c r="G746" s="3">
        <f t="shared" si="172"/>
        <v>9</v>
      </c>
      <c r="H746" s="3">
        <f t="shared" si="173"/>
        <v>9</v>
      </c>
      <c r="I746" s="3">
        <f t="shared" si="174"/>
        <v>30</v>
      </c>
      <c r="J746" s="3">
        <f t="shared" si="175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76"/>
        <v>YES</v>
      </c>
      <c r="Q746" t="str">
        <f t="shared" si="177"/>
        <v>NO</v>
      </c>
      <c r="R746" t="str">
        <f t="shared" si="178"/>
        <v>NO</v>
      </c>
      <c r="S746">
        <v>274</v>
      </c>
      <c r="T746" t="s">
        <v>42</v>
      </c>
      <c r="U746" t="str">
        <f t="shared" si="165"/>
        <v>Putnam Ave</v>
      </c>
      <c r="V746" t="s">
        <v>41</v>
      </c>
      <c r="W746" t="str">
        <f t="shared" si="166"/>
        <v>River St</v>
      </c>
      <c r="X746" t="str">
        <f>IF(ISBLANK(S746),"Intersection","Non-Intersection")</f>
        <v>Non-Intersection</v>
      </c>
      <c r="Y746" t="s">
        <v>1430</v>
      </c>
      <c r="Z746" t="str">
        <f t="shared" si="167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68"/>
        <v>40179</v>
      </c>
      <c r="D747" s="4">
        <f t="shared" si="169"/>
        <v>0.52054794520547942</v>
      </c>
      <c r="E747" s="3">
        <f t="shared" si="170"/>
        <v>2010</v>
      </c>
      <c r="F747" s="3">
        <f t="shared" si="171"/>
        <v>7</v>
      </c>
      <c r="G747" s="3">
        <f t="shared" si="172"/>
        <v>10</v>
      </c>
      <c r="H747" s="3">
        <f t="shared" si="173"/>
        <v>15</v>
      </c>
      <c r="I747" s="3">
        <f t="shared" si="174"/>
        <v>0</v>
      </c>
      <c r="J747" s="3">
        <f t="shared" si="175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76"/>
        <v>YES</v>
      </c>
      <c r="Q747" t="str">
        <f t="shared" si="177"/>
        <v>NO</v>
      </c>
      <c r="R747" t="str">
        <f t="shared" si="178"/>
        <v>NO</v>
      </c>
      <c r="T747" t="s">
        <v>14</v>
      </c>
      <c r="U747" t="str">
        <f t="shared" si="165"/>
        <v>Massachusetts Ave</v>
      </c>
      <c r="V747" t="s">
        <v>1432</v>
      </c>
      <c r="W747" t="str">
        <f t="shared" si="166"/>
        <v>Jarvis St</v>
      </c>
      <c r="X747" t="str">
        <f>IF(ISBLANK(S747),"Intersection","Non-Intersection")</f>
        <v>Intersection</v>
      </c>
      <c r="Y747" t="s">
        <v>1433</v>
      </c>
      <c r="Z747" t="str">
        <f t="shared" si="167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68"/>
        <v>40179</v>
      </c>
      <c r="D748" s="4">
        <f t="shared" si="169"/>
        <v>0.52054794520547942</v>
      </c>
      <c r="E748" s="3">
        <f t="shared" si="170"/>
        <v>2010</v>
      </c>
      <c r="F748" s="3">
        <f t="shared" si="171"/>
        <v>7</v>
      </c>
      <c r="G748" s="3">
        <f t="shared" si="172"/>
        <v>10</v>
      </c>
      <c r="H748" s="3">
        <f t="shared" si="173"/>
        <v>14</v>
      </c>
      <c r="I748" s="3">
        <f t="shared" si="174"/>
        <v>3</v>
      </c>
      <c r="J748" s="3">
        <f t="shared" si="175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76"/>
        <v>YES</v>
      </c>
      <c r="Q748" t="str">
        <f t="shared" si="177"/>
        <v>YES</v>
      </c>
      <c r="R748" t="str">
        <f t="shared" si="178"/>
        <v>NO</v>
      </c>
      <c r="S748">
        <v>1899</v>
      </c>
      <c r="T748" t="s">
        <v>14</v>
      </c>
      <c r="U748" t="str">
        <f t="shared" si="165"/>
        <v>Massachusetts Ave</v>
      </c>
      <c r="W748" t="str">
        <f t="shared" si="166"/>
        <v/>
      </c>
      <c r="X748" t="str">
        <f>IF(ISBLANK(S748),"Intersection","Non-Intersection")</f>
        <v>Non-Intersection</v>
      </c>
      <c r="Y748" t="s">
        <v>1435</v>
      </c>
      <c r="Z748" t="str">
        <f t="shared" si="167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68"/>
        <v>40179</v>
      </c>
      <c r="D749" s="4">
        <f t="shared" si="169"/>
        <v>0.52054794520547942</v>
      </c>
      <c r="E749" s="3">
        <f t="shared" si="170"/>
        <v>2010</v>
      </c>
      <c r="F749" s="3">
        <f t="shared" si="171"/>
        <v>7</v>
      </c>
      <c r="G749" s="3">
        <f t="shared" si="172"/>
        <v>10</v>
      </c>
      <c r="H749" s="3">
        <f t="shared" si="173"/>
        <v>14</v>
      </c>
      <c r="I749" s="3">
        <f t="shared" si="174"/>
        <v>15</v>
      </c>
      <c r="J749" s="3">
        <f t="shared" si="175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76"/>
        <v>YES</v>
      </c>
      <c r="Q749" t="str">
        <f t="shared" si="177"/>
        <v>NO</v>
      </c>
      <c r="R749" t="str">
        <f t="shared" si="178"/>
        <v>NO</v>
      </c>
      <c r="T749" t="s">
        <v>195</v>
      </c>
      <c r="U749" t="str">
        <f t="shared" si="165"/>
        <v>Sidney St</v>
      </c>
      <c r="V749" t="s">
        <v>835</v>
      </c>
      <c r="W749" t="str">
        <f t="shared" si="166"/>
        <v>Erie St</v>
      </c>
      <c r="X749" t="str">
        <f>IF(ISBLANK(S749),"Intersection","Non-Intersection")</f>
        <v>Intersection</v>
      </c>
      <c r="Y749" t="s">
        <v>836</v>
      </c>
      <c r="Z749" t="str">
        <f t="shared" si="167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68"/>
        <v>40179</v>
      </c>
      <c r="D750" s="4">
        <f t="shared" si="169"/>
        <v>0.52054794520547942</v>
      </c>
      <c r="E750" s="3">
        <f t="shared" si="170"/>
        <v>2010</v>
      </c>
      <c r="F750" s="3">
        <f t="shared" si="171"/>
        <v>7</v>
      </c>
      <c r="G750" s="3">
        <f t="shared" si="172"/>
        <v>10</v>
      </c>
      <c r="H750" s="3">
        <f t="shared" si="173"/>
        <v>11</v>
      </c>
      <c r="I750" s="3">
        <f t="shared" si="174"/>
        <v>0</v>
      </c>
      <c r="J750" s="3">
        <f t="shared" si="175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76"/>
        <v>YES</v>
      </c>
      <c r="Q750" t="str">
        <f t="shared" si="177"/>
        <v>NO</v>
      </c>
      <c r="R750" t="str">
        <f t="shared" si="178"/>
        <v>NO</v>
      </c>
      <c r="T750" t="s">
        <v>42</v>
      </c>
      <c r="U750" t="str">
        <f t="shared" si="165"/>
        <v>Putnam Ave</v>
      </c>
      <c r="V750" t="s">
        <v>509</v>
      </c>
      <c r="W750" t="str">
        <f t="shared" si="166"/>
        <v>Green St</v>
      </c>
      <c r="X750" t="str">
        <f>IF(ISBLANK(S750),"Intersection","Non-Intersection")</f>
        <v>Intersection</v>
      </c>
      <c r="Y750" t="s">
        <v>1436</v>
      </c>
      <c r="Z750" t="str">
        <f t="shared" si="167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68"/>
        <v>40179</v>
      </c>
      <c r="D751" s="4">
        <f t="shared" si="169"/>
        <v>0.52054794520547942</v>
      </c>
      <c r="E751" s="3">
        <f t="shared" si="170"/>
        <v>2010</v>
      </c>
      <c r="F751" s="3">
        <f t="shared" si="171"/>
        <v>7</v>
      </c>
      <c r="G751" s="3">
        <f t="shared" si="172"/>
        <v>10</v>
      </c>
      <c r="H751" s="3">
        <f t="shared" si="173"/>
        <v>15</v>
      </c>
      <c r="I751" s="3">
        <f t="shared" si="174"/>
        <v>59</v>
      </c>
      <c r="J751" s="3">
        <f t="shared" si="175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76"/>
        <v>YES</v>
      </c>
      <c r="Q751" t="str">
        <f t="shared" si="177"/>
        <v>NO</v>
      </c>
      <c r="R751" t="str">
        <f t="shared" si="178"/>
        <v>NO</v>
      </c>
      <c r="S751">
        <v>11</v>
      </c>
      <c r="T751" t="s">
        <v>1438</v>
      </c>
      <c r="U751" t="str">
        <f t="shared" si="165"/>
        <v>Dunster St</v>
      </c>
      <c r="W751" t="str">
        <f t="shared" si="166"/>
        <v/>
      </c>
      <c r="X751" t="str">
        <f>IF(ISBLANK(S751),"Intersection","Non-Intersection")</f>
        <v>Non-Intersection</v>
      </c>
      <c r="Y751" t="s">
        <v>1439</v>
      </c>
      <c r="Z751" t="str">
        <f t="shared" si="167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68"/>
        <v>40179</v>
      </c>
      <c r="D752" s="4">
        <f t="shared" si="169"/>
        <v>0.52054794520547942</v>
      </c>
      <c r="E752" s="3">
        <f t="shared" si="170"/>
        <v>2010</v>
      </c>
      <c r="F752" s="3">
        <f t="shared" si="171"/>
        <v>7</v>
      </c>
      <c r="G752" s="3">
        <f t="shared" si="172"/>
        <v>10</v>
      </c>
      <c r="H752" s="3">
        <f t="shared" si="173"/>
        <v>1</v>
      </c>
      <c r="I752" s="3">
        <f t="shared" si="174"/>
        <v>15</v>
      </c>
      <c r="J752" s="3">
        <f t="shared" si="175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76"/>
        <v>YES</v>
      </c>
      <c r="Q752" t="str">
        <f t="shared" si="177"/>
        <v>NO</v>
      </c>
      <c r="R752" t="str">
        <f t="shared" si="178"/>
        <v>NO</v>
      </c>
      <c r="T752" t="s">
        <v>28</v>
      </c>
      <c r="U752" t="str">
        <f t="shared" si="165"/>
        <v>Howard St</v>
      </c>
      <c r="V752" t="s">
        <v>1024</v>
      </c>
      <c r="W752" t="str">
        <f t="shared" si="166"/>
        <v>Kinnaird St</v>
      </c>
      <c r="X752" t="str">
        <f>IF(ISBLANK(S752),"Intersection","Non-Intersection")</f>
        <v>Intersection</v>
      </c>
      <c r="Y752" t="s">
        <v>1441</v>
      </c>
      <c r="Z752" t="str">
        <f t="shared" si="167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68"/>
        <v>40179</v>
      </c>
      <c r="D753" s="4">
        <f t="shared" si="169"/>
        <v>0.52328767123287667</v>
      </c>
      <c r="E753" s="3">
        <f t="shared" si="170"/>
        <v>2010</v>
      </c>
      <c r="F753" s="3">
        <f t="shared" si="171"/>
        <v>7</v>
      </c>
      <c r="G753" s="3">
        <f t="shared" si="172"/>
        <v>11</v>
      </c>
      <c r="H753" s="3">
        <f t="shared" si="173"/>
        <v>19</v>
      </c>
      <c r="I753" s="3">
        <f t="shared" si="174"/>
        <v>19</v>
      </c>
      <c r="J753" s="3">
        <f t="shared" si="175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76"/>
        <v>YES</v>
      </c>
      <c r="Q753" t="str">
        <f t="shared" si="177"/>
        <v>NO</v>
      </c>
      <c r="R753" t="str">
        <f t="shared" si="178"/>
        <v>NO</v>
      </c>
      <c r="S753">
        <v>18</v>
      </c>
      <c r="T753" t="s">
        <v>199</v>
      </c>
      <c r="U753" t="str">
        <f t="shared" si="165"/>
        <v>Brattle St</v>
      </c>
      <c r="W753" t="str">
        <f t="shared" si="166"/>
        <v/>
      </c>
      <c r="X753" t="str">
        <f>IF(ISBLANK(S753),"Intersection","Non-Intersection")</f>
        <v>Non-Intersection</v>
      </c>
      <c r="Y753" t="s">
        <v>1443</v>
      </c>
      <c r="Z753" t="str">
        <f t="shared" si="167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68"/>
        <v>40179</v>
      </c>
      <c r="D754" s="4">
        <f t="shared" si="169"/>
        <v>0.52328767123287667</v>
      </c>
      <c r="E754" s="3">
        <f t="shared" si="170"/>
        <v>2010</v>
      </c>
      <c r="F754" s="3">
        <f t="shared" si="171"/>
        <v>7</v>
      </c>
      <c r="G754" s="3">
        <f t="shared" si="172"/>
        <v>11</v>
      </c>
      <c r="H754" s="3">
        <f t="shared" si="173"/>
        <v>18</v>
      </c>
      <c r="I754" s="3">
        <f t="shared" si="174"/>
        <v>24</v>
      </c>
      <c r="J754" s="3">
        <f t="shared" si="175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76"/>
        <v>YES</v>
      </c>
      <c r="Q754" t="str">
        <f t="shared" si="177"/>
        <v>NO</v>
      </c>
      <c r="R754" t="str">
        <f t="shared" si="178"/>
        <v>NO</v>
      </c>
      <c r="T754" t="s">
        <v>27</v>
      </c>
      <c r="U754" t="str">
        <f t="shared" si="165"/>
        <v>Western Ave</v>
      </c>
      <c r="V754" t="s">
        <v>28</v>
      </c>
      <c r="W754" t="str">
        <f t="shared" si="166"/>
        <v>Howard St</v>
      </c>
      <c r="X754" t="str">
        <f>IF(ISBLANK(S754),"Intersection","Non-Intersection")</f>
        <v>Intersection</v>
      </c>
      <c r="Y754" t="s">
        <v>29</v>
      </c>
      <c r="Z754" t="str">
        <f t="shared" si="167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68"/>
        <v>40179</v>
      </c>
      <c r="D755" s="4">
        <f t="shared" si="169"/>
        <v>0.52328767123287667</v>
      </c>
      <c r="E755" s="3">
        <f t="shared" si="170"/>
        <v>2010</v>
      </c>
      <c r="F755" s="3">
        <f t="shared" si="171"/>
        <v>7</v>
      </c>
      <c r="G755" s="3">
        <f t="shared" si="172"/>
        <v>11</v>
      </c>
      <c r="H755" s="3">
        <f t="shared" si="173"/>
        <v>2</v>
      </c>
      <c r="I755" s="3">
        <f t="shared" si="174"/>
        <v>0</v>
      </c>
      <c r="J755" s="3">
        <f t="shared" si="175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76"/>
        <v>YES</v>
      </c>
      <c r="Q755" t="str">
        <f t="shared" si="177"/>
        <v>NO</v>
      </c>
      <c r="R755" t="str">
        <f t="shared" si="178"/>
        <v>NO</v>
      </c>
      <c r="S755">
        <v>98</v>
      </c>
      <c r="T755" t="s">
        <v>14</v>
      </c>
      <c r="U755" t="str">
        <f t="shared" si="165"/>
        <v>Massachusetts Ave</v>
      </c>
      <c r="W755" t="str">
        <f t="shared" si="166"/>
        <v/>
      </c>
      <c r="X755" t="str">
        <f>IF(ISBLANK(S755),"Intersection","Non-Intersection")</f>
        <v>Non-Intersection</v>
      </c>
      <c r="Y755" t="s">
        <v>1445</v>
      </c>
      <c r="Z755" t="str">
        <f t="shared" si="167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68"/>
        <v>40179</v>
      </c>
      <c r="D756" s="4">
        <f t="shared" si="169"/>
        <v>0.52328767123287667</v>
      </c>
      <c r="E756" s="3">
        <f t="shared" si="170"/>
        <v>2010</v>
      </c>
      <c r="F756" s="3">
        <f t="shared" si="171"/>
        <v>7</v>
      </c>
      <c r="G756" s="3">
        <f t="shared" si="172"/>
        <v>11</v>
      </c>
      <c r="H756" s="3">
        <f t="shared" si="173"/>
        <v>18</v>
      </c>
      <c r="I756" s="3">
        <f t="shared" si="174"/>
        <v>14</v>
      </c>
      <c r="J756" s="3">
        <f t="shared" si="175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76"/>
        <v>YES</v>
      </c>
      <c r="Q756" t="str">
        <f t="shared" si="177"/>
        <v>NO</v>
      </c>
      <c r="R756" t="str">
        <f t="shared" si="178"/>
        <v>NO</v>
      </c>
      <c r="T756" t="s">
        <v>342</v>
      </c>
      <c r="U756" t="str">
        <f t="shared" si="165"/>
        <v>Prospect St</v>
      </c>
      <c r="V756" t="s">
        <v>74</v>
      </c>
      <c r="W756" t="str">
        <f t="shared" si="166"/>
        <v>Hampshire St</v>
      </c>
      <c r="X756" t="str">
        <f>IF(ISBLANK(S756),"Intersection","Non-Intersection")</f>
        <v>Intersection</v>
      </c>
      <c r="Y756" t="s">
        <v>964</v>
      </c>
      <c r="Z756" t="str">
        <f t="shared" si="167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68"/>
        <v>40179</v>
      </c>
      <c r="D757" s="4">
        <f t="shared" si="169"/>
        <v>0.52602739726027392</v>
      </c>
      <c r="E757" s="3">
        <f t="shared" si="170"/>
        <v>2010</v>
      </c>
      <c r="F757" s="3">
        <f t="shared" si="171"/>
        <v>7</v>
      </c>
      <c r="G757" s="3">
        <f t="shared" si="172"/>
        <v>12</v>
      </c>
      <c r="H757" s="3">
        <f t="shared" si="173"/>
        <v>16</v>
      </c>
      <c r="I757" s="3">
        <f t="shared" si="174"/>
        <v>43</v>
      </c>
      <c r="J757" s="3">
        <f t="shared" si="175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76"/>
        <v>YES</v>
      </c>
      <c r="Q757" t="str">
        <f t="shared" si="177"/>
        <v>NO</v>
      </c>
      <c r="R757" t="str">
        <f t="shared" si="178"/>
        <v>NO</v>
      </c>
      <c r="T757" t="s">
        <v>74</v>
      </c>
      <c r="U757" t="str">
        <f t="shared" si="165"/>
        <v>Hampshire St</v>
      </c>
      <c r="V757" t="s">
        <v>189</v>
      </c>
      <c r="W757" t="str">
        <f t="shared" si="166"/>
        <v>Windsor St</v>
      </c>
      <c r="X757" t="str">
        <f>IF(ISBLANK(S757),"Intersection","Non-Intersection")</f>
        <v>Intersection</v>
      </c>
      <c r="Y757" t="s">
        <v>1447</v>
      </c>
      <c r="Z757" t="str">
        <f t="shared" si="167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68"/>
        <v>40179</v>
      </c>
      <c r="D758" s="4">
        <f t="shared" si="169"/>
        <v>0.52602739726027392</v>
      </c>
      <c r="E758" s="3">
        <f t="shared" si="170"/>
        <v>2010</v>
      </c>
      <c r="F758" s="3">
        <f t="shared" si="171"/>
        <v>7</v>
      </c>
      <c r="G758" s="3">
        <f t="shared" si="172"/>
        <v>12</v>
      </c>
      <c r="H758" s="3">
        <f t="shared" si="173"/>
        <v>6</v>
      </c>
      <c r="I758" s="3">
        <f t="shared" si="174"/>
        <v>49</v>
      </c>
      <c r="J758" s="3">
        <f t="shared" si="175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76"/>
        <v>YES</v>
      </c>
      <c r="Q758" t="str">
        <f t="shared" si="177"/>
        <v>NO</v>
      </c>
      <c r="R758" t="str">
        <f t="shared" si="178"/>
        <v>NO</v>
      </c>
      <c r="T758" t="s">
        <v>105</v>
      </c>
      <c r="U758" t="str">
        <f t="shared" si="165"/>
        <v>Broadway</v>
      </c>
      <c r="V758" t="s">
        <v>396</v>
      </c>
      <c r="W758" t="str">
        <f t="shared" si="166"/>
        <v>Prescott St</v>
      </c>
      <c r="X758" t="str">
        <f>IF(ISBLANK(S758),"Intersection","Non-Intersection")</f>
        <v>Intersection</v>
      </c>
      <c r="Y758" t="s">
        <v>397</v>
      </c>
      <c r="Z758" t="str">
        <f t="shared" si="167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68"/>
        <v>40179</v>
      </c>
      <c r="D759" s="4">
        <f t="shared" si="169"/>
        <v>0.52602739726027392</v>
      </c>
      <c r="E759" s="3">
        <f t="shared" si="170"/>
        <v>2010</v>
      </c>
      <c r="F759" s="3">
        <f t="shared" si="171"/>
        <v>7</v>
      </c>
      <c r="G759" s="3">
        <f t="shared" si="172"/>
        <v>12</v>
      </c>
      <c r="H759" s="3">
        <f t="shared" si="173"/>
        <v>13</v>
      </c>
      <c r="I759" s="3">
        <f t="shared" si="174"/>
        <v>30</v>
      </c>
      <c r="J759" s="3">
        <f t="shared" si="175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76"/>
        <v>YES</v>
      </c>
      <c r="Q759" t="str">
        <f t="shared" si="177"/>
        <v>NO</v>
      </c>
      <c r="R759" t="str">
        <f t="shared" si="178"/>
        <v>NO</v>
      </c>
      <c r="T759" t="s">
        <v>195</v>
      </c>
      <c r="U759" t="str">
        <f t="shared" si="165"/>
        <v>Sidney St</v>
      </c>
      <c r="V759" t="s">
        <v>835</v>
      </c>
      <c r="W759" t="str">
        <f t="shared" si="166"/>
        <v>Erie St</v>
      </c>
      <c r="X759" t="str">
        <f>IF(ISBLANK(S759),"Intersection","Non-Intersection")</f>
        <v>Intersection</v>
      </c>
      <c r="Y759" t="s">
        <v>836</v>
      </c>
      <c r="Z759" t="str">
        <f t="shared" si="167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68"/>
        <v>40179</v>
      </c>
      <c r="D760" s="4">
        <f t="shared" si="169"/>
        <v>0.52602739726027392</v>
      </c>
      <c r="E760" s="3">
        <f t="shared" si="170"/>
        <v>2010</v>
      </c>
      <c r="F760" s="3">
        <f t="shared" si="171"/>
        <v>7</v>
      </c>
      <c r="G760" s="3">
        <f t="shared" si="172"/>
        <v>12</v>
      </c>
      <c r="H760" s="3">
        <f t="shared" si="173"/>
        <v>8</v>
      </c>
      <c r="I760" s="3">
        <f t="shared" si="174"/>
        <v>39</v>
      </c>
      <c r="J760" s="3">
        <f t="shared" si="175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76"/>
        <v>YES</v>
      </c>
      <c r="Q760" t="str">
        <f t="shared" si="177"/>
        <v>NO</v>
      </c>
      <c r="R760" t="str">
        <f t="shared" si="178"/>
        <v>NO</v>
      </c>
      <c r="S760">
        <v>167</v>
      </c>
      <c r="T760" t="s">
        <v>42</v>
      </c>
      <c r="U760" t="str">
        <f t="shared" si="165"/>
        <v>Putnam Ave</v>
      </c>
      <c r="W760" t="str">
        <f t="shared" si="166"/>
        <v/>
      </c>
      <c r="X760" t="str">
        <f>IF(ISBLANK(S760),"Intersection","Non-Intersection")</f>
        <v>Non-Intersection</v>
      </c>
      <c r="Y760" t="s">
        <v>1449</v>
      </c>
      <c r="Z760" t="str">
        <f t="shared" si="167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68"/>
        <v>40179</v>
      </c>
      <c r="D761" s="4">
        <f t="shared" si="169"/>
        <v>0.52876712328767128</v>
      </c>
      <c r="E761" s="3">
        <f t="shared" si="170"/>
        <v>2010</v>
      </c>
      <c r="F761" s="3">
        <f t="shared" si="171"/>
        <v>7</v>
      </c>
      <c r="G761" s="3">
        <f t="shared" si="172"/>
        <v>13</v>
      </c>
      <c r="H761" s="3">
        <f t="shared" si="173"/>
        <v>12</v>
      </c>
      <c r="I761" s="3">
        <f t="shared" si="174"/>
        <v>0</v>
      </c>
      <c r="J761" s="3">
        <f t="shared" si="175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76"/>
        <v>YES</v>
      </c>
      <c r="Q761" t="str">
        <f t="shared" si="177"/>
        <v>NO</v>
      </c>
      <c r="R761" t="str">
        <f t="shared" si="178"/>
        <v>NO</v>
      </c>
      <c r="T761" t="s">
        <v>19</v>
      </c>
      <c r="U761" t="str">
        <f t="shared" si="165"/>
        <v>Cambridge St</v>
      </c>
      <c r="V761" t="s">
        <v>737</v>
      </c>
      <c r="W761" t="str">
        <f t="shared" si="166"/>
        <v>Willow St</v>
      </c>
      <c r="X761" t="str">
        <f>IF(ISBLANK(S761),"Intersection","Non-Intersection")</f>
        <v>Intersection</v>
      </c>
      <c r="Y761" t="s">
        <v>1451</v>
      </c>
      <c r="Z761" t="str">
        <f t="shared" si="167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68"/>
        <v>40179</v>
      </c>
      <c r="D762" s="4">
        <f t="shared" si="169"/>
        <v>0.52876712328767128</v>
      </c>
      <c r="E762" s="3">
        <f t="shared" si="170"/>
        <v>2010</v>
      </c>
      <c r="F762" s="3">
        <f t="shared" si="171"/>
        <v>7</v>
      </c>
      <c r="G762" s="3">
        <f t="shared" si="172"/>
        <v>13</v>
      </c>
      <c r="H762" s="3">
        <f t="shared" si="173"/>
        <v>16</v>
      </c>
      <c r="I762" s="3">
        <f t="shared" si="174"/>
        <v>54</v>
      </c>
      <c r="J762" s="3">
        <f t="shared" si="175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76"/>
        <v>YES</v>
      </c>
      <c r="Q762" t="str">
        <f t="shared" si="177"/>
        <v>YES</v>
      </c>
      <c r="R762" t="str">
        <f t="shared" si="178"/>
        <v>NO</v>
      </c>
      <c r="S762" t="s">
        <v>1453</v>
      </c>
      <c r="T762" t="s">
        <v>74</v>
      </c>
      <c r="U762" t="str">
        <f t="shared" si="165"/>
        <v>Hampshire St</v>
      </c>
      <c r="W762" t="str">
        <f t="shared" si="166"/>
        <v/>
      </c>
      <c r="X762" t="str">
        <f>IF(ISBLANK(S762),"Intersection","Non-Intersection")</f>
        <v>Non-Intersection</v>
      </c>
      <c r="Y762" t="s">
        <v>1454</v>
      </c>
      <c r="Z762" t="str">
        <f t="shared" si="167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68"/>
        <v>40179</v>
      </c>
      <c r="D763" s="4">
        <f t="shared" si="169"/>
        <v>0.52876712328767128</v>
      </c>
      <c r="E763" s="3">
        <f t="shared" si="170"/>
        <v>2010</v>
      </c>
      <c r="F763" s="3">
        <f t="shared" si="171"/>
        <v>7</v>
      </c>
      <c r="G763" s="3">
        <f t="shared" si="172"/>
        <v>13</v>
      </c>
      <c r="H763" s="3">
        <f t="shared" si="173"/>
        <v>11</v>
      </c>
      <c r="I763" s="3">
        <f t="shared" si="174"/>
        <v>29</v>
      </c>
      <c r="J763" s="3">
        <f t="shared" si="175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76"/>
        <v>YES</v>
      </c>
      <c r="Q763" t="str">
        <f t="shared" si="177"/>
        <v>NO</v>
      </c>
      <c r="R763" t="str">
        <f t="shared" si="178"/>
        <v>NO</v>
      </c>
      <c r="S763">
        <v>119</v>
      </c>
      <c r="T763" t="s">
        <v>379</v>
      </c>
      <c r="U763" t="str">
        <f t="shared" si="165"/>
        <v>Second St</v>
      </c>
      <c r="W763" t="str">
        <f t="shared" si="166"/>
        <v/>
      </c>
      <c r="X763" t="str">
        <f>IF(ISBLANK(S763),"Intersection","Non-Intersection")</f>
        <v>Non-Intersection</v>
      </c>
      <c r="Y763" t="s">
        <v>1456</v>
      </c>
      <c r="Z763" t="str">
        <f t="shared" si="167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68"/>
        <v>40179</v>
      </c>
      <c r="D764" s="4">
        <f t="shared" si="169"/>
        <v>0.52876712328767128</v>
      </c>
      <c r="E764" s="3">
        <f t="shared" si="170"/>
        <v>2010</v>
      </c>
      <c r="F764" s="3">
        <f t="shared" si="171"/>
        <v>7</v>
      </c>
      <c r="G764" s="3">
        <f t="shared" si="172"/>
        <v>13</v>
      </c>
      <c r="H764" s="3">
        <f t="shared" si="173"/>
        <v>18</v>
      </c>
      <c r="I764" s="3">
        <f t="shared" si="174"/>
        <v>1</v>
      </c>
      <c r="J764" s="3">
        <f t="shared" si="175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76"/>
        <v>YES</v>
      </c>
      <c r="Q764" t="str">
        <f t="shared" si="177"/>
        <v>YES</v>
      </c>
      <c r="R764" t="str">
        <f t="shared" si="178"/>
        <v>NO</v>
      </c>
      <c r="T764" t="s">
        <v>199</v>
      </c>
      <c r="U764" t="str">
        <f t="shared" si="165"/>
        <v>Brattle St</v>
      </c>
      <c r="V764" t="s">
        <v>1458</v>
      </c>
      <c r="W764" t="str">
        <f t="shared" si="166"/>
        <v>Hilliard St</v>
      </c>
      <c r="X764" t="str">
        <f>IF(ISBLANK(S764),"Intersection","Non-Intersection")</f>
        <v>Intersection</v>
      </c>
      <c r="Y764" t="s">
        <v>1459</v>
      </c>
      <c r="Z764" t="str">
        <f t="shared" si="167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68"/>
        <v>40179</v>
      </c>
      <c r="D765" s="4">
        <f t="shared" si="169"/>
        <v>0.53150684931506853</v>
      </c>
      <c r="E765" s="3">
        <f t="shared" si="170"/>
        <v>2010</v>
      </c>
      <c r="F765" s="3">
        <f t="shared" si="171"/>
        <v>7</v>
      </c>
      <c r="G765" s="3">
        <f t="shared" si="172"/>
        <v>14</v>
      </c>
      <c r="H765" s="3">
        <f t="shared" si="173"/>
        <v>17</v>
      </c>
      <c r="I765" s="3">
        <f t="shared" si="174"/>
        <v>33</v>
      </c>
      <c r="J765" s="3">
        <f t="shared" si="175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76"/>
        <v>YES</v>
      </c>
      <c r="Q765" t="str">
        <f t="shared" si="177"/>
        <v>YES</v>
      </c>
      <c r="R765" t="str">
        <f t="shared" si="178"/>
        <v>NO</v>
      </c>
      <c r="T765" t="s">
        <v>185</v>
      </c>
      <c r="U765" t="str">
        <f t="shared" si="165"/>
        <v>Garden St</v>
      </c>
      <c r="V765" t="s">
        <v>252</v>
      </c>
      <c r="W765" t="str">
        <f t="shared" si="166"/>
        <v>Walden St</v>
      </c>
      <c r="X765" t="str">
        <f>IF(ISBLANK(S765),"Intersection","Non-Intersection")</f>
        <v>Intersection</v>
      </c>
      <c r="Y765" t="s">
        <v>1460</v>
      </c>
      <c r="Z765" t="str">
        <f t="shared" si="167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68"/>
        <v>40179</v>
      </c>
      <c r="D766" s="4">
        <f t="shared" si="169"/>
        <v>0.53150684931506853</v>
      </c>
      <c r="E766" s="3">
        <f t="shared" si="170"/>
        <v>2010</v>
      </c>
      <c r="F766" s="3">
        <f t="shared" si="171"/>
        <v>7</v>
      </c>
      <c r="G766" s="3">
        <f t="shared" si="172"/>
        <v>14</v>
      </c>
      <c r="H766" s="3">
        <f t="shared" si="173"/>
        <v>21</v>
      </c>
      <c r="I766" s="3">
        <f t="shared" si="174"/>
        <v>11</v>
      </c>
      <c r="J766" s="3">
        <f t="shared" si="175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76"/>
        <v>YES</v>
      </c>
      <c r="Q766" t="str">
        <f t="shared" si="177"/>
        <v>NO</v>
      </c>
      <c r="R766" t="str">
        <f t="shared" si="178"/>
        <v>NO</v>
      </c>
      <c r="T766" t="s">
        <v>1462</v>
      </c>
      <c r="U766" t="str">
        <f t="shared" si="165"/>
        <v>Spring Pl</v>
      </c>
      <c r="V766" t="s">
        <v>260</v>
      </c>
      <c r="W766" t="str">
        <f t="shared" si="166"/>
        <v>Third St</v>
      </c>
      <c r="X766" t="str">
        <f>IF(ISBLANK(S766),"Intersection","Non-Intersection")</f>
        <v>Intersection</v>
      </c>
      <c r="Y766" t="s">
        <v>1463</v>
      </c>
      <c r="Z766" t="str">
        <f t="shared" si="167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68"/>
        <v>40179</v>
      </c>
      <c r="D767" s="4">
        <f t="shared" si="169"/>
        <v>0.53150684931506853</v>
      </c>
      <c r="E767" s="3">
        <f t="shared" si="170"/>
        <v>2010</v>
      </c>
      <c r="F767" s="3">
        <f t="shared" si="171"/>
        <v>7</v>
      </c>
      <c r="G767" s="3">
        <f t="shared" si="172"/>
        <v>14</v>
      </c>
      <c r="H767" s="3">
        <f t="shared" si="173"/>
        <v>10</v>
      </c>
      <c r="I767" s="3">
        <f t="shared" si="174"/>
        <v>34</v>
      </c>
      <c r="J767" s="3">
        <f t="shared" si="175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76"/>
        <v>YES</v>
      </c>
      <c r="Q767" t="str">
        <f t="shared" si="177"/>
        <v>NO</v>
      </c>
      <c r="R767" t="str">
        <f t="shared" si="178"/>
        <v>NO</v>
      </c>
      <c r="T767" t="s">
        <v>1465</v>
      </c>
      <c r="U767" t="str">
        <f t="shared" si="165"/>
        <v>Terminal Rd</v>
      </c>
      <c r="W767" t="str">
        <f t="shared" si="166"/>
        <v/>
      </c>
      <c r="X767" t="str">
        <f>IF(ISBLANK(S767),"Intersection","Non-Intersection")</f>
        <v>Intersection</v>
      </c>
      <c r="Y767" t="s">
        <v>1466</v>
      </c>
      <c r="Z767" t="str">
        <f t="shared" si="167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68"/>
        <v>40179</v>
      </c>
      <c r="D768" s="4">
        <f t="shared" si="169"/>
        <v>0.53150684931506853</v>
      </c>
      <c r="E768" s="3">
        <f t="shared" si="170"/>
        <v>2010</v>
      </c>
      <c r="F768" s="3">
        <f t="shared" si="171"/>
        <v>7</v>
      </c>
      <c r="G768" s="3">
        <f t="shared" si="172"/>
        <v>14</v>
      </c>
      <c r="H768" s="3">
        <f t="shared" si="173"/>
        <v>7</v>
      </c>
      <c r="I768" s="3">
        <f t="shared" si="174"/>
        <v>27</v>
      </c>
      <c r="J768" s="3">
        <f t="shared" si="175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76"/>
        <v>YES</v>
      </c>
      <c r="Q768" t="str">
        <f t="shared" si="177"/>
        <v>NO</v>
      </c>
      <c r="R768" t="str">
        <f t="shared" si="178"/>
        <v>YES</v>
      </c>
      <c r="T768" t="s">
        <v>342</v>
      </c>
      <c r="U768" t="str">
        <f t="shared" si="165"/>
        <v>Prospect St</v>
      </c>
      <c r="V768" t="s">
        <v>105</v>
      </c>
      <c r="W768" t="str">
        <f t="shared" si="166"/>
        <v>Broadway</v>
      </c>
      <c r="X768" t="str">
        <f>IF(ISBLANK(S768),"Intersection","Non-Intersection")</f>
        <v>Intersection</v>
      </c>
      <c r="Y768" t="s">
        <v>725</v>
      </c>
      <c r="Z768" t="str">
        <f t="shared" si="167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68"/>
        <v>40179</v>
      </c>
      <c r="D769" s="4">
        <f t="shared" si="169"/>
        <v>0.53150684931506853</v>
      </c>
      <c r="E769" s="3">
        <f t="shared" si="170"/>
        <v>2010</v>
      </c>
      <c r="F769" s="3">
        <f t="shared" si="171"/>
        <v>7</v>
      </c>
      <c r="G769" s="3">
        <f t="shared" si="172"/>
        <v>14</v>
      </c>
      <c r="H769" s="3">
        <f t="shared" si="173"/>
        <v>10</v>
      </c>
      <c r="I769" s="3">
        <f t="shared" si="174"/>
        <v>15</v>
      </c>
      <c r="J769" s="3">
        <f t="shared" si="175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76"/>
        <v>YES</v>
      </c>
      <c r="Q769" t="str">
        <f t="shared" si="177"/>
        <v>NO</v>
      </c>
      <c r="R769" t="str">
        <f t="shared" si="178"/>
        <v>NO</v>
      </c>
      <c r="T769" t="s">
        <v>14</v>
      </c>
      <c r="U769" t="str">
        <f t="shared" si="165"/>
        <v>Massachusetts Ave</v>
      </c>
      <c r="V769" t="s">
        <v>472</v>
      </c>
      <c r="W769" t="str">
        <f t="shared" si="166"/>
        <v>Day St</v>
      </c>
      <c r="X769" t="str">
        <f>IF(ISBLANK(S769),"Intersection","Non-Intersection")</f>
        <v>Intersection</v>
      </c>
      <c r="Y769" t="s">
        <v>473</v>
      </c>
      <c r="Z769" t="str">
        <f t="shared" si="167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68"/>
        <v>40179</v>
      </c>
      <c r="D770" s="4">
        <f t="shared" si="169"/>
        <v>0.53150684931506853</v>
      </c>
      <c r="E770" s="3">
        <f t="shared" si="170"/>
        <v>2010</v>
      </c>
      <c r="F770" s="3">
        <f t="shared" si="171"/>
        <v>7</v>
      </c>
      <c r="G770" s="3">
        <f t="shared" si="172"/>
        <v>14</v>
      </c>
      <c r="H770" s="3">
        <f t="shared" si="173"/>
        <v>17</v>
      </c>
      <c r="I770" s="3">
        <f t="shared" si="174"/>
        <v>29</v>
      </c>
      <c r="J770" s="3">
        <f t="shared" si="175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76"/>
        <v>YES</v>
      </c>
      <c r="Q770" t="str">
        <f t="shared" si="177"/>
        <v>YES</v>
      </c>
      <c r="R770" t="str">
        <f t="shared" si="178"/>
        <v>NO</v>
      </c>
      <c r="T770" t="s">
        <v>14</v>
      </c>
      <c r="U770" t="str">
        <f t="shared" si="165"/>
        <v>Massachusetts Ave</v>
      </c>
      <c r="V770" t="s">
        <v>1427</v>
      </c>
      <c r="W770" t="str">
        <f t="shared" si="166"/>
        <v>Harvard Sq</v>
      </c>
      <c r="X770" t="str">
        <f>IF(ISBLANK(S770),"Intersection","Non-Intersection")</f>
        <v>Intersection</v>
      </c>
      <c r="Y770" t="s">
        <v>1428</v>
      </c>
      <c r="Z770" t="str">
        <f t="shared" si="167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68"/>
        <v>40179</v>
      </c>
      <c r="D771" s="4">
        <f t="shared" si="169"/>
        <v>0.53424657534246578</v>
      </c>
      <c r="E771" s="3">
        <f t="shared" si="170"/>
        <v>2010</v>
      </c>
      <c r="F771" s="3">
        <f t="shared" si="171"/>
        <v>7</v>
      </c>
      <c r="G771" s="3">
        <f t="shared" si="172"/>
        <v>15</v>
      </c>
      <c r="H771" s="3">
        <f t="shared" si="173"/>
        <v>8</v>
      </c>
      <c r="I771" s="3">
        <f t="shared" si="174"/>
        <v>29</v>
      </c>
      <c r="J771" s="3">
        <f t="shared" si="175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76"/>
        <v>YES</v>
      </c>
      <c r="Q771" t="str">
        <f t="shared" si="177"/>
        <v>NO</v>
      </c>
      <c r="R771" t="str">
        <f t="shared" si="178"/>
        <v>NO</v>
      </c>
      <c r="S771">
        <v>38</v>
      </c>
      <c r="T771" t="s">
        <v>238</v>
      </c>
      <c r="U771" t="str">
        <f t="shared" ref="U771:U834" si="179">TRIM(PROPER(T771))</f>
        <v>Kirkland St</v>
      </c>
      <c r="W771" t="str">
        <f t="shared" ref="W771:W834" si="180">TRIM(PROPER(V771))</f>
        <v/>
      </c>
      <c r="X771" t="str">
        <f>IF(ISBLANK(S771),"Intersection","Non-Intersection")</f>
        <v>Non-Intersection</v>
      </c>
      <c r="Y771" t="s">
        <v>1467</v>
      </c>
      <c r="Z771" t="str">
        <f t="shared" ref="Z771:Z834" si="181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68"/>
        <v>40179</v>
      </c>
      <c r="D772" s="4">
        <f t="shared" si="169"/>
        <v>0.53424657534246578</v>
      </c>
      <c r="E772" s="3">
        <f t="shared" si="170"/>
        <v>2010</v>
      </c>
      <c r="F772" s="3">
        <f t="shared" si="171"/>
        <v>7</v>
      </c>
      <c r="G772" s="3">
        <f t="shared" si="172"/>
        <v>15</v>
      </c>
      <c r="H772" s="3">
        <f t="shared" si="173"/>
        <v>8</v>
      </c>
      <c r="I772" s="3">
        <f t="shared" si="174"/>
        <v>29</v>
      </c>
      <c r="J772" s="3">
        <f t="shared" si="175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76"/>
        <v>YES</v>
      </c>
      <c r="Q772" t="str">
        <f t="shared" si="177"/>
        <v>NO</v>
      </c>
      <c r="R772" t="str">
        <f t="shared" si="178"/>
        <v>NO</v>
      </c>
      <c r="S772">
        <v>38</v>
      </c>
      <c r="T772" t="s">
        <v>238</v>
      </c>
      <c r="U772" t="str">
        <f t="shared" si="179"/>
        <v>Kirkland St</v>
      </c>
      <c r="W772" t="str">
        <f t="shared" si="180"/>
        <v/>
      </c>
      <c r="X772" t="str">
        <f>IF(ISBLANK(S772),"Intersection","Non-Intersection")</f>
        <v>Non-Intersection</v>
      </c>
      <c r="Y772" t="s">
        <v>1467</v>
      </c>
      <c r="Z772" t="str">
        <f t="shared" si="181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68"/>
        <v>40179</v>
      </c>
      <c r="D773" s="4">
        <f t="shared" si="169"/>
        <v>0.53424657534246578</v>
      </c>
      <c r="E773" s="3">
        <f t="shared" si="170"/>
        <v>2010</v>
      </c>
      <c r="F773" s="3">
        <f t="shared" si="171"/>
        <v>7</v>
      </c>
      <c r="G773" s="3">
        <f t="shared" si="172"/>
        <v>15</v>
      </c>
      <c r="H773" s="3">
        <f t="shared" si="173"/>
        <v>9</v>
      </c>
      <c r="I773" s="3">
        <f t="shared" si="174"/>
        <v>45</v>
      </c>
      <c r="J773" s="3">
        <f t="shared" si="175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76"/>
        <v>YES</v>
      </c>
      <c r="Q773" t="str">
        <f t="shared" si="177"/>
        <v>NO</v>
      </c>
      <c r="R773" t="str">
        <f t="shared" si="178"/>
        <v>NO</v>
      </c>
      <c r="S773">
        <v>9</v>
      </c>
      <c r="T773" t="s">
        <v>1469</v>
      </c>
      <c r="U773" t="str">
        <f t="shared" si="179"/>
        <v>Fresh Pond Ln</v>
      </c>
      <c r="W773" t="str">
        <f t="shared" si="180"/>
        <v/>
      </c>
      <c r="X773" t="str">
        <f>IF(ISBLANK(S773),"Intersection","Non-Intersection")</f>
        <v>Non-Intersection</v>
      </c>
      <c r="Y773" t="s">
        <v>1470</v>
      </c>
      <c r="Z773" t="str">
        <f t="shared" si="181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68"/>
        <v>40179</v>
      </c>
      <c r="D774" s="4">
        <f t="shared" si="169"/>
        <v>0.53424657534246578</v>
      </c>
      <c r="E774" s="3">
        <f t="shared" si="170"/>
        <v>2010</v>
      </c>
      <c r="F774" s="3">
        <f t="shared" si="171"/>
        <v>7</v>
      </c>
      <c r="G774" s="3">
        <f t="shared" si="172"/>
        <v>15</v>
      </c>
      <c r="H774" s="3">
        <f t="shared" si="173"/>
        <v>16</v>
      </c>
      <c r="I774" s="3">
        <f t="shared" si="174"/>
        <v>40</v>
      </c>
      <c r="J774" s="3">
        <f t="shared" si="175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76"/>
        <v>YES</v>
      </c>
      <c r="Q774" t="str">
        <f t="shared" si="177"/>
        <v>NO</v>
      </c>
      <c r="R774" t="str">
        <f t="shared" si="178"/>
        <v>NO</v>
      </c>
      <c r="S774">
        <v>1280</v>
      </c>
      <c r="T774" t="s">
        <v>19</v>
      </c>
      <c r="U774" t="str">
        <f t="shared" si="179"/>
        <v>Cambridge St</v>
      </c>
      <c r="W774" t="str">
        <f t="shared" si="180"/>
        <v/>
      </c>
      <c r="X774" t="str">
        <f>IF(ISBLANK(S774),"Intersection","Non-Intersection")</f>
        <v>Non-Intersection</v>
      </c>
      <c r="Y774" t="s">
        <v>1472</v>
      </c>
      <c r="Z774" t="str">
        <f t="shared" si="181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68"/>
        <v>40179</v>
      </c>
      <c r="D775" s="4">
        <f t="shared" si="169"/>
        <v>0.53424657534246578</v>
      </c>
      <c r="E775" s="3">
        <f t="shared" si="170"/>
        <v>2010</v>
      </c>
      <c r="F775" s="3">
        <f t="shared" si="171"/>
        <v>7</v>
      </c>
      <c r="G775" s="3">
        <f t="shared" si="172"/>
        <v>15</v>
      </c>
      <c r="H775" s="3">
        <f t="shared" si="173"/>
        <v>16</v>
      </c>
      <c r="I775" s="3">
        <f t="shared" si="174"/>
        <v>44</v>
      </c>
      <c r="J775" s="3">
        <f t="shared" si="175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76"/>
        <v>YES</v>
      </c>
      <c r="Q775" t="str">
        <f t="shared" si="177"/>
        <v>NO</v>
      </c>
      <c r="R775" t="str">
        <f t="shared" si="178"/>
        <v>NO</v>
      </c>
      <c r="T775" t="s">
        <v>185</v>
      </c>
      <c r="U775" t="str">
        <f t="shared" si="179"/>
        <v>Garden St</v>
      </c>
      <c r="V775" t="s">
        <v>1348</v>
      </c>
      <c r="W775" t="str">
        <f t="shared" si="180"/>
        <v>Robinson St</v>
      </c>
      <c r="X775" t="str">
        <f>IF(ISBLANK(S775),"Intersection","Non-Intersection")</f>
        <v>Intersection</v>
      </c>
      <c r="Y775" t="s">
        <v>1474</v>
      </c>
      <c r="Z775" t="str">
        <f t="shared" si="181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68"/>
        <v>40179</v>
      </c>
      <c r="D776" s="4">
        <f t="shared" si="169"/>
        <v>0.53424657534246578</v>
      </c>
      <c r="E776" s="3">
        <f t="shared" si="170"/>
        <v>2010</v>
      </c>
      <c r="F776" s="3">
        <f t="shared" si="171"/>
        <v>7</v>
      </c>
      <c r="G776" s="3">
        <f t="shared" si="172"/>
        <v>15</v>
      </c>
      <c r="H776" s="3">
        <f t="shared" si="173"/>
        <v>19</v>
      </c>
      <c r="I776" s="3">
        <f t="shared" si="174"/>
        <v>12</v>
      </c>
      <c r="J776" s="3">
        <f t="shared" si="175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76"/>
        <v>YES</v>
      </c>
      <c r="Q776" t="str">
        <f t="shared" si="177"/>
        <v>YES</v>
      </c>
      <c r="R776" t="str">
        <f t="shared" si="178"/>
        <v>NO</v>
      </c>
      <c r="S776" t="s">
        <v>1476</v>
      </c>
      <c r="T776" t="s">
        <v>101</v>
      </c>
      <c r="U776" t="str">
        <f t="shared" si="179"/>
        <v>Columbia St</v>
      </c>
      <c r="W776" t="str">
        <f t="shared" si="180"/>
        <v/>
      </c>
      <c r="X776" t="str">
        <f>IF(ISBLANK(S776),"Intersection","Non-Intersection")</f>
        <v>Non-Intersection</v>
      </c>
      <c r="Y776" t="s">
        <v>1477</v>
      </c>
      <c r="Z776" t="str">
        <f t="shared" si="181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68"/>
        <v>40179</v>
      </c>
      <c r="D777" s="4">
        <f t="shared" si="169"/>
        <v>0.53424657534246578</v>
      </c>
      <c r="E777" s="3">
        <f t="shared" si="170"/>
        <v>2010</v>
      </c>
      <c r="F777" s="3">
        <f t="shared" si="171"/>
        <v>7</v>
      </c>
      <c r="G777" s="3">
        <f t="shared" si="172"/>
        <v>15</v>
      </c>
      <c r="H777" s="3">
        <f t="shared" si="173"/>
        <v>22</v>
      </c>
      <c r="I777" s="3">
        <f t="shared" si="174"/>
        <v>56</v>
      </c>
      <c r="J777" s="3">
        <f t="shared" si="175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76"/>
        <v>YES</v>
      </c>
      <c r="Q777" t="str">
        <f t="shared" si="177"/>
        <v>NO</v>
      </c>
      <c r="R777" t="str">
        <f t="shared" si="178"/>
        <v>NO</v>
      </c>
      <c r="T777" t="s">
        <v>19</v>
      </c>
      <c r="U777" t="str">
        <f t="shared" si="179"/>
        <v>Cambridge St</v>
      </c>
      <c r="V777" t="s">
        <v>260</v>
      </c>
      <c r="W777" t="str">
        <f t="shared" si="180"/>
        <v>Third St</v>
      </c>
      <c r="X777" t="str">
        <f>IF(ISBLANK(S777),"Intersection","Non-Intersection")</f>
        <v>Intersection</v>
      </c>
      <c r="Y777" t="s">
        <v>640</v>
      </c>
      <c r="Z777" t="str">
        <f t="shared" si="181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68"/>
        <v>40179</v>
      </c>
      <c r="D778" s="4">
        <f t="shared" si="169"/>
        <v>0.53698630136986303</v>
      </c>
      <c r="E778" s="3">
        <f t="shared" si="170"/>
        <v>2010</v>
      </c>
      <c r="F778" s="3">
        <f t="shared" si="171"/>
        <v>7</v>
      </c>
      <c r="G778" s="3">
        <f t="shared" si="172"/>
        <v>16</v>
      </c>
      <c r="H778" s="3">
        <f t="shared" si="173"/>
        <v>17</v>
      </c>
      <c r="I778" s="3">
        <f t="shared" si="174"/>
        <v>29</v>
      </c>
      <c r="J778" s="3">
        <f t="shared" si="175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76"/>
        <v>YES</v>
      </c>
      <c r="Q778" t="str">
        <f t="shared" si="177"/>
        <v>YES</v>
      </c>
      <c r="R778" t="str">
        <f t="shared" si="178"/>
        <v>NO</v>
      </c>
      <c r="S778">
        <v>700</v>
      </c>
      <c r="T778" t="s">
        <v>14</v>
      </c>
      <c r="U778" t="str">
        <f t="shared" si="179"/>
        <v>Massachusetts Ave</v>
      </c>
      <c r="W778" t="str">
        <f t="shared" si="180"/>
        <v/>
      </c>
      <c r="X778" t="str">
        <f>IF(ISBLANK(S778),"Intersection","Non-Intersection")</f>
        <v>Non-Intersection</v>
      </c>
      <c r="Y778" t="s">
        <v>1479</v>
      </c>
      <c r="Z778" t="str">
        <f t="shared" si="181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68"/>
        <v>40179</v>
      </c>
      <c r="D779" s="4">
        <f t="shared" si="169"/>
        <v>0.53698630136986303</v>
      </c>
      <c r="E779" s="3">
        <f t="shared" si="170"/>
        <v>2010</v>
      </c>
      <c r="F779" s="3">
        <f t="shared" si="171"/>
        <v>7</v>
      </c>
      <c r="G779" s="3">
        <f t="shared" si="172"/>
        <v>16</v>
      </c>
      <c r="H779" s="3">
        <f t="shared" si="173"/>
        <v>23</v>
      </c>
      <c r="I779" s="3">
        <f t="shared" si="174"/>
        <v>29</v>
      </c>
      <c r="J779" s="3">
        <f t="shared" si="175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76"/>
        <v>YES</v>
      </c>
      <c r="Q779" t="str">
        <f t="shared" si="177"/>
        <v>NO</v>
      </c>
      <c r="R779" t="str">
        <f t="shared" si="178"/>
        <v>NO</v>
      </c>
      <c r="T779" t="s">
        <v>50</v>
      </c>
      <c r="U779" t="str">
        <f t="shared" si="179"/>
        <v>Belmont St</v>
      </c>
      <c r="V779" t="s">
        <v>198</v>
      </c>
      <c r="W779" t="str">
        <f t="shared" si="180"/>
        <v>Mount Auburn St</v>
      </c>
      <c r="X779" t="str">
        <f>IF(ISBLANK(S779),"Intersection","Non-Intersection")</f>
        <v>Intersection</v>
      </c>
      <c r="Y779" t="s">
        <v>910</v>
      </c>
      <c r="Z779" t="str">
        <f t="shared" si="181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68"/>
        <v>40179</v>
      </c>
      <c r="D780" s="4">
        <f t="shared" si="169"/>
        <v>0.53698630136986303</v>
      </c>
      <c r="E780" s="3">
        <f t="shared" si="170"/>
        <v>2010</v>
      </c>
      <c r="F780" s="3">
        <f t="shared" si="171"/>
        <v>7</v>
      </c>
      <c r="G780" s="3">
        <f t="shared" si="172"/>
        <v>16</v>
      </c>
      <c r="H780" s="3">
        <f t="shared" si="173"/>
        <v>18</v>
      </c>
      <c r="I780" s="3">
        <f t="shared" si="174"/>
        <v>30</v>
      </c>
      <c r="J780" s="3">
        <f t="shared" si="175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76"/>
        <v>YES</v>
      </c>
      <c r="Q780" t="str">
        <f t="shared" si="177"/>
        <v>NO</v>
      </c>
      <c r="R780" t="str">
        <f t="shared" si="178"/>
        <v>NO</v>
      </c>
      <c r="S780">
        <v>30</v>
      </c>
      <c r="T780" t="s">
        <v>1438</v>
      </c>
      <c r="U780" t="str">
        <f t="shared" si="179"/>
        <v>Dunster St</v>
      </c>
      <c r="W780" t="str">
        <f t="shared" si="180"/>
        <v/>
      </c>
      <c r="X780" t="str">
        <f>IF(ISBLANK(S780),"Intersection","Non-Intersection")</f>
        <v>Non-Intersection</v>
      </c>
      <c r="Y780" t="s">
        <v>1481</v>
      </c>
      <c r="Z780" t="str">
        <f t="shared" si="181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68"/>
        <v>40179</v>
      </c>
      <c r="D781" s="4">
        <f t="shared" si="169"/>
        <v>0.53698630136986303</v>
      </c>
      <c r="E781" s="3">
        <f t="shared" si="170"/>
        <v>2010</v>
      </c>
      <c r="F781" s="3">
        <f t="shared" si="171"/>
        <v>7</v>
      </c>
      <c r="G781" s="3">
        <f t="shared" si="172"/>
        <v>16</v>
      </c>
      <c r="H781" s="3">
        <f t="shared" si="173"/>
        <v>9</v>
      </c>
      <c r="I781" s="3">
        <f t="shared" si="174"/>
        <v>36</v>
      </c>
      <c r="J781" s="3">
        <f t="shared" si="175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76"/>
        <v>YES</v>
      </c>
      <c r="Q781" t="str">
        <f t="shared" si="177"/>
        <v>NO</v>
      </c>
      <c r="R781" t="str">
        <f t="shared" si="178"/>
        <v>NO</v>
      </c>
      <c r="T781" t="s">
        <v>195</v>
      </c>
      <c r="U781" t="str">
        <f t="shared" si="179"/>
        <v>Sidney St</v>
      </c>
      <c r="V781" t="s">
        <v>42</v>
      </c>
      <c r="W781" t="str">
        <f t="shared" si="180"/>
        <v>Putnam Ave</v>
      </c>
      <c r="X781" t="str">
        <f>IF(ISBLANK(S781),"Intersection","Non-Intersection")</f>
        <v>Intersection</v>
      </c>
      <c r="Y781" t="s">
        <v>1483</v>
      </c>
      <c r="Z781" t="str">
        <f t="shared" si="181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68"/>
        <v>40179</v>
      </c>
      <c r="D782" s="4">
        <f t="shared" si="169"/>
        <v>0.53698630136986303</v>
      </c>
      <c r="E782" s="3">
        <f t="shared" si="170"/>
        <v>2010</v>
      </c>
      <c r="F782" s="3">
        <f t="shared" si="171"/>
        <v>7</v>
      </c>
      <c r="G782" s="3">
        <f t="shared" si="172"/>
        <v>16</v>
      </c>
      <c r="H782" s="3">
        <f t="shared" si="173"/>
        <v>22</v>
      </c>
      <c r="I782" s="3">
        <f t="shared" si="174"/>
        <v>30</v>
      </c>
      <c r="J782" s="3">
        <f t="shared" si="175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76"/>
        <v>YES</v>
      </c>
      <c r="Q782" t="str">
        <f t="shared" si="177"/>
        <v>NO</v>
      </c>
      <c r="R782" t="str">
        <f t="shared" si="178"/>
        <v>NO</v>
      </c>
      <c r="T782" t="s">
        <v>216</v>
      </c>
      <c r="U782" t="str">
        <f t="shared" si="179"/>
        <v>Washington Ave</v>
      </c>
      <c r="V782" t="s">
        <v>745</v>
      </c>
      <c r="W782" t="str">
        <f t="shared" si="180"/>
        <v>Norfolk St</v>
      </c>
      <c r="X782" t="str">
        <f>IF(ISBLANK(S782),"Intersection","Non-Intersection")</f>
        <v>Intersection</v>
      </c>
      <c r="Y782" t="s">
        <v>1485</v>
      </c>
      <c r="Z782" t="str">
        <f t="shared" si="181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68"/>
        <v>40179</v>
      </c>
      <c r="D783" s="4">
        <f t="shared" si="169"/>
        <v>0.53972602739726028</v>
      </c>
      <c r="E783" s="3">
        <f t="shared" si="170"/>
        <v>2010</v>
      </c>
      <c r="F783" s="3">
        <f t="shared" si="171"/>
        <v>7</v>
      </c>
      <c r="G783" s="3">
        <f t="shared" si="172"/>
        <v>17</v>
      </c>
      <c r="H783" s="3">
        <f t="shared" si="173"/>
        <v>18</v>
      </c>
      <c r="I783" s="3">
        <f t="shared" si="174"/>
        <v>49</v>
      </c>
      <c r="J783" s="3">
        <f t="shared" si="175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76"/>
        <v>YES</v>
      </c>
      <c r="Q783" t="str">
        <f t="shared" si="177"/>
        <v>NO</v>
      </c>
      <c r="R783" t="str">
        <f t="shared" si="178"/>
        <v>NO</v>
      </c>
      <c r="S783">
        <v>330</v>
      </c>
      <c r="T783" t="s">
        <v>198</v>
      </c>
      <c r="U783" t="str">
        <f t="shared" si="179"/>
        <v>Mount Auburn St</v>
      </c>
      <c r="W783" t="str">
        <f t="shared" si="180"/>
        <v/>
      </c>
      <c r="X783" t="str">
        <f>IF(ISBLANK(S783),"Intersection","Non-Intersection")</f>
        <v>Non-Intersection</v>
      </c>
      <c r="Y783" t="s">
        <v>1488</v>
      </c>
      <c r="Z783" t="str">
        <f t="shared" si="181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68"/>
        <v>40179</v>
      </c>
      <c r="D784" s="4">
        <f t="shared" si="169"/>
        <v>0.53972602739726028</v>
      </c>
      <c r="E784" s="3">
        <f t="shared" si="170"/>
        <v>2010</v>
      </c>
      <c r="F784" s="3">
        <f t="shared" si="171"/>
        <v>7</v>
      </c>
      <c r="G784" s="3">
        <f t="shared" si="172"/>
        <v>17</v>
      </c>
      <c r="H784" s="3">
        <f t="shared" si="173"/>
        <v>11</v>
      </c>
      <c r="I784" s="3">
        <f t="shared" si="174"/>
        <v>0</v>
      </c>
      <c r="J784" s="3">
        <f t="shared" si="175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76"/>
        <v>YES</v>
      </c>
      <c r="Q784" t="str">
        <f t="shared" si="177"/>
        <v>NO</v>
      </c>
      <c r="R784" t="str">
        <f t="shared" si="178"/>
        <v>NO</v>
      </c>
      <c r="S784">
        <v>30</v>
      </c>
      <c r="T784" t="s">
        <v>124</v>
      </c>
      <c r="U784" t="str">
        <f t="shared" si="179"/>
        <v>York St</v>
      </c>
      <c r="W784" t="str">
        <f t="shared" si="180"/>
        <v/>
      </c>
      <c r="X784" t="str">
        <f>IF(ISBLANK(S784),"Intersection","Non-Intersection")</f>
        <v>Non-Intersection</v>
      </c>
      <c r="Y784" t="s">
        <v>1490</v>
      </c>
      <c r="Z784" t="str">
        <f t="shared" si="181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68"/>
        <v>40179</v>
      </c>
      <c r="D785" s="4">
        <f t="shared" si="169"/>
        <v>0.54246575342465753</v>
      </c>
      <c r="E785" s="3">
        <f t="shared" si="170"/>
        <v>2010</v>
      </c>
      <c r="F785" s="3">
        <f t="shared" si="171"/>
        <v>7</v>
      </c>
      <c r="G785" s="3">
        <f t="shared" si="172"/>
        <v>18</v>
      </c>
      <c r="H785" s="3">
        <f t="shared" si="173"/>
        <v>17</v>
      </c>
      <c r="I785" s="3">
        <f t="shared" si="174"/>
        <v>51</v>
      </c>
      <c r="J785" s="3">
        <f t="shared" si="175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76"/>
        <v>YES</v>
      </c>
      <c r="Q785" t="str">
        <f t="shared" si="177"/>
        <v>NO</v>
      </c>
      <c r="R785" t="str">
        <f t="shared" si="178"/>
        <v>NO</v>
      </c>
      <c r="T785" t="s">
        <v>105</v>
      </c>
      <c r="U785" t="str">
        <f t="shared" si="179"/>
        <v>Broadway</v>
      </c>
      <c r="V785" t="s">
        <v>387</v>
      </c>
      <c r="W785" t="str">
        <f t="shared" si="180"/>
        <v>Antrim St</v>
      </c>
      <c r="X785" t="str">
        <f>IF(ISBLANK(S785),"Intersection","Non-Intersection")</f>
        <v>Intersection</v>
      </c>
      <c r="Y785" t="s">
        <v>388</v>
      </c>
      <c r="Z785" t="str">
        <f t="shared" si="181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68"/>
        <v>40179</v>
      </c>
      <c r="D786" s="4">
        <f t="shared" si="169"/>
        <v>0.54246575342465753</v>
      </c>
      <c r="E786" s="3">
        <f t="shared" si="170"/>
        <v>2010</v>
      </c>
      <c r="F786" s="3">
        <f t="shared" si="171"/>
        <v>7</v>
      </c>
      <c r="G786" s="3">
        <f t="shared" si="172"/>
        <v>18</v>
      </c>
      <c r="H786" s="3">
        <f t="shared" si="173"/>
        <v>12</v>
      </c>
      <c r="I786" s="3">
        <f t="shared" si="174"/>
        <v>14</v>
      </c>
      <c r="J786" s="3">
        <f t="shared" si="175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76"/>
        <v>YES</v>
      </c>
      <c r="Q786" t="str">
        <f t="shared" si="177"/>
        <v>YES</v>
      </c>
      <c r="R786" t="str">
        <f t="shared" si="178"/>
        <v>NO</v>
      </c>
      <c r="T786" t="s">
        <v>14</v>
      </c>
      <c r="U786" t="str">
        <f t="shared" si="179"/>
        <v>Massachusetts Ave</v>
      </c>
      <c r="V786" t="s">
        <v>1492</v>
      </c>
      <c r="W786" t="str">
        <f t="shared" si="180"/>
        <v>Exeter Park</v>
      </c>
      <c r="X786" t="str">
        <f>IF(ISBLANK(S786),"Intersection","Non-Intersection")</f>
        <v>Intersection</v>
      </c>
      <c r="Y786" t="s">
        <v>1493</v>
      </c>
      <c r="Z786" t="str">
        <f t="shared" si="181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68"/>
        <v>40179</v>
      </c>
      <c r="D787" s="4">
        <f t="shared" si="169"/>
        <v>0.54246575342465753</v>
      </c>
      <c r="E787" s="3">
        <f t="shared" si="170"/>
        <v>2010</v>
      </c>
      <c r="F787" s="3">
        <f t="shared" si="171"/>
        <v>7</v>
      </c>
      <c r="G787" s="3">
        <f t="shared" si="172"/>
        <v>18</v>
      </c>
      <c r="H787" s="3">
        <f t="shared" si="173"/>
        <v>21</v>
      </c>
      <c r="I787" s="3">
        <f t="shared" si="174"/>
        <v>30</v>
      </c>
      <c r="J787" s="3">
        <f t="shared" si="175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76"/>
        <v>YES</v>
      </c>
      <c r="Q787" t="str">
        <f t="shared" si="177"/>
        <v>NO</v>
      </c>
      <c r="R787" t="str">
        <f t="shared" si="178"/>
        <v>NO</v>
      </c>
      <c r="S787">
        <v>67</v>
      </c>
      <c r="T787" t="s">
        <v>166</v>
      </c>
      <c r="U787" t="str">
        <f t="shared" si="179"/>
        <v>Oxford Ave</v>
      </c>
      <c r="W787" t="str">
        <f t="shared" si="180"/>
        <v/>
      </c>
      <c r="X787" t="str">
        <f>IF(ISBLANK(S787),"Intersection","Non-Intersection")</f>
        <v>Non-Intersection</v>
      </c>
      <c r="Y787" t="s">
        <v>1495</v>
      </c>
      <c r="Z787" t="str">
        <f t="shared" si="181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68"/>
        <v>40179</v>
      </c>
      <c r="D788" s="4">
        <f t="shared" si="169"/>
        <v>0.54246575342465753</v>
      </c>
      <c r="E788" s="3">
        <f t="shared" si="170"/>
        <v>2010</v>
      </c>
      <c r="F788" s="3">
        <f t="shared" si="171"/>
        <v>7</v>
      </c>
      <c r="G788" s="3">
        <f t="shared" si="172"/>
        <v>18</v>
      </c>
      <c r="H788" s="3">
        <f t="shared" si="173"/>
        <v>17</v>
      </c>
      <c r="I788" s="3">
        <f t="shared" si="174"/>
        <v>49</v>
      </c>
      <c r="J788" s="3">
        <f t="shared" si="175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76"/>
        <v>YES</v>
      </c>
      <c r="Q788" t="str">
        <f t="shared" si="177"/>
        <v>NO</v>
      </c>
      <c r="R788" t="str">
        <f t="shared" si="178"/>
        <v>NO</v>
      </c>
      <c r="S788">
        <v>575</v>
      </c>
      <c r="T788" t="s">
        <v>203</v>
      </c>
      <c r="U788" t="str">
        <f t="shared" si="179"/>
        <v>Memorial Dr</v>
      </c>
      <c r="V788" t="s">
        <v>202</v>
      </c>
      <c r="W788" t="str">
        <f t="shared" si="180"/>
        <v>Vassar St</v>
      </c>
      <c r="X788" t="str">
        <f>IF(ISBLANK(S788),"Intersection","Non-Intersection")</f>
        <v>Non-Intersection</v>
      </c>
      <c r="Y788" t="s">
        <v>347</v>
      </c>
      <c r="Z788" t="str">
        <f t="shared" si="181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68"/>
        <v>40179</v>
      </c>
      <c r="D789" s="4">
        <f t="shared" si="169"/>
        <v>0.54520547945205478</v>
      </c>
      <c r="E789" s="3">
        <f t="shared" si="170"/>
        <v>2010</v>
      </c>
      <c r="F789" s="3">
        <f t="shared" si="171"/>
        <v>7</v>
      </c>
      <c r="G789" s="3">
        <f t="shared" si="172"/>
        <v>19</v>
      </c>
      <c r="H789" s="3">
        <f t="shared" si="173"/>
        <v>8</v>
      </c>
      <c r="I789" s="3">
        <f t="shared" si="174"/>
        <v>39</v>
      </c>
      <c r="J789" s="3">
        <f t="shared" si="175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76"/>
        <v>YES</v>
      </c>
      <c r="Q789" t="str">
        <f t="shared" si="177"/>
        <v>NO</v>
      </c>
      <c r="R789" t="str">
        <f t="shared" si="178"/>
        <v>NO</v>
      </c>
      <c r="T789" t="s">
        <v>74</v>
      </c>
      <c r="U789" t="str">
        <f t="shared" si="179"/>
        <v>Hampshire St</v>
      </c>
      <c r="V789" t="s">
        <v>105</v>
      </c>
      <c r="W789" t="str">
        <f t="shared" si="180"/>
        <v>Broadway</v>
      </c>
      <c r="X789" t="str">
        <f>IF(ISBLANK(S789),"Intersection","Non-Intersection")</f>
        <v>Intersection</v>
      </c>
      <c r="Y789" t="s">
        <v>1497</v>
      </c>
      <c r="Z789" t="str">
        <f t="shared" si="181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68"/>
        <v>40179</v>
      </c>
      <c r="D790" s="4">
        <f t="shared" si="169"/>
        <v>0.54520547945205478</v>
      </c>
      <c r="E790" s="3">
        <f t="shared" si="170"/>
        <v>2010</v>
      </c>
      <c r="F790" s="3">
        <f t="shared" si="171"/>
        <v>7</v>
      </c>
      <c r="G790" s="3">
        <f t="shared" si="172"/>
        <v>19</v>
      </c>
      <c r="H790" s="3">
        <f t="shared" si="173"/>
        <v>8</v>
      </c>
      <c r="I790" s="3">
        <f t="shared" si="174"/>
        <v>29</v>
      </c>
      <c r="J790" s="3">
        <f t="shared" si="175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76"/>
        <v>NO</v>
      </c>
      <c r="Q790" t="str">
        <f t="shared" si="177"/>
        <v>NO</v>
      </c>
      <c r="R790" t="str">
        <f t="shared" si="178"/>
        <v>NO</v>
      </c>
      <c r="S790">
        <v>22</v>
      </c>
      <c r="T790" t="s">
        <v>326</v>
      </c>
      <c r="U790" t="str">
        <f t="shared" si="179"/>
        <v>Jfk St</v>
      </c>
      <c r="W790" t="str">
        <f t="shared" si="180"/>
        <v/>
      </c>
      <c r="X790" t="str">
        <f>IF(ISBLANK(S790),"Intersection","Non-Intersection")</f>
        <v>Non-Intersection</v>
      </c>
      <c r="Y790" t="s">
        <v>1498</v>
      </c>
      <c r="Z790" t="str">
        <f t="shared" si="181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82">EOMONTH(B791,MONTH(B791)*-1)+1</f>
        <v>40179</v>
      </c>
      <c r="D791" s="4">
        <f t="shared" ref="D791:D853" si="183">YEARFRAC(C791,B791,1)</f>
        <v>0.54520547945205478</v>
      </c>
      <c r="E791" s="3">
        <f t="shared" ref="E791:E853" si="184">YEAR(B791)</f>
        <v>2010</v>
      </c>
      <c r="F791" s="3">
        <f t="shared" ref="F791:F853" si="185">MONTH(B791)</f>
        <v>7</v>
      </c>
      <c r="G791" s="3">
        <f t="shared" ref="G791:G853" si="186">DAY(B791)</f>
        <v>19</v>
      </c>
      <c r="H791" s="3">
        <f t="shared" ref="H791:H853" si="187">HOUR(B791)</f>
        <v>18</v>
      </c>
      <c r="I791" s="3">
        <f t="shared" ref="I791:I853" si="188">MINUTE(B791)</f>
        <v>20</v>
      </c>
      <c r="J791" s="3">
        <f t="shared" ref="J791:J853" si="189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190">IF(OR(N791="Auto",O791="Auto"),"YES",IF(OR(N791="Taxi",O791="Taxi"),"YES",IF(OR(N791="Van",O791="Van"),"YES",IF(OR(N791="Truck",O791="Truck"),"YES","NO"))))</f>
        <v>YES</v>
      </c>
      <c r="Q791" t="str">
        <f t="shared" ref="Q791:Q853" si="191">IF(OR(N791="Bicycle",O791="Bicycle"),"YES","NO")</f>
        <v>YES</v>
      </c>
      <c r="R791" t="str">
        <f t="shared" ref="R791:R853" si="192">IF(OR(N791="Pedestrian",O791="Pedestrian"),"YES","NO")</f>
        <v>NO</v>
      </c>
      <c r="T791" t="s">
        <v>985</v>
      </c>
      <c r="U791" t="str">
        <f t="shared" si="179"/>
        <v>Plymouth St</v>
      </c>
      <c r="V791" t="s">
        <v>198</v>
      </c>
      <c r="W791" t="str">
        <f t="shared" si="180"/>
        <v>Mount Auburn St</v>
      </c>
      <c r="X791" t="str">
        <f>IF(ISBLANK(S791),"Intersection","Non-Intersection")</f>
        <v>Intersection</v>
      </c>
      <c r="Y791" t="s">
        <v>1500</v>
      </c>
      <c r="Z791" t="str">
        <f t="shared" si="181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82"/>
        <v>40179</v>
      </c>
      <c r="D792" s="4">
        <f t="shared" si="183"/>
        <v>0.54520547945205478</v>
      </c>
      <c r="E792" s="3">
        <f t="shared" si="184"/>
        <v>2010</v>
      </c>
      <c r="F792" s="3">
        <f t="shared" si="185"/>
        <v>7</v>
      </c>
      <c r="G792" s="3">
        <f t="shared" si="186"/>
        <v>19</v>
      </c>
      <c r="H792" s="3">
        <f t="shared" si="187"/>
        <v>21</v>
      </c>
      <c r="I792" s="3">
        <f t="shared" si="188"/>
        <v>20</v>
      </c>
      <c r="J792" s="3">
        <f t="shared" si="189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190"/>
        <v>YES</v>
      </c>
      <c r="Q792" t="str">
        <f t="shared" si="191"/>
        <v>NO</v>
      </c>
      <c r="R792" t="str">
        <f t="shared" si="192"/>
        <v>NO</v>
      </c>
      <c r="T792" t="s">
        <v>260</v>
      </c>
      <c r="U792" t="str">
        <f t="shared" si="179"/>
        <v>Third St</v>
      </c>
      <c r="V792" t="s">
        <v>1502</v>
      </c>
      <c r="W792" t="str">
        <f t="shared" si="180"/>
        <v>Gore St</v>
      </c>
      <c r="X792" t="str">
        <f>IF(ISBLANK(S792),"Intersection","Non-Intersection")</f>
        <v>Intersection</v>
      </c>
      <c r="Y792" t="s">
        <v>1503</v>
      </c>
      <c r="Z792" t="str">
        <f t="shared" si="181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82"/>
        <v>40179</v>
      </c>
      <c r="D793" s="4">
        <f t="shared" si="183"/>
        <v>0.54520547945205478</v>
      </c>
      <c r="E793" s="3">
        <f t="shared" si="184"/>
        <v>2010</v>
      </c>
      <c r="F793" s="3">
        <f t="shared" si="185"/>
        <v>7</v>
      </c>
      <c r="G793" s="3">
        <f t="shared" si="186"/>
        <v>19</v>
      </c>
      <c r="H793" s="3">
        <f t="shared" si="187"/>
        <v>22</v>
      </c>
      <c r="I793" s="3">
        <f t="shared" si="188"/>
        <v>6</v>
      </c>
      <c r="J793" s="3">
        <f t="shared" si="189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190"/>
        <v>YES</v>
      </c>
      <c r="Q793" t="str">
        <f t="shared" si="191"/>
        <v>NO</v>
      </c>
      <c r="R793" t="str">
        <f t="shared" si="192"/>
        <v>NO</v>
      </c>
      <c r="T793" t="s">
        <v>14</v>
      </c>
      <c r="U793" t="str">
        <f t="shared" si="179"/>
        <v>Massachusetts Ave</v>
      </c>
      <c r="V793" t="s">
        <v>189</v>
      </c>
      <c r="W793" t="str">
        <f t="shared" si="180"/>
        <v>Windsor St</v>
      </c>
      <c r="X793" t="str">
        <f>IF(ISBLANK(S793),"Intersection","Non-Intersection")</f>
        <v>Intersection</v>
      </c>
      <c r="Y793" t="s">
        <v>595</v>
      </c>
      <c r="Z793" t="str">
        <f t="shared" si="181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82"/>
        <v>40179</v>
      </c>
      <c r="D794" s="4">
        <f t="shared" si="183"/>
        <v>0.54520547945205478</v>
      </c>
      <c r="E794" s="3">
        <f t="shared" si="184"/>
        <v>2010</v>
      </c>
      <c r="F794" s="3">
        <f t="shared" si="185"/>
        <v>7</v>
      </c>
      <c r="G794" s="3">
        <f t="shared" si="186"/>
        <v>19</v>
      </c>
      <c r="H794" s="3">
        <f t="shared" si="187"/>
        <v>17</v>
      </c>
      <c r="I794" s="3">
        <f t="shared" si="188"/>
        <v>0</v>
      </c>
      <c r="J794" s="3">
        <f t="shared" si="189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190"/>
        <v>YES</v>
      </c>
      <c r="Q794" t="str">
        <f t="shared" si="191"/>
        <v>NO</v>
      </c>
      <c r="R794" t="str">
        <f t="shared" si="192"/>
        <v>NO</v>
      </c>
      <c r="S794">
        <v>700</v>
      </c>
      <c r="T794" t="s">
        <v>142</v>
      </c>
      <c r="U794" t="str">
        <f t="shared" si="179"/>
        <v>Huron Ave</v>
      </c>
      <c r="W794" t="str">
        <f t="shared" si="180"/>
        <v/>
      </c>
      <c r="X794" t="str">
        <f>IF(ISBLANK(S794),"Intersection","Non-Intersection")</f>
        <v>Non-Intersection</v>
      </c>
      <c r="Y794" t="s">
        <v>475</v>
      </c>
      <c r="Z794" t="str">
        <f t="shared" si="181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82"/>
        <v>40179</v>
      </c>
      <c r="D795" s="4">
        <f t="shared" si="183"/>
        <v>0.54794520547945202</v>
      </c>
      <c r="E795" s="3">
        <f t="shared" si="184"/>
        <v>2010</v>
      </c>
      <c r="F795" s="3">
        <f t="shared" si="185"/>
        <v>7</v>
      </c>
      <c r="G795" s="3">
        <f t="shared" si="186"/>
        <v>20</v>
      </c>
      <c r="H795" s="3">
        <f t="shared" si="187"/>
        <v>9</v>
      </c>
      <c r="I795" s="3">
        <f t="shared" si="188"/>
        <v>45</v>
      </c>
      <c r="J795" s="3">
        <f t="shared" si="189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190"/>
        <v>YES</v>
      </c>
      <c r="Q795" t="str">
        <f t="shared" si="191"/>
        <v>NO</v>
      </c>
      <c r="R795" t="str">
        <f t="shared" si="192"/>
        <v>YES</v>
      </c>
      <c r="S795">
        <v>77</v>
      </c>
      <c r="T795" t="s">
        <v>14</v>
      </c>
      <c r="U795" t="str">
        <f t="shared" si="179"/>
        <v>Massachusetts Ave</v>
      </c>
      <c r="V795" t="s">
        <v>202</v>
      </c>
      <c r="W795" t="str">
        <f t="shared" si="180"/>
        <v>Vassar St</v>
      </c>
      <c r="X795" t="str">
        <f>IF(ISBLANK(S795),"Intersection","Non-Intersection")</f>
        <v>Non-Intersection</v>
      </c>
      <c r="Y795" t="s">
        <v>415</v>
      </c>
      <c r="Z795" t="str">
        <f t="shared" si="181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82"/>
        <v>40179</v>
      </c>
      <c r="D796" s="4">
        <f t="shared" si="183"/>
        <v>0.54794520547945202</v>
      </c>
      <c r="E796" s="3">
        <f t="shared" si="184"/>
        <v>2010</v>
      </c>
      <c r="F796" s="3">
        <f t="shared" si="185"/>
        <v>7</v>
      </c>
      <c r="G796" s="3">
        <f t="shared" si="186"/>
        <v>20</v>
      </c>
      <c r="H796" s="3">
        <f t="shared" si="187"/>
        <v>20</v>
      </c>
      <c r="I796" s="3">
        <f t="shared" si="188"/>
        <v>35</v>
      </c>
      <c r="J796" s="3">
        <f t="shared" si="189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190"/>
        <v>YES</v>
      </c>
      <c r="Q796" t="str">
        <f t="shared" si="191"/>
        <v>NO</v>
      </c>
      <c r="R796" t="str">
        <f t="shared" si="192"/>
        <v>NO</v>
      </c>
      <c r="S796">
        <v>104</v>
      </c>
      <c r="T796" t="s">
        <v>198</v>
      </c>
      <c r="U796" t="str">
        <f t="shared" si="179"/>
        <v>Mount Auburn St</v>
      </c>
      <c r="W796" t="str">
        <f t="shared" si="180"/>
        <v/>
      </c>
      <c r="X796" t="str">
        <f>IF(ISBLANK(S796),"Intersection","Non-Intersection")</f>
        <v>Non-Intersection</v>
      </c>
      <c r="Y796" t="s">
        <v>1505</v>
      </c>
      <c r="Z796" t="str">
        <f t="shared" si="181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82"/>
        <v>40179</v>
      </c>
      <c r="D797" s="4">
        <f t="shared" si="183"/>
        <v>0.54794520547945202</v>
      </c>
      <c r="E797" s="3">
        <f t="shared" si="184"/>
        <v>2010</v>
      </c>
      <c r="F797" s="3">
        <f t="shared" si="185"/>
        <v>7</v>
      </c>
      <c r="G797" s="3">
        <f t="shared" si="186"/>
        <v>20</v>
      </c>
      <c r="H797" s="3">
        <f t="shared" si="187"/>
        <v>19</v>
      </c>
      <c r="I797" s="3">
        <f t="shared" si="188"/>
        <v>9</v>
      </c>
      <c r="J797" s="3">
        <f t="shared" si="189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190"/>
        <v>YES</v>
      </c>
      <c r="Q797" t="str">
        <f t="shared" si="191"/>
        <v>YES</v>
      </c>
      <c r="R797" t="str">
        <f t="shared" si="192"/>
        <v>NO</v>
      </c>
      <c r="S797">
        <v>2067</v>
      </c>
      <c r="T797" t="s">
        <v>14</v>
      </c>
      <c r="U797" t="str">
        <f t="shared" si="179"/>
        <v>Massachusetts Ave</v>
      </c>
      <c r="W797" t="str">
        <f t="shared" si="180"/>
        <v/>
      </c>
      <c r="X797" t="str">
        <f>IF(ISBLANK(S797),"Intersection","Non-Intersection")</f>
        <v>Non-Intersection</v>
      </c>
      <c r="Y797" t="s">
        <v>1507</v>
      </c>
      <c r="Z797" t="str">
        <f t="shared" si="181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82"/>
        <v>40179</v>
      </c>
      <c r="D798" s="4">
        <f t="shared" si="183"/>
        <v>0.55068493150684927</v>
      </c>
      <c r="E798" s="3">
        <f t="shared" si="184"/>
        <v>2010</v>
      </c>
      <c r="F798" s="3">
        <f t="shared" si="185"/>
        <v>7</v>
      </c>
      <c r="G798" s="3">
        <f t="shared" si="186"/>
        <v>21</v>
      </c>
      <c r="H798" s="3">
        <f t="shared" si="187"/>
        <v>8</v>
      </c>
      <c r="I798" s="3">
        <f t="shared" si="188"/>
        <v>23</v>
      </c>
      <c r="J798" s="3">
        <f t="shared" si="189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190"/>
        <v>YES</v>
      </c>
      <c r="Q798" t="str">
        <f t="shared" si="191"/>
        <v>NO</v>
      </c>
      <c r="R798" t="str">
        <f t="shared" si="192"/>
        <v>NO</v>
      </c>
      <c r="T798" t="s">
        <v>105</v>
      </c>
      <c r="U798" t="str">
        <f t="shared" si="179"/>
        <v>Broadway</v>
      </c>
      <c r="V798" t="s">
        <v>79</v>
      </c>
      <c r="W798" t="str">
        <f t="shared" si="180"/>
        <v>Ames St</v>
      </c>
      <c r="X798" t="str">
        <f>IF(ISBLANK(S798),"Intersection","Non-Intersection")</f>
        <v>Intersection</v>
      </c>
      <c r="Y798" t="s">
        <v>1346</v>
      </c>
      <c r="Z798" t="str">
        <f t="shared" si="181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82"/>
        <v>40179</v>
      </c>
      <c r="D799" s="4">
        <f t="shared" si="183"/>
        <v>0.55068493150684927</v>
      </c>
      <c r="E799" s="3">
        <f t="shared" si="184"/>
        <v>2010</v>
      </c>
      <c r="F799" s="3">
        <f t="shared" si="185"/>
        <v>7</v>
      </c>
      <c r="G799" s="3">
        <f t="shared" si="186"/>
        <v>21</v>
      </c>
      <c r="H799" s="3">
        <f t="shared" si="187"/>
        <v>16</v>
      </c>
      <c r="I799" s="3">
        <f t="shared" si="188"/>
        <v>8</v>
      </c>
      <c r="J799" s="3">
        <f t="shared" si="189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190"/>
        <v>YES</v>
      </c>
      <c r="Q799" t="str">
        <f t="shared" si="191"/>
        <v>NO</v>
      </c>
      <c r="R799" t="str">
        <f t="shared" si="192"/>
        <v>NO</v>
      </c>
      <c r="T799" t="s">
        <v>260</v>
      </c>
      <c r="U799" t="str">
        <f t="shared" si="179"/>
        <v>Third St</v>
      </c>
      <c r="V799" t="s">
        <v>146</v>
      </c>
      <c r="W799" t="str">
        <f t="shared" si="180"/>
        <v>Spring St</v>
      </c>
      <c r="X799" t="str">
        <f>IF(ISBLANK(S799),"Intersection","Non-Intersection")</f>
        <v>Intersection</v>
      </c>
      <c r="Y799" t="s">
        <v>544</v>
      </c>
      <c r="Z799" t="str">
        <f t="shared" si="181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82"/>
        <v>40179</v>
      </c>
      <c r="D800" s="4">
        <f t="shared" si="183"/>
        <v>0.55068493150684927</v>
      </c>
      <c r="E800" s="3">
        <f t="shared" si="184"/>
        <v>2010</v>
      </c>
      <c r="F800" s="3">
        <f t="shared" si="185"/>
        <v>7</v>
      </c>
      <c r="G800" s="3">
        <f t="shared" si="186"/>
        <v>21</v>
      </c>
      <c r="H800" s="3">
        <f t="shared" si="187"/>
        <v>15</v>
      </c>
      <c r="I800" s="3">
        <f t="shared" si="188"/>
        <v>4</v>
      </c>
      <c r="J800" s="3">
        <f t="shared" si="189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190"/>
        <v>YES</v>
      </c>
      <c r="Q800" t="str">
        <f t="shared" si="191"/>
        <v>NO</v>
      </c>
      <c r="R800" t="str">
        <f t="shared" si="192"/>
        <v>NO</v>
      </c>
      <c r="T800" t="s">
        <v>413</v>
      </c>
      <c r="U800" t="str">
        <f t="shared" si="179"/>
        <v>Smith Pl</v>
      </c>
      <c r="V800" t="s">
        <v>186</v>
      </c>
      <c r="W800" t="str">
        <f t="shared" si="180"/>
        <v>Concord Ave</v>
      </c>
      <c r="X800" t="str">
        <f>IF(ISBLANK(S800),"Intersection","Non-Intersection")</f>
        <v>Intersection</v>
      </c>
      <c r="Y800" t="s">
        <v>1509</v>
      </c>
      <c r="Z800" t="str">
        <f t="shared" si="181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82"/>
        <v>40179</v>
      </c>
      <c r="D801" s="4">
        <f t="shared" si="183"/>
        <v>0.55068493150684927</v>
      </c>
      <c r="E801" s="3">
        <f t="shared" si="184"/>
        <v>2010</v>
      </c>
      <c r="F801" s="3">
        <f t="shared" si="185"/>
        <v>7</v>
      </c>
      <c r="G801" s="3">
        <f t="shared" si="186"/>
        <v>21</v>
      </c>
      <c r="H801" s="3">
        <f t="shared" si="187"/>
        <v>17</v>
      </c>
      <c r="I801" s="3">
        <f t="shared" si="188"/>
        <v>33</v>
      </c>
      <c r="J801" s="3">
        <f t="shared" si="189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190"/>
        <v>YES</v>
      </c>
      <c r="Q801" t="str">
        <f t="shared" si="191"/>
        <v>NO</v>
      </c>
      <c r="R801" t="str">
        <f t="shared" si="192"/>
        <v>NO</v>
      </c>
      <c r="S801">
        <v>12</v>
      </c>
      <c r="T801" t="s">
        <v>1510</v>
      </c>
      <c r="U801" t="str">
        <f t="shared" si="179"/>
        <v>Reservoir St</v>
      </c>
      <c r="W801" t="str">
        <f t="shared" si="180"/>
        <v/>
      </c>
      <c r="X801" t="str">
        <f>IF(ISBLANK(S801),"Intersection","Non-Intersection")</f>
        <v>Non-Intersection</v>
      </c>
      <c r="Y801" t="s">
        <v>1511</v>
      </c>
      <c r="Z801" t="str">
        <f t="shared" si="181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82"/>
        <v>40179</v>
      </c>
      <c r="D802" s="4">
        <f t="shared" si="183"/>
        <v>0.55068493150684927</v>
      </c>
      <c r="E802" s="3">
        <f t="shared" si="184"/>
        <v>2010</v>
      </c>
      <c r="F802" s="3">
        <f t="shared" si="185"/>
        <v>7</v>
      </c>
      <c r="G802" s="3">
        <f t="shared" si="186"/>
        <v>21</v>
      </c>
      <c r="H802" s="3">
        <f t="shared" si="187"/>
        <v>15</v>
      </c>
      <c r="I802" s="3">
        <f t="shared" si="188"/>
        <v>59</v>
      </c>
      <c r="J802" s="3">
        <f t="shared" si="189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190"/>
        <v>YES</v>
      </c>
      <c r="Q802" t="str">
        <f t="shared" si="191"/>
        <v>NO</v>
      </c>
      <c r="R802" t="str">
        <f t="shared" si="192"/>
        <v>NO</v>
      </c>
      <c r="S802">
        <v>199</v>
      </c>
      <c r="T802" t="s">
        <v>170</v>
      </c>
      <c r="U802" t="str">
        <f t="shared" si="179"/>
        <v>Alewife Brook Pky</v>
      </c>
      <c r="W802" t="str">
        <f t="shared" si="180"/>
        <v/>
      </c>
      <c r="X802" t="str">
        <f>IF(ISBLANK(S802),"Intersection","Non-Intersection")</f>
        <v>Non-Intersection</v>
      </c>
      <c r="Y802" t="s">
        <v>1513</v>
      </c>
      <c r="Z802" t="str">
        <f t="shared" si="181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82"/>
        <v>40179</v>
      </c>
      <c r="D803" s="4">
        <f t="shared" si="183"/>
        <v>0.55068493150684927</v>
      </c>
      <c r="E803" s="3">
        <f t="shared" si="184"/>
        <v>2010</v>
      </c>
      <c r="F803" s="3">
        <f t="shared" si="185"/>
        <v>7</v>
      </c>
      <c r="G803" s="3">
        <f t="shared" si="186"/>
        <v>21</v>
      </c>
      <c r="H803" s="3">
        <f t="shared" si="187"/>
        <v>15</v>
      </c>
      <c r="I803" s="3">
        <f t="shared" si="188"/>
        <v>0</v>
      </c>
      <c r="J803" s="3">
        <f t="shared" si="189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190"/>
        <v>YES</v>
      </c>
      <c r="Q803" t="str">
        <f t="shared" si="191"/>
        <v>NO</v>
      </c>
      <c r="R803" t="str">
        <f t="shared" si="192"/>
        <v>NO</v>
      </c>
      <c r="S803">
        <v>250</v>
      </c>
      <c r="T803" t="s">
        <v>53</v>
      </c>
      <c r="U803" t="str">
        <f t="shared" si="179"/>
        <v>Monsignor Obrien Hwy</v>
      </c>
      <c r="W803" t="str">
        <f t="shared" si="180"/>
        <v/>
      </c>
      <c r="X803" t="str">
        <f>IF(ISBLANK(S803),"Intersection","Non-Intersection")</f>
        <v>Non-Intersection</v>
      </c>
      <c r="Y803" t="s">
        <v>1515</v>
      </c>
      <c r="Z803" t="str">
        <f t="shared" si="181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82"/>
        <v>40179</v>
      </c>
      <c r="D804" s="4">
        <f t="shared" si="183"/>
        <v>0.55068493150684927</v>
      </c>
      <c r="E804" s="3">
        <f t="shared" si="184"/>
        <v>2010</v>
      </c>
      <c r="F804" s="3">
        <f t="shared" si="185"/>
        <v>7</v>
      </c>
      <c r="G804" s="3">
        <f t="shared" si="186"/>
        <v>21</v>
      </c>
      <c r="H804" s="3">
        <f t="shared" si="187"/>
        <v>17</v>
      </c>
      <c r="I804" s="3">
        <f t="shared" si="188"/>
        <v>20</v>
      </c>
      <c r="J804" s="3">
        <f t="shared" si="189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190"/>
        <v>YES</v>
      </c>
      <c r="Q804" t="str">
        <f t="shared" si="191"/>
        <v>YES</v>
      </c>
      <c r="R804" t="str">
        <f t="shared" si="192"/>
        <v>NO</v>
      </c>
      <c r="S804">
        <v>689</v>
      </c>
      <c r="T804" t="s">
        <v>14</v>
      </c>
      <c r="U804" t="str">
        <f t="shared" si="179"/>
        <v>Massachusetts Ave</v>
      </c>
      <c r="W804" t="str">
        <f t="shared" si="180"/>
        <v/>
      </c>
      <c r="X804" t="str">
        <f>IF(ISBLANK(S804),"Intersection","Non-Intersection")</f>
        <v>Non-Intersection</v>
      </c>
      <c r="Y804" t="s">
        <v>1517</v>
      </c>
      <c r="Z804" t="str">
        <f t="shared" si="181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82"/>
        <v>40179</v>
      </c>
      <c r="D805" s="4">
        <f t="shared" si="183"/>
        <v>0.55342465753424652</v>
      </c>
      <c r="E805" s="3">
        <f t="shared" si="184"/>
        <v>2010</v>
      </c>
      <c r="F805" s="3">
        <f t="shared" si="185"/>
        <v>7</v>
      </c>
      <c r="G805" s="3">
        <f t="shared" si="186"/>
        <v>22</v>
      </c>
      <c r="H805" s="3">
        <f t="shared" si="187"/>
        <v>11</v>
      </c>
      <c r="I805" s="3">
        <f t="shared" si="188"/>
        <v>39</v>
      </c>
      <c r="J805" s="3">
        <f t="shared" si="189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190"/>
        <v>YES</v>
      </c>
      <c r="Q805" t="str">
        <f t="shared" si="191"/>
        <v>NO</v>
      </c>
      <c r="R805" t="str">
        <f t="shared" si="192"/>
        <v>NO</v>
      </c>
      <c r="S805">
        <v>679</v>
      </c>
      <c r="T805" t="s">
        <v>186</v>
      </c>
      <c r="U805" t="str">
        <f t="shared" si="179"/>
        <v>Concord Ave</v>
      </c>
      <c r="V805" t="s">
        <v>413</v>
      </c>
      <c r="W805" t="str">
        <f t="shared" si="180"/>
        <v>Smith Pl</v>
      </c>
      <c r="X805" t="str">
        <f>IF(ISBLANK(S805),"Intersection","Non-Intersection")</f>
        <v>Non-Intersection</v>
      </c>
      <c r="Y805" t="s">
        <v>1335</v>
      </c>
      <c r="Z805" t="str">
        <f t="shared" si="181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82"/>
        <v>40179</v>
      </c>
      <c r="D806" s="4">
        <f t="shared" si="183"/>
        <v>0.55342465753424652</v>
      </c>
      <c r="E806" s="3">
        <f t="shared" si="184"/>
        <v>2010</v>
      </c>
      <c r="F806" s="3">
        <f t="shared" si="185"/>
        <v>7</v>
      </c>
      <c r="G806" s="3">
        <f t="shared" si="186"/>
        <v>22</v>
      </c>
      <c r="H806" s="3">
        <f t="shared" si="187"/>
        <v>16</v>
      </c>
      <c r="I806" s="3">
        <f t="shared" si="188"/>
        <v>40</v>
      </c>
      <c r="J806" s="3">
        <f t="shared" si="189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190"/>
        <v>YES</v>
      </c>
      <c r="Q806" t="str">
        <f t="shared" si="191"/>
        <v>NO</v>
      </c>
      <c r="R806" t="str">
        <f t="shared" si="192"/>
        <v>NO</v>
      </c>
      <c r="T806" t="s">
        <v>74</v>
      </c>
      <c r="U806" t="str">
        <f t="shared" si="179"/>
        <v>Hampshire St</v>
      </c>
      <c r="W806" t="str">
        <f t="shared" si="180"/>
        <v/>
      </c>
      <c r="X806" t="str">
        <f>IF(ISBLANK(S806),"Intersection","Non-Intersection")</f>
        <v>Intersection</v>
      </c>
      <c r="Y806" t="s">
        <v>1519</v>
      </c>
      <c r="Z806" t="str">
        <f t="shared" si="181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82"/>
        <v>40179</v>
      </c>
      <c r="D807" s="4">
        <f t="shared" si="183"/>
        <v>0.55342465753424652</v>
      </c>
      <c r="E807" s="3">
        <f t="shared" si="184"/>
        <v>2010</v>
      </c>
      <c r="F807" s="3">
        <f t="shared" si="185"/>
        <v>7</v>
      </c>
      <c r="G807" s="3">
        <f t="shared" si="186"/>
        <v>22</v>
      </c>
      <c r="H807" s="3">
        <f t="shared" si="187"/>
        <v>17</v>
      </c>
      <c r="I807" s="3">
        <f t="shared" si="188"/>
        <v>57</v>
      </c>
      <c r="J807" s="3">
        <f t="shared" si="189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190"/>
        <v>YES</v>
      </c>
      <c r="Q807" t="str">
        <f t="shared" si="191"/>
        <v>NO</v>
      </c>
      <c r="R807" t="str">
        <f t="shared" si="192"/>
        <v>NO</v>
      </c>
      <c r="T807" t="s">
        <v>185</v>
      </c>
      <c r="U807" t="str">
        <f t="shared" si="179"/>
        <v>Garden St</v>
      </c>
      <c r="V807" t="s">
        <v>252</v>
      </c>
      <c r="W807" t="str">
        <f t="shared" si="180"/>
        <v>Walden St</v>
      </c>
      <c r="X807" t="str">
        <f>IF(ISBLANK(S807),"Intersection","Non-Intersection")</f>
        <v>Intersection</v>
      </c>
      <c r="Y807" t="s">
        <v>1460</v>
      </c>
      <c r="Z807" t="str">
        <f t="shared" si="181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82"/>
        <v>40179</v>
      </c>
      <c r="D808" s="4">
        <f t="shared" si="183"/>
        <v>0.55616438356164388</v>
      </c>
      <c r="E808" s="3">
        <f t="shared" si="184"/>
        <v>2010</v>
      </c>
      <c r="F808" s="3">
        <f t="shared" si="185"/>
        <v>7</v>
      </c>
      <c r="G808" s="3">
        <f t="shared" si="186"/>
        <v>23</v>
      </c>
      <c r="H808" s="3">
        <f t="shared" si="187"/>
        <v>14</v>
      </c>
      <c r="I808" s="3">
        <f t="shared" si="188"/>
        <v>39</v>
      </c>
      <c r="J808" s="3">
        <f t="shared" si="189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190"/>
        <v>YES</v>
      </c>
      <c r="Q808" t="str">
        <f t="shared" si="191"/>
        <v>NO</v>
      </c>
      <c r="R808" t="str">
        <f t="shared" si="192"/>
        <v>NO</v>
      </c>
      <c r="T808" t="s">
        <v>19</v>
      </c>
      <c r="U808" t="str">
        <f t="shared" si="179"/>
        <v>Cambridge St</v>
      </c>
      <c r="V808" t="s">
        <v>1520</v>
      </c>
      <c r="W808" t="str">
        <f t="shared" si="180"/>
        <v>Fayette St</v>
      </c>
      <c r="X808" t="str">
        <f>IF(ISBLANK(S808),"Intersection","Non-Intersection")</f>
        <v>Intersection</v>
      </c>
      <c r="Y808" t="s">
        <v>1521</v>
      </c>
      <c r="Z808" t="str">
        <f t="shared" si="181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82"/>
        <v>40179</v>
      </c>
      <c r="D809" s="4">
        <f t="shared" si="183"/>
        <v>0.55616438356164388</v>
      </c>
      <c r="E809" s="3">
        <f t="shared" si="184"/>
        <v>2010</v>
      </c>
      <c r="F809" s="3">
        <f t="shared" si="185"/>
        <v>7</v>
      </c>
      <c r="G809" s="3">
        <f t="shared" si="186"/>
        <v>23</v>
      </c>
      <c r="H809" s="3">
        <f t="shared" si="187"/>
        <v>17</v>
      </c>
      <c r="I809" s="3">
        <f t="shared" si="188"/>
        <v>10</v>
      </c>
      <c r="J809" s="3">
        <f t="shared" si="189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190"/>
        <v>YES</v>
      </c>
      <c r="Q809" t="str">
        <f t="shared" si="191"/>
        <v>NO</v>
      </c>
      <c r="R809" t="str">
        <f t="shared" si="192"/>
        <v>NO</v>
      </c>
      <c r="T809" t="s">
        <v>379</v>
      </c>
      <c r="U809" t="str">
        <f t="shared" si="179"/>
        <v>Second St</v>
      </c>
      <c r="V809" t="s">
        <v>261</v>
      </c>
      <c r="W809" t="str">
        <f t="shared" si="180"/>
        <v>Otis St</v>
      </c>
      <c r="X809" t="str">
        <f>IF(ISBLANK(S809),"Intersection","Non-Intersection")</f>
        <v>Intersection</v>
      </c>
      <c r="Y809" t="s">
        <v>1523</v>
      </c>
      <c r="Z809" t="str">
        <f t="shared" si="181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82"/>
        <v>40179</v>
      </c>
      <c r="D810" s="4">
        <f t="shared" si="183"/>
        <v>0.55616438356164388</v>
      </c>
      <c r="E810" s="3">
        <f t="shared" si="184"/>
        <v>2010</v>
      </c>
      <c r="F810" s="3">
        <f t="shared" si="185"/>
        <v>7</v>
      </c>
      <c r="G810" s="3">
        <f t="shared" si="186"/>
        <v>23</v>
      </c>
      <c r="H810" s="3">
        <f t="shared" si="187"/>
        <v>14</v>
      </c>
      <c r="I810" s="3">
        <f t="shared" si="188"/>
        <v>0</v>
      </c>
      <c r="J810" s="3">
        <f t="shared" si="189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190"/>
        <v>YES</v>
      </c>
      <c r="Q810" t="str">
        <f t="shared" si="191"/>
        <v>NO</v>
      </c>
      <c r="R810" t="str">
        <f t="shared" si="192"/>
        <v>NO</v>
      </c>
      <c r="T810" t="s">
        <v>198</v>
      </c>
      <c r="U810" t="str">
        <f t="shared" si="179"/>
        <v>Mount Auburn St</v>
      </c>
      <c r="V810" t="s">
        <v>1525</v>
      </c>
      <c r="W810" t="str">
        <f t="shared" si="180"/>
        <v>Lowell St</v>
      </c>
      <c r="X810" t="str">
        <f>IF(ISBLANK(S810),"Intersection","Non-Intersection")</f>
        <v>Intersection</v>
      </c>
      <c r="Y810" t="s">
        <v>1526</v>
      </c>
      <c r="Z810" t="str">
        <f t="shared" si="181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82"/>
        <v>40179</v>
      </c>
      <c r="D811" s="4">
        <f t="shared" si="183"/>
        <v>0.55890410958904113</v>
      </c>
      <c r="E811" s="3">
        <f t="shared" si="184"/>
        <v>2010</v>
      </c>
      <c r="F811" s="3">
        <f t="shared" si="185"/>
        <v>7</v>
      </c>
      <c r="G811" s="3">
        <f t="shared" si="186"/>
        <v>24</v>
      </c>
      <c r="H811" s="3">
        <f t="shared" si="187"/>
        <v>12</v>
      </c>
      <c r="I811" s="3">
        <f t="shared" si="188"/>
        <v>55</v>
      </c>
      <c r="J811" s="3">
        <f t="shared" si="189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190"/>
        <v>YES</v>
      </c>
      <c r="Q811" t="str">
        <f t="shared" si="191"/>
        <v>NO</v>
      </c>
      <c r="R811" t="str">
        <f t="shared" si="192"/>
        <v>NO</v>
      </c>
      <c r="S811">
        <v>625</v>
      </c>
      <c r="T811" t="s">
        <v>14</v>
      </c>
      <c r="U811" t="str">
        <f t="shared" si="179"/>
        <v>Massachusetts Ave</v>
      </c>
      <c r="W811" t="str">
        <f t="shared" si="180"/>
        <v/>
      </c>
      <c r="X811" t="str">
        <f>IF(ISBLANK(S811),"Intersection","Non-Intersection")</f>
        <v>Non-Intersection</v>
      </c>
      <c r="Y811" t="s">
        <v>1528</v>
      </c>
      <c r="Z811" t="str">
        <f t="shared" si="181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82"/>
        <v>40179</v>
      </c>
      <c r="D812" s="4">
        <f t="shared" si="183"/>
        <v>0.55890410958904113</v>
      </c>
      <c r="E812" s="3">
        <f t="shared" si="184"/>
        <v>2010</v>
      </c>
      <c r="F812" s="3">
        <f t="shared" si="185"/>
        <v>7</v>
      </c>
      <c r="G812" s="3">
        <f t="shared" si="186"/>
        <v>24</v>
      </c>
      <c r="H812" s="3">
        <f t="shared" si="187"/>
        <v>13</v>
      </c>
      <c r="I812" s="3">
        <f t="shared" si="188"/>
        <v>50</v>
      </c>
      <c r="J812" s="3">
        <f t="shared" si="189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190"/>
        <v>YES</v>
      </c>
      <c r="Q812" t="str">
        <f t="shared" si="191"/>
        <v>NO</v>
      </c>
      <c r="R812" t="str">
        <f t="shared" si="192"/>
        <v>NO</v>
      </c>
      <c r="S812">
        <v>2615</v>
      </c>
      <c r="T812" t="s">
        <v>14</v>
      </c>
      <c r="U812" t="str">
        <f t="shared" si="179"/>
        <v>Massachusetts Ave</v>
      </c>
      <c r="W812" t="str">
        <f t="shared" si="180"/>
        <v/>
      </c>
      <c r="X812" t="str">
        <f>IF(ISBLANK(S812),"Intersection","Non-Intersection")</f>
        <v>Non-Intersection</v>
      </c>
      <c r="Y812" t="s">
        <v>1530</v>
      </c>
      <c r="Z812" t="str">
        <f t="shared" si="181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82"/>
        <v>40179</v>
      </c>
      <c r="D813" s="4">
        <f t="shared" si="183"/>
        <v>0.55890410958904113</v>
      </c>
      <c r="E813" s="3">
        <f t="shared" si="184"/>
        <v>2010</v>
      </c>
      <c r="F813" s="3">
        <f t="shared" si="185"/>
        <v>7</v>
      </c>
      <c r="G813" s="3">
        <f t="shared" si="186"/>
        <v>24</v>
      </c>
      <c r="H813" s="3">
        <f t="shared" si="187"/>
        <v>18</v>
      </c>
      <c r="I813" s="3">
        <f t="shared" si="188"/>
        <v>24</v>
      </c>
      <c r="J813" s="3">
        <f t="shared" si="189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190"/>
        <v>YES</v>
      </c>
      <c r="Q813" t="str">
        <f t="shared" si="191"/>
        <v>NO</v>
      </c>
      <c r="R813" t="str">
        <f t="shared" si="192"/>
        <v>NO</v>
      </c>
      <c r="T813" t="s">
        <v>209</v>
      </c>
      <c r="U813" t="str">
        <f t="shared" si="179"/>
        <v>Binney St</v>
      </c>
      <c r="V813" t="s">
        <v>760</v>
      </c>
      <c r="W813" t="str">
        <f t="shared" si="180"/>
        <v>Fulkerson St</v>
      </c>
      <c r="X813" t="str">
        <f>IF(ISBLANK(S813),"Intersection","Non-Intersection")</f>
        <v>Intersection</v>
      </c>
      <c r="Y813" t="s">
        <v>1532</v>
      </c>
      <c r="Z813" t="str">
        <f t="shared" si="181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82"/>
        <v>40179</v>
      </c>
      <c r="D814" s="4">
        <f t="shared" si="183"/>
        <v>0.55890410958904113</v>
      </c>
      <c r="E814" s="3">
        <f t="shared" si="184"/>
        <v>2010</v>
      </c>
      <c r="F814" s="3">
        <f t="shared" si="185"/>
        <v>7</v>
      </c>
      <c r="G814" s="3">
        <f t="shared" si="186"/>
        <v>24</v>
      </c>
      <c r="H814" s="3">
        <f t="shared" si="187"/>
        <v>21</v>
      </c>
      <c r="I814" s="3">
        <f t="shared" si="188"/>
        <v>59</v>
      </c>
      <c r="J814" s="3">
        <f t="shared" si="189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190"/>
        <v>YES</v>
      </c>
      <c r="Q814" t="str">
        <f t="shared" si="191"/>
        <v>NO</v>
      </c>
      <c r="R814" t="str">
        <f t="shared" si="192"/>
        <v>NO</v>
      </c>
      <c r="T814" t="s">
        <v>1533</v>
      </c>
      <c r="U814" t="str">
        <f t="shared" si="179"/>
        <v>Valentine St</v>
      </c>
      <c r="V814" t="s">
        <v>70</v>
      </c>
      <c r="W814" t="str">
        <f t="shared" si="180"/>
        <v>Pearl St</v>
      </c>
      <c r="X814" t="str">
        <f>IF(ISBLANK(S814),"Intersection","Non-Intersection")</f>
        <v>Intersection</v>
      </c>
      <c r="Y814" t="s">
        <v>1534</v>
      </c>
      <c r="Z814" t="str">
        <f t="shared" si="181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82"/>
        <v>40179</v>
      </c>
      <c r="D815" s="4">
        <f t="shared" si="183"/>
        <v>0.55890410958904113</v>
      </c>
      <c r="E815" s="3">
        <f t="shared" si="184"/>
        <v>2010</v>
      </c>
      <c r="F815" s="3">
        <f t="shared" si="185"/>
        <v>7</v>
      </c>
      <c r="G815" s="3">
        <f t="shared" si="186"/>
        <v>24</v>
      </c>
      <c r="H815" s="3">
        <f t="shared" si="187"/>
        <v>6</v>
      </c>
      <c r="I815" s="3">
        <f t="shared" si="188"/>
        <v>49</v>
      </c>
      <c r="J815" s="3">
        <f t="shared" si="189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190"/>
        <v>YES</v>
      </c>
      <c r="Q815" t="str">
        <f t="shared" si="191"/>
        <v>NO</v>
      </c>
      <c r="R815" t="str">
        <f t="shared" si="192"/>
        <v>NO</v>
      </c>
      <c r="S815">
        <v>1</v>
      </c>
      <c r="T815" t="s">
        <v>501</v>
      </c>
      <c r="U815" t="str">
        <f t="shared" si="179"/>
        <v>Garfield St</v>
      </c>
      <c r="W815" t="str">
        <f t="shared" si="180"/>
        <v/>
      </c>
      <c r="X815" t="str">
        <f>IF(ISBLANK(S815),"Intersection","Non-Intersection")</f>
        <v>Non-Intersection</v>
      </c>
      <c r="Y815" t="s">
        <v>1536</v>
      </c>
      <c r="Z815" t="str">
        <f t="shared" si="181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82"/>
        <v>40179</v>
      </c>
      <c r="D816" s="4">
        <f t="shared" si="183"/>
        <v>0.56438356164383563</v>
      </c>
      <c r="E816" s="3">
        <f t="shared" si="184"/>
        <v>2010</v>
      </c>
      <c r="F816" s="3">
        <f t="shared" si="185"/>
        <v>7</v>
      </c>
      <c r="G816" s="3">
        <f t="shared" si="186"/>
        <v>26</v>
      </c>
      <c r="H816" s="3">
        <f t="shared" si="187"/>
        <v>9</v>
      </c>
      <c r="I816" s="3">
        <f t="shared" si="188"/>
        <v>59</v>
      </c>
      <c r="J816" s="3">
        <f t="shared" si="189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190"/>
        <v>YES</v>
      </c>
      <c r="Q816" t="str">
        <f t="shared" si="191"/>
        <v>NO</v>
      </c>
      <c r="R816" t="str">
        <f t="shared" si="192"/>
        <v>NO</v>
      </c>
      <c r="T816" t="s">
        <v>745</v>
      </c>
      <c r="U816" t="str">
        <f t="shared" si="179"/>
        <v>Norfolk St</v>
      </c>
      <c r="V816" t="s">
        <v>100</v>
      </c>
      <c r="W816" t="str">
        <f t="shared" si="180"/>
        <v>Suffolk St</v>
      </c>
      <c r="X816" t="str">
        <f>IF(ISBLANK(S816),"Intersection","Non-Intersection")</f>
        <v>Intersection</v>
      </c>
      <c r="Y816" t="s">
        <v>1538</v>
      </c>
      <c r="Z816" t="str">
        <f t="shared" si="181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82"/>
        <v>40179</v>
      </c>
      <c r="D817" s="4">
        <f t="shared" si="183"/>
        <v>0.56438356164383563</v>
      </c>
      <c r="E817" s="3">
        <f t="shared" si="184"/>
        <v>2010</v>
      </c>
      <c r="F817" s="3">
        <f t="shared" si="185"/>
        <v>7</v>
      </c>
      <c r="G817" s="3">
        <f t="shared" si="186"/>
        <v>26</v>
      </c>
      <c r="H817" s="3">
        <f t="shared" si="187"/>
        <v>11</v>
      </c>
      <c r="I817" s="3">
        <f t="shared" si="188"/>
        <v>0</v>
      </c>
      <c r="J817" s="3">
        <f t="shared" si="189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190"/>
        <v>YES</v>
      </c>
      <c r="Q817" t="str">
        <f t="shared" si="191"/>
        <v>NO</v>
      </c>
      <c r="R817" t="str">
        <f t="shared" si="192"/>
        <v>NO</v>
      </c>
      <c r="T817" t="s">
        <v>27</v>
      </c>
      <c r="U817" t="str">
        <f t="shared" si="179"/>
        <v>Western Ave</v>
      </c>
      <c r="V817" t="s">
        <v>757</v>
      </c>
      <c r="W817" t="str">
        <f t="shared" si="180"/>
        <v>Blackstone St</v>
      </c>
      <c r="X817" t="str">
        <f>IF(ISBLANK(S817),"Intersection","Non-Intersection")</f>
        <v>Intersection</v>
      </c>
      <c r="Y817" t="s">
        <v>1405</v>
      </c>
      <c r="Z817" t="str">
        <f t="shared" si="181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82"/>
        <v>40179</v>
      </c>
      <c r="D818" s="4">
        <f t="shared" si="183"/>
        <v>0.56438356164383563</v>
      </c>
      <c r="E818" s="3">
        <f t="shared" si="184"/>
        <v>2010</v>
      </c>
      <c r="F818" s="3">
        <f t="shared" si="185"/>
        <v>7</v>
      </c>
      <c r="G818" s="3">
        <f t="shared" si="186"/>
        <v>26</v>
      </c>
      <c r="H818" s="3">
        <f t="shared" si="187"/>
        <v>17</v>
      </c>
      <c r="I818" s="3">
        <f t="shared" si="188"/>
        <v>39</v>
      </c>
      <c r="J818" s="3">
        <f t="shared" si="189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190"/>
        <v>YES</v>
      </c>
      <c r="Q818" t="str">
        <f t="shared" si="191"/>
        <v>NO</v>
      </c>
      <c r="R818" t="str">
        <f t="shared" si="192"/>
        <v>NO</v>
      </c>
      <c r="T818" t="s">
        <v>1502</v>
      </c>
      <c r="U818" t="str">
        <f t="shared" si="179"/>
        <v>Gore St</v>
      </c>
      <c r="V818" t="s">
        <v>20</v>
      </c>
      <c r="W818" t="str">
        <f t="shared" si="180"/>
        <v>Sciarappa St</v>
      </c>
      <c r="X818" t="str">
        <f>IF(ISBLANK(S818),"Intersection","Non-Intersection")</f>
        <v>Intersection</v>
      </c>
      <c r="Y818" t="s">
        <v>1540</v>
      </c>
      <c r="Z818" t="str">
        <f t="shared" si="181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82"/>
        <v>40179</v>
      </c>
      <c r="D819" s="4">
        <f t="shared" si="183"/>
        <v>0.56438356164383563</v>
      </c>
      <c r="E819" s="3">
        <f t="shared" si="184"/>
        <v>2010</v>
      </c>
      <c r="F819" s="3">
        <f t="shared" si="185"/>
        <v>7</v>
      </c>
      <c r="G819" s="3">
        <f t="shared" si="186"/>
        <v>26</v>
      </c>
      <c r="H819" s="3">
        <f t="shared" si="187"/>
        <v>13</v>
      </c>
      <c r="I819" s="3">
        <f t="shared" si="188"/>
        <v>25</v>
      </c>
      <c r="J819" s="3">
        <f t="shared" si="189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190"/>
        <v>YES</v>
      </c>
      <c r="Q819" t="str">
        <f t="shared" si="191"/>
        <v>NO</v>
      </c>
      <c r="R819" t="str">
        <f t="shared" si="192"/>
        <v>NO</v>
      </c>
      <c r="T819" t="s">
        <v>198</v>
      </c>
      <c r="U819" t="str">
        <f t="shared" si="179"/>
        <v>Mount Auburn St</v>
      </c>
      <c r="V819" t="s">
        <v>199</v>
      </c>
      <c r="W819" t="str">
        <f t="shared" si="180"/>
        <v>Brattle St</v>
      </c>
      <c r="X819" t="str">
        <f>IF(ISBLANK(S819),"Intersection","Non-Intersection")</f>
        <v>Intersection</v>
      </c>
      <c r="Y819" t="s">
        <v>767</v>
      </c>
      <c r="Z819" t="str">
        <f t="shared" si="181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82"/>
        <v>40179</v>
      </c>
      <c r="D820" s="4">
        <f t="shared" si="183"/>
        <v>0.56712328767123288</v>
      </c>
      <c r="E820" s="3">
        <f t="shared" si="184"/>
        <v>2010</v>
      </c>
      <c r="F820" s="3">
        <f t="shared" si="185"/>
        <v>7</v>
      </c>
      <c r="G820" s="3">
        <f t="shared" si="186"/>
        <v>27</v>
      </c>
      <c r="H820" s="3">
        <f t="shared" si="187"/>
        <v>22</v>
      </c>
      <c r="I820" s="3">
        <f t="shared" si="188"/>
        <v>27</v>
      </c>
      <c r="J820" s="3">
        <f t="shared" si="189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190"/>
        <v>YES</v>
      </c>
      <c r="Q820" t="str">
        <f t="shared" si="191"/>
        <v>NO</v>
      </c>
      <c r="R820" t="str">
        <f t="shared" si="192"/>
        <v>YES</v>
      </c>
      <c r="T820" t="s">
        <v>178</v>
      </c>
      <c r="U820" t="str">
        <f t="shared" si="179"/>
        <v>Pleasant St</v>
      </c>
      <c r="V820" t="s">
        <v>332</v>
      </c>
      <c r="W820" t="str">
        <f t="shared" si="180"/>
        <v>Allston St</v>
      </c>
      <c r="X820" t="str">
        <f>IF(ISBLANK(S820),"Intersection","Non-Intersection")</f>
        <v>Intersection</v>
      </c>
      <c r="Y820" t="s">
        <v>1542</v>
      </c>
      <c r="Z820" t="str">
        <f t="shared" si="181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82"/>
        <v>40179</v>
      </c>
      <c r="D821" s="4">
        <f t="shared" si="183"/>
        <v>0.56986301369863013</v>
      </c>
      <c r="E821" s="3">
        <f t="shared" si="184"/>
        <v>2010</v>
      </c>
      <c r="F821" s="3">
        <f t="shared" si="185"/>
        <v>7</v>
      </c>
      <c r="G821" s="3">
        <f t="shared" si="186"/>
        <v>28</v>
      </c>
      <c r="H821" s="3">
        <f t="shared" si="187"/>
        <v>2</v>
      </c>
      <c r="I821" s="3">
        <f t="shared" si="188"/>
        <v>0</v>
      </c>
      <c r="J821" s="3">
        <f t="shared" si="189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190"/>
        <v>YES</v>
      </c>
      <c r="Q821" t="str">
        <f t="shared" si="191"/>
        <v>NO</v>
      </c>
      <c r="R821" t="str">
        <f t="shared" si="192"/>
        <v>NO</v>
      </c>
      <c r="S821">
        <v>488</v>
      </c>
      <c r="T821" t="s">
        <v>509</v>
      </c>
      <c r="U821" t="str">
        <f t="shared" si="179"/>
        <v>Green St</v>
      </c>
      <c r="W821" t="str">
        <f t="shared" si="180"/>
        <v/>
      </c>
      <c r="X821" t="str">
        <f>IF(ISBLANK(S821),"Intersection","Non-Intersection")</f>
        <v>Non-Intersection</v>
      </c>
      <c r="Y821" t="s">
        <v>1543</v>
      </c>
      <c r="Z821" t="str">
        <f t="shared" si="181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82"/>
        <v>40179</v>
      </c>
      <c r="D822" s="4">
        <f t="shared" si="183"/>
        <v>0.56986301369863013</v>
      </c>
      <c r="E822" s="3">
        <f t="shared" si="184"/>
        <v>2010</v>
      </c>
      <c r="F822" s="3">
        <f t="shared" si="185"/>
        <v>7</v>
      </c>
      <c r="G822" s="3">
        <f t="shared" si="186"/>
        <v>28</v>
      </c>
      <c r="H822" s="3">
        <f t="shared" si="187"/>
        <v>12</v>
      </c>
      <c r="I822" s="3">
        <f t="shared" si="188"/>
        <v>0</v>
      </c>
      <c r="J822" s="3">
        <f t="shared" si="189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190"/>
        <v>YES</v>
      </c>
      <c r="Q822" t="str">
        <f t="shared" si="191"/>
        <v>NO</v>
      </c>
      <c r="R822" t="str">
        <f t="shared" si="192"/>
        <v>NO</v>
      </c>
      <c r="T822" t="s">
        <v>19</v>
      </c>
      <c r="U822" t="str">
        <f t="shared" si="179"/>
        <v>Cambridge St</v>
      </c>
      <c r="V822" t="s">
        <v>387</v>
      </c>
      <c r="W822" t="str">
        <f t="shared" si="180"/>
        <v>Antrim St</v>
      </c>
      <c r="X822" t="str">
        <f>IF(ISBLANK(S822),"Intersection","Non-Intersection")</f>
        <v>Intersection</v>
      </c>
      <c r="Y822" t="s">
        <v>952</v>
      </c>
      <c r="Z822" t="str">
        <f t="shared" si="181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82"/>
        <v>40179</v>
      </c>
      <c r="D823" s="4">
        <f t="shared" si="183"/>
        <v>0.56986301369863013</v>
      </c>
      <c r="E823" s="3">
        <f t="shared" si="184"/>
        <v>2010</v>
      </c>
      <c r="F823" s="3">
        <f t="shared" si="185"/>
        <v>7</v>
      </c>
      <c r="G823" s="3">
        <f t="shared" si="186"/>
        <v>28</v>
      </c>
      <c r="H823" s="3">
        <f t="shared" si="187"/>
        <v>21</v>
      </c>
      <c r="I823" s="3">
        <f t="shared" si="188"/>
        <v>0</v>
      </c>
      <c r="J823" s="3">
        <f t="shared" si="189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190"/>
        <v>YES</v>
      </c>
      <c r="Q823" t="str">
        <f t="shared" si="191"/>
        <v>NO</v>
      </c>
      <c r="R823" t="str">
        <f t="shared" si="192"/>
        <v>NO</v>
      </c>
      <c r="S823">
        <v>21</v>
      </c>
      <c r="T823" t="s">
        <v>1545</v>
      </c>
      <c r="U823" t="str">
        <f t="shared" si="179"/>
        <v>Washington St</v>
      </c>
      <c r="W823" t="str">
        <f t="shared" si="180"/>
        <v/>
      </c>
      <c r="X823" t="str">
        <f>IF(ISBLANK(S823),"Intersection","Non-Intersection")</f>
        <v>Non-Intersection</v>
      </c>
      <c r="Y823" t="s">
        <v>1546</v>
      </c>
      <c r="Z823" t="str">
        <f t="shared" si="181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82"/>
        <v>40179</v>
      </c>
      <c r="D824" s="4">
        <f t="shared" si="183"/>
        <v>0.57260273972602738</v>
      </c>
      <c r="E824" s="3">
        <f t="shared" si="184"/>
        <v>2010</v>
      </c>
      <c r="F824" s="3">
        <f t="shared" si="185"/>
        <v>7</v>
      </c>
      <c r="G824" s="3">
        <f t="shared" si="186"/>
        <v>29</v>
      </c>
      <c r="H824" s="3">
        <f t="shared" si="187"/>
        <v>0</v>
      </c>
      <c r="I824" s="3">
        <f t="shared" si="188"/>
        <v>11</v>
      </c>
      <c r="J824" s="3">
        <f t="shared" si="189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190"/>
        <v>YES</v>
      </c>
      <c r="Q824" t="str">
        <f t="shared" si="191"/>
        <v>NO</v>
      </c>
      <c r="R824" t="str">
        <f t="shared" si="192"/>
        <v>NO</v>
      </c>
      <c r="S824">
        <v>13</v>
      </c>
      <c r="T824" t="s">
        <v>1548</v>
      </c>
      <c r="U824" t="str">
        <f t="shared" si="179"/>
        <v>Orrin St</v>
      </c>
      <c r="W824" t="str">
        <f t="shared" si="180"/>
        <v/>
      </c>
      <c r="X824" t="str">
        <f>IF(ISBLANK(S824),"Intersection","Non-Intersection")</f>
        <v>Non-Intersection</v>
      </c>
      <c r="Y824" t="s">
        <v>1549</v>
      </c>
      <c r="Z824" t="str">
        <f t="shared" si="181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82"/>
        <v>40179</v>
      </c>
      <c r="D825" s="4">
        <f t="shared" si="183"/>
        <v>0.57260273972602738</v>
      </c>
      <c r="E825" s="3">
        <f t="shared" si="184"/>
        <v>2010</v>
      </c>
      <c r="F825" s="3">
        <f t="shared" si="185"/>
        <v>7</v>
      </c>
      <c r="G825" s="3">
        <f t="shared" si="186"/>
        <v>29</v>
      </c>
      <c r="H825" s="3">
        <f t="shared" si="187"/>
        <v>9</v>
      </c>
      <c r="I825" s="3">
        <f t="shared" si="188"/>
        <v>14</v>
      </c>
      <c r="J825" s="3">
        <f t="shared" si="189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190"/>
        <v>YES</v>
      </c>
      <c r="Q825" t="str">
        <f t="shared" si="191"/>
        <v>NO</v>
      </c>
      <c r="R825" t="str">
        <f t="shared" si="192"/>
        <v>NO</v>
      </c>
      <c r="T825" t="s">
        <v>105</v>
      </c>
      <c r="U825" t="str">
        <f t="shared" si="179"/>
        <v>Broadway</v>
      </c>
      <c r="V825" t="s">
        <v>1016</v>
      </c>
      <c r="W825" t="str">
        <f t="shared" si="180"/>
        <v>Maple Ave</v>
      </c>
      <c r="X825" t="str">
        <f>IF(ISBLANK(S825),"Intersection","Non-Intersection")</f>
        <v>Intersection</v>
      </c>
      <c r="Y825" t="s">
        <v>1551</v>
      </c>
      <c r="Z825" t="str">
        <f t="shared" si="181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82"/>
        <v>40179</v>
      </c>
      <c r="D826" s="4">
        <f t="shared" si="183"/>
        <v>0.57260273972602738</v>
      </c>
      <c r="E826" s="3">
        <f t="shared" si="184"/>
        <v>2010</v>
      </c>
      <c r="F826" s="3">
        <f t="shared" si="185"/>
        <v>7</v>
      </c>
      <c r="G826" s="3">
        <f t="shared" si="186"/>
        <v>29</v>
      </c>
      <c r="H826" s="3">
        <f t="shared" si="187"/>
        <v>10</v>
      </c>
      <c r="I826" s="3">
        <f t="shared" si="188"/>
        <v>44</v>
      </c>
      <c r="J826" s="3">
        <f t="shared" si="189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190"/>
        <v>YES</v>
      </c>
      <c r="Q826" t="str">
        <f t="shared" si="191"/>
        <v>NO</v>
      </c>
      <c r="R826" t="str">
        <f t="shared" si="192"/>
        <v>NO</v>
      </c>
      <c r="S826">
        <v>101</v>
      </c>
      <c r="T826" t="s">
        <v>60</v>
      </c>
      <c r="U826" t="str">
        <f t="shared" si="179"/>
        <v>Rogers St</v>
      </c>
      <c r="W826" t="str">
        <f t="shared" si="180"/>
        <v/>
      </c>
      <c r="X826" t="str">
        <f>IF(ISBLANK(S826),"Intersection","Non-Intersection")</f>
        <v>Non-Intersection</v>
      </c>
      <c r="Y826" t="s">
        <v>1553</v>
      </c>
      <c r="Z826" t="str">
        <f t="shared" si="181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82"/>
        <v>40179</v>
      </c>
      <c r="D827" s="4">
        <f t="shared" si="183"/>
        <v>0.57260273972602738</v>
      </c>
      <c r="E827" s="3">
        <f t="shared" si="184"/>
        <v>2010</v>
      </c>
      <c r="F827" s="3">
        <f t="shared" si="185"/>
        <v>7</v>
      </c>
      <c r="G827" s="3">
        <f t="shared" si="186"/>
        <v>29</v>
      </c>
      <c r="H827" s="3">
        <f t="shared" si="187"/>
        <v>11</v>
      </c>
      <c r="I827" s="3">
        <f t="shared" si="188"/>
        <v>45</v>
      </c>
      <c r="J827" s="3">
        <f t="shared" si="189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190"/>
        <v>YES</v>
      </c>
      <c r="Q827" t="str">
        <f t="shared" si="191"/>
        <v>NO</v>
      </c>
      <c r="R827" t="str">
        <f t="shared" si="192"/>
        <v>NO</v>
      </c>
      <c r="S827">
        <v>42</v>
      </c>
      <c r="T827" t="s">
        <v>698</v>
      </c>
      <c r="U827" t="str">
        <f t="shared" si="179"/>
        <v>Thorndike St</v>
      </c>
      <c r="W827" t="str">
        <f t="shared" si="180"/>
        <v/>
      </c>
      <c r="X827" t="str">
        <f>IF(ISBLANK(S827),"Intersection","Non-Intersection")</f>
        <v>Non-Intersection</v>
      </c>
      <c r="Y827" t="s">
        <v>1555</v>
      </c>
      <c r="Z827" t="str">
        <f t="shared" si="181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82"/>
        <v>40179</v>
      </c>
      <c r="D828" s="4">
        <f t="shared" si="183"/>
        <v>0.57260273972602738</v>
      </c>
      <c r="E828" s="3">
        <f t="shared" si="184"/>
        <v>2010</v>
      </c>
      <c r="F828" s="3">
        <f t="shared" si="185"/>
        <v>7</v>
      </c>
      <c r="G828" s="3">
        <f t="shared" si="186"/>
        <v>29</v>
      </c>
      <c r="H828" s="3">
        <f t="shared" si="187"/>
        <v>13</v>
      </c>
      <c r="I828" s="3">
        <f t="shared" si="188"/>
        <v>16</v>
      </c>
      <c r="J828" s="3">
        <f t="shared" si="189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190"/>
        <v>YES</v>
      </c>
      <c r="Q828" t="str">
        <f t="shared" si="191"/>
        <v>NO</v>
      </c>
      <c r="R828" t="str">
        <f t="shared" si="192"/>
        <v>NO</v>
      </c>
      <c r="T828" t="s">
        <v>19</v>
      </c>
      <c r="U828" t="str">
        <f t="shared" si="179"/>
        <v>Cambridge St</v>
      </c>
      <c r="V828" t="s">
        <v>342</v>
      </c>
      <c r="W828" t="str">
        <f t="shared" si="180"/>
        <v>Prospect St</v>
      </c>
      <c r="X828" t="str">
        <f>IF(ISBLANK(S828),"Intersection","Non-Intersection")</f>
        <v>Intersection</v>
      </c>
      <c r="Y828" t="s">
        <v>821</v>
      </c>
      <c r="Z828" t="str">
        <f t="shared" si="181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82"/>
        <v>40179</v>
      </c>
      <c r="D829" s="4">
        <f t="shared" si="183"/>
        <v>0.57260273972602738</v>
      </c>
      <c r="E829" s="3">
        <f t="shared" si="184"/>
        <v>2010</v>
      </c>
      <c r="F829" s="3">
        <f t="shared" si="185"/>
        <v>7</v>
      </c>
      <c r="G829" s="3">
        <f t="shared" si="186"/>
        <v>29</v>
      </c>
      <c r="H829" s="3">
        <f t="shared" si="187"/>
        <v>14</v>
      </c>
      <c r="I829" s="3">
        <f t="shared" si="188"/>
        <v>45</v>
      </c>
      <c r="J829" s="3">
        <f t="shared" si="189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190"/>
        <v>YES</v>
      </c>
      <c r="Q829" t="str">
        <f t="shared" si="191"/>
        <v>NO</v>
      </c>
      <c r="R829" t="str">
        <f t="shared" si="192"/>
        <v>YES</v>
      </c>
      <c r="T829" t="s">
        <v>105</v>
      </c>
      <c r="U829" t="str">
        <f t="shared" si="179"/>
        <v>Broadway</v>
      </c>
      <c r="V829" t="s">
        <v>342</v>
      </c>
      <c r="W829" t="str">
        <f t="shared" si="180"/>
        <v>Prospect St</v>
      </c>
      <c r="X829" t="str">
        <f>IF(ISBLANK(S829),"Intersection","Non-Intersection")</f>
        <v>Intersection</v>
      </c>
      <c r="Y829" t="s">
        <v>343</v>
      </c>
      <c r="Z829" t="str">
        <f t="shared" si="181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82"/>
        <v>40179</v>
      </c>
      <c r="D830" s="4">
        <f t="shared" si="183"/>
        <v>0.57260273972602738</v>
      </c>
      <c r="E830" s="3">
        <f t="shared" si="184"/>
        <v>2010</v>
      </c>
      <c r="F830" s="3">
        <f t="shared" si="185"/>
        <v>7</v>
      </c>
      <c r="G830" s="3">
        <f t="shared" si="186"/>
        <v>29</v>
      </c>
      <c r="H830" s="3">
        <f t="shared" si="187"/>
        <v>15</v>
      </c>
      <c r="I830" s="3">
        <f t="shared" si="188"/>
        <v>14</v>
      </c>
      <c r="J830" s="3">
        <f t="shared" si="189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190"/>
        <v>YES</v>
      </c>
      <c r="Q830" t="str">
        <f t="shared" si="191"/>
        <v>NO</v>
      </c>
      <c r="R830" t="str">
        <f t="shared" si="192"/>
        <v>NO</v>
      </c>
      <c r="S830">
        <v>1221</v>
      </c>
      <c r="T830" t="s">
        <v>19</v>
      </c>
      <c r="U830" t="str">
        <f t="shared" si="179"/>
        <v>Cambridge St</v>
      </c>
      <c r="W830" t="str">
        <f t="shared" si="180"/>
        <v/>
      </c>
      <c r="X830" t="str">
        <f>IF(ISBLANK(S830),"Intersection","Non-Intersection")</f>
        <v>Non-Intersection</v>
      </c>
      <c r="Y830" t="s">
        <v>1557</v>
      </c>
      <c r="Z830" t="str">
        <f t="shared" si="181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82"/>
        <v>40179</v>
      </c>
      <c r="D831" s="4">
        <f t="shared" si="183"/>
        <v>0.57260273972602738</v>
      </c>
      <c r="E831" s="3">
        <f t="shared" si="184"/>
        <v>2010</v>
      </c>
      <c r="F831" s="3">
        <f t="shared" si="185"/>
        <v>7</v>
      </c>
      <c r="G831" s="3">
        <f t="shared" si="186"/>
        <v>29</v>
      </c>
      <c r="H831" s="3">
        <f t="shared" si="187"/>
        <v>18</v>
      </c>
      <c r="I831" s="3">
        <f t="shared" si="188"/>
        <v>24</v>
      </c>
      <c r="J831" s="3">
        <f t="shared" si="189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190"/>
        <v>YES</v>
      </c>
      <c r="Q831" t="str">
        <f t="shared" si="191"/>
        <v>NO</v>
      </c>
      <c r="R831" t="str">
        <f t="shared" si="192"/>
        <v>NO</v>
      </c>
      <c r="T831" t="s">
        <v>14</v>
      </c>
      <c r="U831" t="str">
        <f t="shared" si="179"/>
        <v>Massachusetts Ave</v>
      </c>
      <c r="V831" t="s">
        <v>185</v>
      </c>
      <c r="W831" t="str">
        <f t="shared" si="180"/>
        <v>Garden St</v>
      </c>
      <c r="X831" t="str">
        <f>IF(ISBLANK(S831),"Intersection","Non-Intersection")</f>
        <v>Intersection</v>
      </c>
      <c r="Y831" t="s">
        <v>1247</v>
      </c>
      <c r="Z831" t="str">
        <f t="shared" si="181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82"/>
        <v>40179</v>
      </c>
      <c r="D832" s="4">
        <f t="shared" si="183"/>
        <v>0.57534246575342463</v>
      </c>
      <c r="E832" s="3">
        <f t="shared" si="184"/>
        <v>2010</v>
      </c>
      <c r="F832" s="3">
        <f t="shared" si="185"/>
        <v>7</v>
      </c>
      <c r="G832" s="3">
        <f t="shared" si="186"/>
        <v>30</v>
      </c>
      <c r="H832" s="3">
        <f t="shared" si="187"/>
        <v>2</v>
      </c>
      <c r="I832" s="3">
        <f t="shared" si="188"/>
        <v>35</v>
      </c>
      <c r="J832" s="3">
        <f t="shared" si="189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190"/>
        <v>YES</v>
      </c>
      <c r="Q832" t="str">
        <f t="shared" si="191"/>
        <v>NO</v>
      </c>
      <c r="R832" t="str">
        <f t="shared" si="192"/>
        <v>NO</v>
      </c>
      <c r="S832">
        <v>85</v>
      </c>
      <c r="T832" t="s">
        <v>45</v>
      </c>
      <c r="U832" t="str">
        <f t="shared" si="179"/>
        <v>Sherman St</v>
      </c>
      <c r="W832" t="str">
        <f t="shared" si="180"/>
        <v/>
      </c>
      <c r="X832" t="str">
        <f>IF(ISBLANK(S832),"Intersection","Non-Intersection")</f>
        <v>Non-Intersection</v>
      </c>
      <c r="Y832" t="s">
        <v>1559</v>
      </c>
      <c r="Z832" t="str">
        <f t="shared" si="181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82"/>
        <v>40179</v>
      </c>
      <c r="D833" s="4">
        <f t="shared" si="183"/>
        <v>0.57534246575342463</v>
      </c>
      <c r="E833" s="3">
        <f t="shared" si="184"/>
        <v>2010</v>
      </c>
      <c r="F833" s="3">
        <f t="shared" si="185"/>
        <v>7</v>
      </c>
      <c r="G833" s="3">
        <f t="shared" si="186"/>
        <v>30</v>
      </c>
      <c r="H833" s="3">
        <f t="shared" si="187"/>
        <v>17</v>
      </c>
      <c r="I833" s="3">
        <f t="shared" si="188"/>
        <v>48</v>
      </c>
      <c r="J833" s="3">
        <f t="shared" si="189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190"/>
        <v>YES</v>
      </c>
      <c r="Q833" t="str">
        <f t="shared" si="191"/>
        <v>YES</v>
      </c>
      <c r="R833" t="str">
        <f t="shared" si="192"/>
        <v>NO</v>
      </c>
      <c r="T833" t="s">
        <v>19</v>
      </c>
      <c r="U833" t="str">
        <f t="shared" si="179"/>
        <v>Cambridge St</v>
      </c>
      <c r="V833" t="s">
        <v>803</v>
      </c>
      <c r="W833" t="str">
        <f t="shared" si="180"/>
        <v>Line St</v>
      </c>
      <c r="X833" t="str">
        <f>IF(ISBLANK(S833),"Intersection","Non-Intersection")</f>
        <v>Intersection</v>
      </c>
      <c r="Y833" t="s">
        <v>1561</v>
      </c>
      <c r="Z833" t="str">
        <f t="shared" si="181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82"/>
        <v>40179</v>
      </c>
      <c r="D834" s="4">
        <f t="shared" si="183"/>
        <v>0.57534246575342463</v>
      </c>
      <c r="E834" s="3">
        <f t="shared" si="184"/>
        <v>2010</v>
      </c>
      <c r="F834" s="3">
        <f t="shared" si="185"/>
        <v>7</v>
      </c>
      <c r="G834" s="3">
        <f t="shared" si="186"/>
        <v>30</v>
      </c>
      <c r="H834" s="3">
        <f t="shared" si="187"/>
        <v>9</v>
      </c>
      <c r="I834" s="3">
        <f t="shared" si="188"/>
        <v>40</v>
      </c>
      <c r="J834" s="3">
        <f t="shared" si="189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190"/>
        <v>YES</v>
      </c>
      <c r="Q834" t="str">
        <f t="shared" si="191"/>
        <v>YES</v>
      </c>
      <c r="R834" t="str">
        <f t="shared" si="192"/>
        <v>NO</v>
      </c>
      <c r="T834" t="s">
        <v>203</v>
      </c>
      <c r="U834" t="str">
        <f t="shared" si="179"/>
        <v>Memorial Dr</v>
      </c>
      <c r="V834" t="s">
        <v>202</v>
      </c>
      <c r="W834" t="str">
        <f t="shared" si="180"/>
        <v>Vassar St</v>
      </c>
      <c r="X834" t="str">
        <f>IF(ISBLANK(S834),"Intersection","Non-Intersection")</f>
        <v>Intersection</v>
      </c>
      <c r="Y834" t="s">
        <v>1563</v>
      </c>
      <c r="Z834" t="str">
        <f t="shared" si="181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82"/>
        <v>40179</v>
      </c>
      <c r="D835" s="4">
        <f t="shared" si="183"/>
        <v>0.57534246575342463</v>
      </c>
      <c r="E835" s="3">
        <f t="shared" si="184"/>
        <v>2010</v>
      </c>
      <c r="F835" s="3">
        <f t="shared" si="185"/>
        <v>7</v>
      </c>
      <c r="G835" s="3">
        <f t="shared" si="186"/>
        <v>30</v>
      </c>
      <c r="H835" s="3">
        <f t="shared" si="187"/>
        <v>20</v>
      </c>
      <c r="I835" s="3">
        <f t="shared" si="188"/>
        <v>10</v>
      </c>
      <c r="J835" s="3">
        <f t="shared" si="189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190"/>
        <v>YES</v>
      </c>
      <c r="Q835" t="str">
        <f t="shared" si="191"/>
        <v>NO</v>
      </c>
      <c r="R835" t="str">
        <f t="shared" si="192"/>
        <v>NO</v>
      </c>
      <c r="S835">
        <v>115</v>
      </c>
      <c r="T835" t="s">
        <v>342</v>
      </c>
      <c r="U835" t="str">
        <f t="shared" ref="U835:U898" si="193">TRIM(PROPER(T835))</f>
        <v>Prospect St</v>
      </c>
      <c r="W835" t="str">
        <f t="shared" ref="W835:W898" si="194">TRIM(PROPER(V835))</f>
        <v/>
      </c>
      <c r="X835" t="str">
        <f>IF(ISBLANK(S835),"Intersection","Non-Intersection")</f>
        <v>Non-Intersection</v>
      </c>
      <c r="Y835" t="s">
        <v>1565</v>
      </c>
      <c r="Z835" t="str">
        <f t="shared" ref="Z835:Z898" si="195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82"/>
        <v>40179</v>
      </c>
      <c r="D836" s="4">
        <f t="shared" si="183"/>
        <v>0.57534246575342463</v>
      </c>
      <c r="E836" s="3">
        <f t="shared" si="184"/>
        <v>2010</v>
      </c>
      <c r="F836" s="3">
        <f t="shared" si="185"/>
        <v>7</v>
      </c>
      <c r="G836" s="3">
        <f t="shared" si="186"/>
        <v>30</v>
      </c>
      <c r="H836" s="3">
        <f t="shared" si="187"/>
        <v>12</v>
      </c>
      <c r="I836" s="3">
        <f t="shared" si="188"/>
        <v>0</v>
      </c>
      <c r="J836" s="3">
        <f t="shared" si="189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190"/>
        <v>YES</v>
      </c>
      <c r="Q836" t="str">
        <f t="shared" si="191"/>
        <v>YES</v>
      </c>
      <c r="R836" t="str">
        <f t="shared" si="192"/>
        <v>NO</v>
      </c>
      <c r="T836" t="s">
        <v>19</v>
      </c>
      <c r="U836" t="str">
        <f t="shared" si="193"/>
        <v>Cambridge St</v>
      </c>
      <c r="V836" t="s">
        <v>129</v>
      </c>
      <c r="W836" t="str">
        <f t="shared" si="194"/>
        <v>Cardinal Medeiros Ave</v>
      </c>
      <c r="X836" t="str">
        <f>IF(ISBLANK(S836),"Intersection","Non-Intersection")</f>
        <v>Intersection</v>
      </c>
      <c r="Y836" t="s">
        <v>130</v>
      </c>
      <c r="Z836" t="str">
        <f t="shared" si="195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82"/>
        <v>40179</v>
      </c>
      <c r="D837" s="4">
        <f t="shared" si="183"/>
        <v>0.57534246575342463</v>
      </c>
      <c r="E837" s="3">
        <f t="shared" si="184"/>
        <v>2010</v>
      </c>
      <c r="F837" s="3">
        <f t="shared" si="185"/>
        <v>7</v>
      </c>
      <c r="G837" s="3">
        <f t="shared" si="186"/>
        <v>30</v>
      </c>
      <c r="H837" s="3">
        <f t="shared" si="187"/>
        <v>15</v>
      </c>
      <c r="I837" s="3">
        <f t="shared" si="188"/>
        <v>49</v>
      </c>
      <c r="J837" s="3">
        <f t="shared" si="189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190"/>
        <v>YES</v>
      </c>
      <c r="Q837" t="str">
        <f t="shared" si="191"/>
        <v>NO</v>
      </c>
      <c r="R837" t="str">
        <f t="shared" si="192"/>
        <v>NO</v>
      </c>
      <c r="T837" t="s">
        <v>199</v>
      </c>
      <c r="U837" t="str">
        <f t="shared" si="193"/>
        <v>Brattle St</v>
      </c>
      <c r="V837" t="s">
        <v>1567</v>
      </c>
      <c r="W837" t="str">
        <f t="shared" si="194"/>
        <v>Brown St</v>
      </c>
      <c r="X837" t="str">
        <f>IF(ISBLANK(S837),"Intersection","Non-Intersection")</f>
        <v>Intersection</v>
      </c>
      <c r="Y837" t="s">
        <v>1568</v>
      </c>
      <c r="Z837" t="str">
        <f t="shared" si="195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82"/>
        <v>40179</v>
      </c>
      <c r="D838" s="4">
        <f t="shared" si="183"/>
        <v>0.57534246575342463</v>
      </c>
      <c r="E838" s="3">
        <f t="shared" si="184"/>
        <v>2010</v>
      </c>
      <c r="F838" s="3">
        <f t="shared" si="185"/>
        <v>7</v>
      </c>
      <c r="G838" s="3">
        <f t="shared" si="186"/>
        <v>30</v>
      </c>
      <c r="H838" s="3">
        <f t="shared" si="187"/>
        <v>17</v>
      </c>
      <c r="I838" s="3">
        <f t="shared" si="188"/>
        <v>49</v>
      </c>
      <c r="J838" s="3">
        <f t="shared" si="189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190"/>
        <v>YES</v>
      </c>
      <c r="Q838" t="str">
        <f t="shared" si="191"/>
        <v>NO</v>
      </c>
      <c r="R838" t="str">
        <f t="shared" si="192"/>
        <v>NO</v>
      </c>
      <c r="T838" t="s">
        <v>198</v>
      </c>
      <c r="U838" t="str">
        <f t="shared" si="193"/>
        <v>Mount Auburn St</v>
      </c>
      <c r="V838" t="s">
        <v>1570</v>
      </c>
      <c r="W838" t="str">
        <f t="shared" si="194"/>
        <v>Willard St Ct</v>
      </c>
      <c r="X838" t="str">
        <f>IF(ISBLANK(S838),"Intersection","Non-Intersection")</f>
        <v>Intersection</v>
      </c>
      <c r="Y838" t="s">
        <v>1571</v>
      </c>
      <c r="Z838" t="str">
        <f t="shared" si="195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82"/>
        <v>40179</v>
      </c>
      <c r="D839" s="4">
        <f t="shared" si="183"/>
        <v>0.57534246575342463</v>
      </c>
      <c r="E839" s="3">
        <f t="shared" si="184"/>
        <v>2010</v>
      </c>
      <c r="F839" s="3">
        <f t="shared" si="185"/>
        <v>7</v>
      </c>
      <c r="G839" s="3">
        <f t="shared" si="186"/>
        <v>30</v>
      </c>
      <c r="H839" s="3">
        <f t="shared" si="187"/>
        <v>8</v>
      </c>
      <c r="I839" s="3">
        <f t="shared" si="188"/>
        <v>0</v>
      </c>
      <c r="J839" s="3">
        <f t="shared" si="189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190"/>
        <v>YES</v>
      </c>
      <c r="Q839" t="str">
        <f t="shared" si="191"/>
        <v>NO</v>
      </c>
      <c r="R839" t="str">
        <f t="shared" si="192"/>
        <v>NO</v>
      </c>
      <c r="S839">
        <v>659</v>
      </c>
      <c r="T839" t="s">
        <v>509</v>
      </c>
      <c r="U839" t="str">
        <f t="shared" si="193"/>
        <v>Green St</v>
      </c>
      <c r="W839" t="str">
        <f t="shared" si="194"/>
        <v/>
      </c>
      <c r="X839" t="str">
        <f>IF(ISBLANK(S839),"Intersection","Non-Intersection")</f>
        <v>Non-Intersection</v>
      </c>
      <c r="Y839" t="s">
        <v>1572</v>
      </c>
      <c r="Z839" t="str">
        <f t="shared" si="195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82"/>
        <v>40179</v>
      </c>
      <c r="D840" s="4">
        <f t="shared" si="183"/>
        <v>0.57808219178082187</v>
      </c>
      <c r="E840" s="3">
        <f t="shared" si="184"/>
        <v>2010</v>
      </c>
      <c r="F840" s="3">
        <f t="shared" si="185"/>
        <v>7</v>
      </c>
      <c r="G840" s="3">
        <f t="shared" si="186"/>
        <v>31</v>
      </c>
      <c r="H840" s="3">
        <f t="shared" si="187"/>
        <v>19</v>
      </c>
      <c r="I840" s="3">
        <f t="shared" si="188"/>
        <v>30</v>
      </c>
      <c r="J840" s="3">
        <f t="shared" si="189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190"/>
        <v>YES</v>
      </c>
      <c r="Q840" t="str">
        <f t="shared" si="191"/>
        <v>NO</v>
      </c>
      <c r="R840" t="str">
        <f t="shared" si="192"/>
        <v>NO</v>
      </c>
      <c r="S840">
        <v>321</v>
      </c>
      <c r="T840" t="s">
        <v>27</v>
      </c>
      <c r="U840" t="str">
        <f t="shared" si="193"/>
        <v>Western Ave</v>
      </c>
      <c r="W840" t="str">
        <f t="shared" si="194"/>
        <v/>
      </c>
      <c r="X840" t="str">
        <f>IF(ISBLANK(S840),"Intersection","Non-Intersection")</f>
        <v>Non-Intersection</v>
      </c>
      <c r="Y840" t="s">
        <v>1574</v>
      </c>
      <c r="Z840" t="str">
        <f t="shared" si="195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82"/>
        <v>40179</v>
      </c>
      <c r="D841" s="4">
        <f t="shared" si="183"/>
        <v>0.58082191780821912</v>
      </c>
      <c r="E841" s="3">
        <f t="shared" si="184"/>
        <v>2010</v>
      </c>
      <c r="F841" s="3">
        <f t="shared" si="185"/>
        <v>8</v>
      </c>
      <c r="G841" s="3">
        <f t="shared" si="186"/>
        <v>1</v>
      </c>
      <c r="H841" s="3">
        <f t="shared" si="187"/>
        <v>8</v>
      </c>
      <c r="I841" s="3">
        <f t="shared" si="188"/>
        <v>29</v>
      </c>
      <c r="J841" s="3">
        <f t="shared" si="189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190"/>
        <v>YES</v>
      </c>
      <c r="Q841" t="str">
        <f t="shared" si="191"/>
        <v>NO</v>
      </c>
      <c r="R841" t="str">
        <f t="shared" si="192"/>
        <v>NO</v>
      </c>
      <c r="T841" t="s">
        <v>506</v>
      </c>
      <c r="U841" t="str">
        <f t="shared" si="193"/>
        <v>Bigelow St</v>
      </c>
      <c r="V841" t="s">
        <v>703</v>
      </c>
      <c r="W841" t="str">
        <f t="shared" si="194"/>
        <v>Doyle Way</v>
      </c>
      <c r="X841" t="str">
        <f>IF(ISBLANK(S841),"Intersection","Non-Intersection")</f>
        <v>Intersection</v>
      </c>
      <c r="Y841" t="s">
        <v>1576</v>
      </c>
      <c r="Z841" t="str">
        <f t="shared" si="195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82"/>
        <v>40179</v>
      </c>
      <c r="D842" s="4">
        <f t="shared" si="183"/>
        <v>0.58082191780821912</v>
      </c>
      <c r="E842" s="3">
        <f t="shared" si="184"/>
        <v>2010</v>
      </c>
      <c r="F842" s="3">
        <f t="shared" si="185"/>
        <v>8</v>
      </c>
      <c r="G842" s="3">
        <f t="shared" si="186"/>
        <v>1</v>
      </c>
      <c r="H842" s="3">
        <f t="shared" si="187"/>
        <v>23</v>
      </c>
      <c r="I842" s="3">
        <f t="shared" si="188"/>
        <v>19</v>
      </c>
      <c r="J842" s="3">
        <f t="shared" si="189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190"/>
        <v>YES</v>
      </c>
      <c r="Q842" t="str">
        <f t="shared" si="191"/>
        <v>NO</v>
      </c>
      <c r="R842" t="str">
        <f t="shared" si="192"/>
        <v>NO</v>
      </c>
      <c r="S842">
        <v>135</v>
      </c>
      <c r="T842" t="s">
        <v>737</v>
      </c>
      <c r="U842" t="str">
        <f t="shared" si="193"/>
        <v>Willow St</v>
      </c>
      <c r="W842" t="str">
        <f t="shared" si="194"/>
        <v/>
      </c>
      <c r="X842" t="str">
        <f>IF(ISBLANK(S842),"Intersection","Non-Intersection")</f>
        <v>Non-Intersection</v>
      </c>
      <c r="Y842" t="s">
        <v>1578</v>
      </c>
      <c r="Z842" t="str">
        <f t="shared" si="195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82"/>
        <v>40179</v>
      </c>
      <c r="D843" s="4">
        <f t="shared" si="183"/>
        <v>0.58082191780821912</v>
      </c>
      <c r="E843" s="3">
        <f t="shared" si="184"/>
        <v>2010</v>
      </c>
      <c r="F843" s="3">
        <f t="shared" si="185"/>
        <v>8</v>
      </c>
      <c r="G843" s="3">
        <f t="shared" si="186"/>
        <v>1</v>
      </c>
      <c r="H843" s="3">
        <f t="shared" si="187"/>
        <v>6</v>
      </c>
      <c r="I843" s="3">
        <f t="shared" si="188"/>
        <v>59</v>
      </c>
      <c r="J843" s="3">
        <f t="shared" si="189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190"/>
        <v>YES</v>
      </c>
      <c r="Q843" t="str">
        <f t="shared" si="191"/>
        <v>NO</v>
      </c>
      <c r="R843" t="str">
        <f t="shared" si="192"/>
        <v>NO</v>
      </c>
      <c r="S843">
        <v>2245</v>
      </c>
      <c r="T843" t="s">
        <v>14</v>
      </c>
      <c r="U843" t="str">
        <f t="shared" si="193"/>
        <v>Massachusetts Ave</v>
      </c>
      <c r="W843" t="str">
        <f t="shared" si="194"/>
        <v/>
      </c>
      <c r="X843" t="str">
        <f>IF(ISBLANK(S843),"Intersection","Non-Intersection")</f>
        <v>Non-Intersection</v>
      </c>
      <c r="Y843" t="s">
        <v>1580</v>
      </c>
      <c r="Z843" t="str">
        <f t="shared" si="195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82"/>
        <v>40179</v>
      </c>
      <c r="D844" s="4">
        <f t="shared" si="183"/>
        <v>0.58082191780821912</v>
      </c>
      <c r="E844" s="3">
        <f t="shared" si="184"/>
        <v>2010</v>
      </c>
      <c r="F844" s="3">
        <f t="shared" si="185"/>
        <v>8</v>
      </c>
      <c r="G844" s="3">
        <f t="shared" si="186"/>
        <v>1</v>
      </c>
      <c r="H844" s="3">
        <f t="shared" si="187"/>
        <v>0</v>
      </c>
      <c r="I844" s="3">
        <f t="shared" si="188"/>
        <v>4</v>
      </c>
      <c r="J844" s="3">
        <f t="shared" si="189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190"/>
        <v>YES</v>
      </c>
      <c r="Q844" t="str">
        <f t="shared" si="191"/>
        <v>NO</v>
      </c>
      <c r="R844" t="str">
        <f t="shared" si="192"/>
        <v>NO</v>
      </c>
      <c r="T844" t="s">
        <v>19</v>
      </c>
      <c r="U844" t="str">
        <f t="shared" si="193"/>
        <v>Cambridge St</v>
      </c>
      <c r="V844" t="s">
        <v>342</v>
      </c>
      <c r="W844" t="str">
        <f t="shared" si="194"/>
        <v>Prospect St</v>
      </c>
      <c r="X844" t="str">
        <f>IF(ISBLANK(S844),"Intersection","Non-Intersection")</f>
        <v>Intersection</v>
      </c>
      <c r="Y844" t="s">
        <v>821</v>
      </c>
      <c r="Z844" t="str">
        <f t="shared" si="195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82"/>
        <v>40179</v>
      </c>
      <c r="D845" s="4">
        <f t="shared" si="183"/>
        <v>0.58082191780821912</v>
      </c>
      <c r="E845" s="3">
        <f t="shared" si="184"/>
        <v>2010</v>
      </c>
      <c r="F845" s="3">
        <f t="shared" si="185"/>
        <v>8</v>
      </c>
      <c r="G845" s="3">
        <f t="shared" si="186"/>
        <v>1</v>
      </c>
      <c r="H845" s="3">
        <f t="shared" si="187"/>
        <v>8</v>
      </c>
      <c r="I845" s="3">
        <f t="shared" si="188"/>
        <v>0</v>
      </c>
      <c r="J845" s="3">
        <f t="shared" si="189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190"/>
        <v>YES</v>
      </c>
      <c r="Q845" t="str">
        <f t="shared" si="191"/>
        <v>NO</v>
      </c>
      <c r="R845" t="str">
        <f t="shared" si="192"/>
        <v>NO</v>
      </c>
      <c r="T845" t="s">
        <v>1582</v>
      </c>
      <c r="U845" t="str">
        <f t="shared" si="193"/>
        <v>Gold Star Rd</v>
      </c>
      <c r="W845" t="str">
        <f t="shared" si="194"/>
        <v/>
      </c>
      <c r="X845" t="str">
        <f>IF(ISBLANK(S845),"Intersection","Non-Intersection")</f>
        <v>Intersection</v>
      </c>
      <c r="Y845" t="s">
        <v>1583</v>
      </c>
      <c r="Z845" t="str">
        <f t="shared" si="195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82"/>
        <v>40179</v>
      </c>
      <c r="D846" s="4">
        <f t="shared" si="183"/>
        <v>0.58356164383561648</v>
      </c>
      <c r="E846" s="3">
        <f t="shared" si="184"/>
        <v>2010</v>
      </c>
      <c r="F846" s="3">
        <f t="shared" si="185"/>
        <v>8</v>
      </c>
      <c r="G846" s="3">
        <f t="shared" si="186"/>
        <v>2</v>
      </c>
      <c r="H846" s="3">
        <f t="shared" si="187"/>
        <v>7</v>
      </c>
      <c r="I846" s="3">
        <f t="shared" si="188"/>
        <v>44</v>
      </c>
      <c r="J846" s="3">
        <f t="shared" si="189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190"/>
        <v>YES</v>
      </c>
      <c r="Q846" t="str">
        <f t="shared" si="191"/>
        <v>NO</v>
      </c>
      <c r="R846" t="str">
        <f t="shared" si="192"/>
        <v>NO</v>
      </c>
      <c r="T846" t="s">
        <v>15</v>
      </c>
      <c r="U846" t="str">
        <f t="shared" si="193"/>
        <v>Rindge Ave</v>
      </c>
      <c r="V846" t="s">
        <v>864</v>
      </c>
      <c r="W846" t="str">
        <f t="shared" si="194"/>
        <v>Middlesex St</v>
      </c>
      <c r="X846" t="str">
        <f>IF(ISBLANK(S846),"Intersection","Non-Intersection")</f>
        <v>Intersection</v>
      </c>
      <c r="Y846" t="s">
        <v>1584</v>
      </c>
      <c r="Z846" t="str">
        <f t="shared" si="195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82"/>
        <v>40179</v>
      </c>
      <c r="D847" s="4">
        <f t="shared" si="183"/>
        <v>0.58356164383561648</v>
      </c>
      <c r="E847" s="3">
        <f t="shared" si="184"/>
        <v>2010</v>
      </c>
      <c r="F847" s="3">
        <f t="shared" si="185"/>
        <v>8</v>
      </c>
      <c r="G847" s="3">
        <f t="shared" si="186"/>
        <v>2</v>
      </c>
      <c r="H847" s="3">
        <f t="shared" si="187"/>
        <v>23</v>
      </c>
      <c r="I847" s="3">
        <f t="shared" si="188"/>
        <v>55</v>
      </c>
      <c r="J847" s="3">
        <f t="shared" si="189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190"/>
        <v>YES</v>
      </c>
      <c r="Q847" t="str">
        <f t="shared" si="191"/>
        <v>NO</v>
      </c>
      <c r="R847" t="str">
        <f t="shared" si="192"/>
        <v>NO</v>
      </c>
      <c r="T847" t="s">
        <v>166</v>
      </c>
      <c r="U847" t="str">
        <f t="shared" si="193"/>
        <v>Oxford Ave</v>
      </c>
      <c r="W847" t="str">
        <f t="shared" si="194"/>
        <v/>
      </c>
      <c r="X847" t="str">
        <f>IF(ISBLANK(S847),"Intersection","Non-Intersection")</f>
        <v>Intersection</v>
      </c>
      <c r="Y847" t="s">
        <v>1586</v>
      </c>
      <c r="Z847" t="str">
        <f t="shared" si="195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82"/>
        <v>40179</v>
      </c>
      <c r="D848" s="4">
        <f t="shared" si="183"/>
        <v>0.58356164383561648</v>
      </c>
      <c r="E848" s="3">
        <f t="shared" si="184"/>
        <v>2010</v>
      </c>
      <c r="F848" s="3">
        <f t="shared" si="185"/>
        <v>8</v>
      </c>
      <c r="G848" s="3">
        <f t="shared" si="186"/>
        <v>2</v>
      </c>
      <c r="H848" s="3">
        <f t="shared" si="187"/>
        <v>7</v>
      </c>
      <c r="I848" s="3">
        <f t="shared" si="188"/>
        <v>50</v>
      </c>
      <c r="J848" s="3">
        <f t="shared" si="189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190"/>
        <v>YES</v>
      </c>
      <c r="Q848" t="str">
        <f t="shared" si="191"/>
        <v>NO</v>
      </c>
      <c r="R848" t="str">
        <f t="shared" si="192"/>
        <v>NO</v>
      </c>
      <c r="T848" t="s">
        <v>1510</v>
      </c>
      <c r="U848" t="str">
        <f t="shared" si="193"/>
        <v>Reservoir St</v>
      </c>
      <c r="V848" t="s">
        <v>142</v>
      </c>
      <c r="W848" t="str">
        <f t="shared" si="194"/>
        <v>Huron Ave</v>
      </c>
      <c r="X848" t="str">
        <f>IF(ISBLANK(S848),"Intersection","Non-Intersection")</f>
        <v>Intersection</v>
      </c>
      <c r="Y848" t="s">
        <v>1587</v>
      </c>
      <c r="Z848" t="str">
        <f t="shared" si="195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82"/>
        <v>40179</v>
      </c>
      <c r="D849" s="4">
        <f t="shared" si="183"/>
        <v>0.58356164383561648</v>
      </c>
      <c r="E849" s="3">
        <f t="shared" si="184"/>
        <v>2010</v>
      </c>
      <c r="F849" s="3">
        <f t="shared" si="185"/>
        <v>8</v>
      </c>
      <c r="G849" s="3">
        <f t="shared" si="186"/>
        <v>2</v>
      </c>
      <c r="H849" s="3">
        <f t="shared" si="187"/>
        <v>8</v>
      </c>
      <c r="I849" s="3">
        <f t="shared" si="188"/>
        <v>39</v>
      </c>
      <c r="J849" s="3">
        <f t="shared" si="189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190"/>
        <v>YES</v>
      </c>
      <c r="Q849" t="str">
        <f t="shared" si="191"/>
        <v>YES</v>
      </c>
      <c r="R849" t="str">
        <f t="shared" si="192"/>
        <v>NO</v>
      </c>
      <c r="T849" t="s">
        <v>325</v>
      </c>
      <c r="U849" t="str">
        <f t="shared" si="193"/>
        <v>Eliot St</v>
      </c>
      <c r="V849" t="s">
        <v>326</v>
      </c>
      <c r="W849" t="str">
        <f t="shared" si="194"/>
        <v>Jfk St</v>
      </c>
      <c r="X849" t="str">
        <f>IF(ISBLANK(S849),"Intersection","Non-Intersection")</f>
        <v>Intersection</v>
      </c>
      <c r="Y849" t="s">
        <v>327</v>
      </c>
      <c r="Z849" t="str">
        <f t="shared" si="195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82"/>
        <v>40179</v>
      </c>
      <c r="D850" s="4">
        <f t="shared" si="183"/>
        <v>0.58356164383561648</v>
      </c>
      <c r="E850" s="3">
        <f t="shared" si="184"/>
        <v>2010</v>
      </c>
      <c r="F850" s="3">
        <f t="shared" si="185"/>
        <v>8</v>
      </c>
      <c r="G850" s="3">
        <f t="shared" si="186"/>
        <v>2</v>
      </c>
      <c r="H850" s="3">
        <f t="shared" si="187"/>
        <v>15</v>
      </c>
      <c r="I850" s="3">
        <f t="shared" si="188"/>
        <v>34</v>
      </c>
      <c r="J850" s="3">
        <f t="shared" si="189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190"/>
        <v>YES</v>
      </c>
      <c r="Q850" t="str">
        <f t="shared" si="191"/>
        <v>NO</v>
      </c>
      <c r="R850" t="str">
        <f t="shared" si="192"/>
        <v>NO</v>
      </c>
      <c r="S850">
        <v>3</v>
      </c>
      <c r="T850" t="s">
        <v>354</v>
      </c>
      <c r="U850" t="str">
        <f t="shared" si="193"/>
        <v>Linnaean St</v>
      </c>
      <c r="W850" t="str">
        <f t="shared" si="194"/>
        <v/>
      </c>
      <c r="X850" t="str">
        <f>IF(ISBLANK(S850),"Intersection","Non-Intersection")</f>
        <v>Non-Intersection</v>
      </c>
      <c r="Y850" t="s">
        <v>1589</v>
      </c>
      <c r="Z850" t="str">
        <f t="shared" si="195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82"/>
        <v>40179</v>
      </c>
      <c r="D851" s="4">
        <f t="shared" si="183"/>
        <v>0.58356164383561648</v>
      </c>
      <c r="E851" s="3">
        <f t="shared" si="184"/>
        <v>2010</v>
      </c>
      <c r="F851" s="3">
        <f t="shared" si="185"/>
        <v>8</v>
      </c>
      <c r="G851" s="3">
        <f t="shared" si="186"/>
        <v>2</v>
      </c>
      <c r="H851" s="3">
        <f t="shared" si="187"/>
        <v>12</v>
      </c>
      <c r="I851" s="3">
        <f t="shared" si="188"/>
        <v>49</v>
      </c>
      <c r="J851" s="3">
        <f t="shared" si="189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190"/>
        <v>YES</v>
      </c>
      <c r="Q851" t="str">
        <f t="shared" si="191"/>
        <v>NO</v>
      </c>
      <c r="R851" t="str">
        <f t="shared" si="192"/>
        <v>NO</v>
      </c>
      <c r="S851">
        <v>1350</v>
      </c>
      <c r="T851" t="s">
        <v>14</v>
      </c>
      <c r="U851" t="str">
        <f t="shared" si="193"/>
        <v>Massachusetts Ave</v>
      </c>
      <c r="V851" t="s">
        <v>1438</v>
      </c>
      <c r="W851" t="str">
        <f t="shared" si="194"/>
        <v>Dunster St</v>
      </c>
      <c r="X851" t="str">
        <f>IF(ISBLANK(S851),"Intersection","Non-Intersection")</f>
        <v>Non-Intersection</v>
      </c>
      <c r="Y851" t="s">
        <v>1591</v>
      </c>
      <c r="Z851" t="str">
        <f t="shared" si="195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82"/>
        <v>40179</v>
      </c>
      <c r="D852" s="4">
        <f t="shared" si="183"/>
        <v>0.58356164383561648</v>
      </c>
      <c r="E852" s="3">
        <f t="shared" si="184"/>
        <v>2010</v>
      </c>
      <c r="F852" s="3">
        <f t="shared" si="185"/>
        <v>8</v>
      </c>
      <c r="G852" s="3">
        <f t="shared" si="186"/>
        <v>2</v>
      </c>
      <c r="H852" s="3">
        <f t="shared" si="187"/>
        <v>15</v>
      </c>
      <c r="I852" s="3">
        <f t="shared" si="188"/>
        <v>14</v>
      </c>
      <c r="J852" s="3">
        <f t="shared" si="189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190"/>
        <v>YES</v>
      </c>
      <c r="Q852" t="str">
        <f t="shared" si="191"/>
        <v>NO</v>
      </c>
      <c r="R852" t="str">
        <f t="shared" si="192"/>
        <v>NO</v>
      </c>
      <c r="S852">
        <v>16</v>
      </c>
      <c r="T852" t="s">
        <v>185</v>
      </c>
      <c r="U852" t="str">
        <f t="shared" si="193"/>
        <v>Garden St</v>
      </c>
      <c r="W852" t="str">
        <f t="shared" si="194"/>
        <v/>
      </c>
      <c r="X852" t="str">
        <f>IF(ISBLANK(S852),"Intersection","Non-Intersection")</f>
        <v>Non-Intersection</v>
      </c>
      <c r="Y852" t="s">
        <v>882</v>
      </c>
      <c r="Z852" t="str">
        <f t="shared" si="195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82"/>
        <v>40179</v>
      </c>
      <c r="D853" s="4">
        <f t="shared" si="183"/>
        <v>0.58630136986301373</v>
      </c>
      <c r="E853" s="3">
        <f t="shared" si="184"/>
        <v>2010</v>
      </c>
      <c r="F853" s="3">
        <f t="shared" si="185"/>
        <v>8</v>
      </c>
      <c r="G853" s="3">
        <f t="shared" si="186"/>
        <v>3</v>
      </c>
      <c r="H853" s="3">
        <f t="shared" si="187"/>
        <v>21</v>
      </c>
      <c r="I853" s="3">
        <f t="shared" si="188"/>
        <v>40</v>
      </c>
      <c r="J853" s="3">
        <f t="shared" si="189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190"/>
        <v>YES</v>
      </c>
      <c r="Q853" t="str">
        <f t="shared" si="191"/>
        <v>NO</v>
      </c>
      <c r="R853" t="str">
        <f t="shared" si="192"/>
        <v>NO</v>
      </c>
      <c r="T853" t="s">
        <v>14</v>
      </c>
      <c r="U853" t="str">
        <f t="shared" si="193"/>
        <v>Massachusetts Ave</v>
      </c>
      <c r="V853" t="s">
        <v>186</v>
      </c>
      <c r="W853" t="str">
        <f t="shared" si="194"/>
        <v>Concord Ave</v>
      </c>
      <c r="X853" t="str">
        <f>IF(ISBLANK(S853),"Intersection","Non-Intersection")</f>
        <v>Intersection</v>
      </c>
      <c r="Y853" t="s">
        <v>1593</v>
      </c>
      <c r="Z853" t="str">
        <f t="shared" si="195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196">EOMONTH(B854,MONTH(B854)*-1)+1</f>
        <v>40179</v>
      </c>
      <c r="D854" s="4">
        <f t="shared" ref="D854:D916" si="197">YEARFRAC(C854,B854,1)</f>
        <v>0.58630136986301373</v>
      </c>
      <c r="E854" s="3">
        <f t="shared" ref="E854:E916" si="198">YEAR(B854)</f>
        <v>2010</v>
      </c>
      <c r="F854" s="3">
        <f t="shared" ref="F854:F916" si="199">MONTH(B854)</f>
        <v>8</v>
      </c>
      <c r="G854" s="3">
        <f t="shared" ref="G854:G916" si="200">DAY(B854)</f>
        <v>3</v>
      </c>
      <c r="H854" s="3">
        <f t="shared" ref="H854:H916" si="201">HOUR(B854)</f>
        <v>9</v>
      </c>
      <c r="I854" s="3">
        <f t="shared" ref="I854:I916" si="202">MINUTE(B854)</f>
        <v>55</v>
      </c>
      <c r="J854" s="3">
        <f t="shared" ref="J854:J916" si="203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04">IF(OR(N854="Auto",O854="Auto"),"YES",IF(OR(N854="Taxi",O854="Taxi"),"YES",IF(OR(N854="Van",O854="Van"),"YES",IF(OR(N854="Truck",O854="Truck"),"YES","NO"))))</f>
        <v>YES</v>
      </c>
      <c r="Q854" t="str">
        <f t="shared" ref="Q854:Q916" si="205">IF(OR(N854="Bicycle",O854="Bicycle"),"YES","NO")</f>
        <v>NO</v>
      </c>
      <c r="R854" t="str">
        <f t="shared" ref="R854:R916" si="206">IF(OR(N854="Pedestrian",O854="Pedestrian"),"YES","NO")</f>
        <v>NO</v>
      </c>
      <c r="T854" t="s">
        <v>509</v>
      </c>
      <c r="U854" t="str">
        <f t="shared" si="193"/>
        <v>Green St</v>
      </c>
      <c r="V854" t="s">
        <v>192</v>
      </c>
      <c r="W854" t="str">
        <f t="shared" si="194"/>
        <v>Hancock St</v>
      </c>
      <c r="X854" t="str">
        <f>IF(ISBLANK(S854),"Intersection","Non-Intersection")</f>
        <v>Intersection</v>
      </c>
      <c r="Y854" t="s">
        <v>1595</v>
      </c>
      <c r="Z854" t="str">
        <f t="shared" si="195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196"/>
        <v>40179</v>
      </c>
      <c r="D855" s="4">
        <f t="shared" si="197"/>
        <v>0.58630136986301373</v>
      </c>
      <c r="E855" s="3">
        <f t="shared" si="198"/>
        <v>2010</v>
      </c>
      <c r="F855" s="3">
        <f t="shared" si="199"/>
        <v>8</v>
      </c>
      <c r="G855" s="3">
        <f t="shared" si="200"/>
        <v>3</v>
      </c>
      <c r="H855" s="3">
        <f t="shared" si="201"/>
        <v>9</v>
      </c>
      <c r="I855" s="3">
        <f t="shared" si="202"/>
        <v>24</v>
      </c>
      <c r="J855" s="3">
        <f t="shared" si="203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04"/>
        <v>YES</v>
      </c>
      <c r="Q855" t="str">
        <f t="shared" si="205"/>
        <v>NO</v>
      </c>
      <c r="R855" t="str">
        <f t="shared" si="206"/>
        <v>NO</v>
      </c>
      <c r="T855" t="s">
        <v>1597</v>
      </c>
      <c r="U855" t="str">
        <f t="shared" si="193"/>
        <v>Crawford St</v>
      </c>
      <c r="V855" t="s">
        <v>1598</v>
      </c>
      <c r="W855" t="str">
        <f t="shared" si="194"/>
        <v>Chatham St</v>
      </c>
      <c r="X855" t="str">
        <f>IF(ISBLANK(S855),"Intersection","Non-Intersection")</f>
        <v>Intersection</v>
      </c>
      <c r="Y855" t="s">
        <v>1599</v>
      </c>
      <c r="Z855" t="str">
        <f t="shared" si="195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196"/>
        <v>40179</v>
      </c>
      <c r="D856" s="4">
        <f t="shared" si="197"/>
        <v>0.58630136986301373</v>
      </c>
      <c r="E856" s="3">
        <f t="shared" si="198"/>
        <v>2010</v>
      </c>
      <c r="F856" s="3">
        <f t="shared" si="199"/>
        <v>8</v>
      </c>
      <c r="G856" s="3">
        <f t="shared" si="200"/>
        <v>3</v>
      </c>
      <c r="H856" s="3">
        <f t="shared" si="201"/>
        <v>15</v>
      </c>
      <c r="I856" s="3">
        <f t="shared" si="202"/>
        <v>13</v>
      </c>
      <c r="J856" s="3">
        <f t="shared" si="203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04"/>
        <v>YES</v>
      </c>
      <c r="Q856" t="str">
        <f t="shared" si="205"/>
        <v>NO</v>
      </c>
      <c r="R856" t="str">
        <f t="shared" si="206"/>
        <v>NO</v>
      </c>
      <c r="S856">
        <v>650</v>
      </c>
      <c r="T856" t="s">
        <v>186</v>
      </c>
      <c r="U856" t="str">
        <f t="shared" si="193"/>
        <v>Concord Ave</v>
      </c>
      <c r="W856" t="str">
        <f t="shared" si="194"/>
        <v/>
      </c>
      <c r="X856" t="str">
        <f>IF(ISBLANK(S856),"Intersection","Non-Intersection")</f>
        <v>Non-Intersection</v>
      </c>
      <c r="Y856" t="s">
        <v>1601</v>
      </c>
      <c r="Z856" t="str">
        <f t="shared" si="195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196"/>
        <v>40179</v>
      </c>
      <c r="D857" s="4">
        <f t="shared" si="197"/>
        <v>0.58904109589041098</v>
      </c>
      <c r="E857" s="3">
        <f t="shared" si="198"/>
        <v>2010</v>
      </c>
      <c r="F857" s="3">
        <f t="shared" si="199"/>
        <v>8</v>
      </c>
      <c r="G857" s="3">
        <f t="shared" si="200"/>
        <v>4</v>
      </c>
      <c r="H857" s="3">
        <f t="shared" si="201"/>
        <v>23</v>
      </c>
      <c r="I857" s="3">
        <f t="shared" si="202"/>
        <v>39</v>
      </c>
      <c r="J857" s="3">
        <f t="shared" si="203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04"/>
        <v>YES</v>
      </c>
      <c r="Q857" t="str">
        <f t="shared" si="205"/>
        <v>NO</v>
      </c>
      <c r="R857" t="str">
        <f t="shared" si="206"/>
        <v>NO</v>
      </c>
      <c r="S857">
        <v>101</v>
      </c>
      <c r="T857" t="s">
        <v>27</v>
      </c>
      <c r="U857" t="str">
        <f t="shared" si="193"/>
        <v>Western Ave</v>
      </c>
      <c r="W857" t="str">
        <f t="shared" si="194"/>
        <v/>
      </c>
      <c r="X857" t="str">
        <f>IF(ISBLANK(S857),"Intersection","Non-Intersection")</f>
        <v>Non-Intersection</v>
      </c>
      <c r="Y857" t="s">
        <v>1603</v>
      </c>
      <c r="Z857" t="str">
        <f t="shared" si="195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196"/>
        <v>40179</v>
      </c>
      <c r="D858" s="4">
        <f t="shared" si="197"/>
        <v>0.58904109589041098</v>
      </c>
      <c r="E858" s="3">
        <f t="shared" si="198"/>
        <v>2010</v>
      </c>
      <c r="F858" s="3">
        <f t="shared" si="199"/>
        <v>8</v>
      </c>
      <c r="G858" s="3">
        <f t="shared" si="200"/>
        <v>4</v>
      </c>
      <c r="H858" s="3">
        <f t="shared" si="201"/>
        <v>11</v>
      </c>
      <c r="I858" s="3">
        <f t="shared" si="202"/>
        <v>29</v>
      </c>
      <c r="J858" s="3">
        <f t="shared" si="203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04"/>
        <v>YES</v>
      </c>
      <c r="Q858" t="str">
        <f t="shared" si="205"/>
        <v>NO</v>
      </c>
      <c r="R858" t="str">
        <f t="shared" si="206"/>
        <v>NO</v>
      </c>
      <c r="T858" t="s">
        <v>993</v>
      </c>
      <c r="U858" t="str">
        <f t="shared" si="193"/>
        <v>Fifth St</v>
      </c>
      <c r="V858" t="s">
        <v>60</v>
      </c>
      <c r="W858" t="str">
        <f t="shared" si="194"/>
        <v>Rogers St</v>
      </c>
      <c r="X858" t="str">
        <f>IF(ISBLANK(S858),"Intersection","Non-Intersection")</f>
        <v>Intersection</v>
      </c>
      <c r="Y858" t="s">
        <v>1605</v>
      </c>
      <c r="Z858" t="str">
        <f t="shared" si="195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196"/>
        <v>40179</v>
      </c>
      <c r="D859" s="4">
        <f t="shared" si="197"/>
        <v>0.58904109589041098</v>
      </c>
      <c r="E859" s="3">
        <f t="shared" si="198"/>
        <v>2010</v>
      </c>
      <c r="F859" s="3">
        <f t="shared" si="199"/>
        <v>8</v>
      </c>
      <c r="G859" s="3">
        <f t="shared" si="200"/>
        <v>4</v>
      </c>
      <c r="H859" s="3">
        <f t="shared" si="201"/>
        <v>13</v>
      </c>
      <c r="I859" s="3">
        <f t="shared" si="202"/>
        <v>6</v>
      </c>
      <c r="J859" s="3">
        <f t="shared" si="203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04"/>
        <v>YES</v>
      </c>
      <c r="Q859" t="str">
        <f t="shared" si="205"/>
        <v>NO</v>
      </c>
      <c r="R859" t="str">
        <f t="shared" si="206"/>
        <v>NO</v>
      </c>
      <c r="T859" t="s">
        <v>14</v>
      </c>
      <c r="U859" t="str">
        <f t="shared" si="193"/>
        <v>Massachusetts Ave</v>
      </c>
      <c r="V859" t="s">
        <v>362</v>
      </c>
      <c r="W859" t="str">
        <f t="shared" si="194"/>
        <v>Hollis St</v>
      </c>
      <c r="X859" t="str">
        <f>IF(ISBLANK(S859),"Intersection","Non-Intersection")</f>
        <v>Intersection</v>
      </c>
      <c r="Y859" t="s">
        <v>363</v>
      </c>
      <c r="Z859" t="str">
        <f t="shared" si="195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196"/>
        <v>40179</v>
      </c>
      <c r="D860" s="4">
        <f t="shared" si="197"/>
        <v>0.58904109589041098</v>
      </c>
      <c r="E860" s="3">
        <f t="shared" si="198"/>
        <v>2010</v>
      </c>
      <c r="F860" s="3">
        <f t="shared" si="199"/>
        <v>8</v>
      </c>
      <c r="G860" s="3">
        <f t="shared" si="200"/>
        <v>4</v>
      </c>
      <c r="H860" s="3">
        <f t="shared" si="201"/>
        <v>20</v>
      </c>
      <c r="I860" s="3">
        <f t="shared" si="202"/>
        <v>0</v>
      </c>
      <c r="J860" s="3">
        <f t="shared" si="203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04"/>
        <v>YES</v>
      </c>
      <c r="Q860" t="str">
        <f t="shared" si="205"/>
        <v>NO</v>
      </c>
      <c r="R860" t="str">
        <f t="shared" si="206"/>
        <v>NO</v>
      </c>
      <c r="T860" t="s">
        <v>32</v>
      </c>
      <c r="U860" t="str">
        <f t="shared" si="193"/>
        <v>Main St</v>
      </c>
      <c r="V860" t="s">
        <v>202</v>
      </c>
      <c r="W860" t="str">
        <f t="shared" si="194"/>
        <v>Vassar St</v>
      </c>
      <c r="X860" t="str">
        <f>IF(ISBLANK(S860),"Intersection","Non-Intersection")</f>
        <v>Intersection</v>
      </c>
      <c r="Y860" t="s">
        <v>772</v>
      </c>
      <c r="Z860" t="str">
        <f t="shared" si="195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196"/>
        <v>40179</v>
      </c>
      <c r="D861" s="4">
        <f t="shared" si="197"/>
        <v>0.59178082191780823</v>
      </c>
      <c r="E861" s="3">
        <f t="shared" si="198"/>
        <v>2010</v>
      </c>
      <c r="F861" s="3">
        <f t="shared" si="199"/>
        <v>8</v>
      </c>
      <c r="G861" s="3">
        <f t="shared" si="200"/>
        <v>5</v>
      </c>
      <c r="H861" s="3">
        <f t="shared" si="201"/>
        <v>11</v>
      </c>
      <c r="I861" s="3">
        <f t="shared" si="202"/>
        <v>39</v>
      </c>
      <c r="J861" s="3">
        <f t="shared" si="203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04"/>
        <v>YES</v>
      </c>
      <c r="Q861" t="str">
        <f t="shared" si="205"/>
        <v>NO</v>
      </c>
      <c r="R861" t="str">
        <f t="shared" si="206"/>
        <v>NO</v>
      </c>
      <c r="T861" t="s">
        <v>37</v>
      </c>
      <c r="U861" t="str">
        <f t="shared" si="193"/>
        <v>Magazine St</v>
      </c>
      <c r="V861" t="s">
        <v>509</v>
      </c>
      <c r="W861" t="str">
        <f t="shared" si="194"/>
        <v>Green St</v>
      </c>
      <c r="X861" t="str">
        <f>IF(ISBLANK(S861),"Intersection","Non-Intersection")</f>
        <v>Intersection</v>
      </c>
      <c r="Y861" t="s">
        <v>1607</v>
      </c>
      <c r="Z861" t="str">
        <f t="shared" si="195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196"/>
        <v>40179</v>
      </c>
      <c r="D862" s="4">
        <f t="shared" si="197"/>
        <v>0.59178082191780823</v>
      </c>
      <c r="E862" s="3">
        <f t="shared" si="198"/>
        <v>2010</v>
      </c>
      <c r="F862" s="3">
        <f t="shared" si="199"/>
        <v>8</v>
      </c>
      <c r="G862" s="3">
        <f t="shared" si="200"/>
        <v>5</v>
      </c>
      <c r="H862" s="3">
        <f t="shared" si="201"/>
        <v>14</v>
      </c>
      <c r="I862" s="3">
        <f t="shared" si="202"/>
        <v>15</v>
      </c>
      <c r="J862" s="3">
        <f t="shared" si="203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04"/>
        <v>YES</v>
      </c>
      <c r="Q862" t="str">
        <f t="shared" si="205"/>
        <v>NO</v>
      </c>
      <c r="R862" t="str">
        <f t="shared" si="206"/>
        <v>NO</v>
      </c>
      <c r="S862">
        <v>2051</v>
      </c>
      <c r="T862" t="s">
        <v>14</v>
      </c>
      <c r="U862" t="str">
        <f t="shared" si="193"/>
        <v>Massachusetts Ave</v>
      </c>
      <c r="V862" t="s">
        <v>524</v>
      </c>
      <c r="W862" t="str">
        <f t="shared" si="194"/>
        <v>Blake St</v>
      </c>
      <c r="X862" t="str">
        <f>IF(ISBLANK(S862),"Intersection","Non-Intersection")</f>
        <v>Non-Intersection</v>
      </c>
      <c r="Y862" t="s">
        <v>1609</v>
      </c>
      <c r="Z862" t="str">
        <f t="shared" si="195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196"/>
        <v>40179</v>
      </c>
      <c r="D863" s="4">
        <f t="shared" si="197"/>
        <v>0.59178082191780823</v>
      </c>
      <c r="E863" s="3">
        <f t="shared" si="198"/>
        <v>2010</v>
      </c>
      <c r="F863" s="3">
        <f t="shared" si="199"/>
        <v>8</v>
      </c>
      <c r="G863" s="3">
        <f t="shared" si="200"/>
        <v>5</v>
      </c>
      <c r="H863" s="3">
        <f t="shared" si="201"/>
        <v>16</v>
      </c>
      <c r="I863" s="3">
        <f t="shared" si="202"/>
        <v>44</v>
      </c>
      <c r="J863" s="3">
        <f t="shared" si="203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04"/>
        <v>YES</v>
      </c>
      <c r="Q863" t="str">
        <f t="shared" si="205"/>
        <v>NO</v>
      </c>
      <c r="R863" t="str">
        <f t="shared" si="206"/>
        <v>NO</v>
      </c>
      <c r="S863">
        <v>30</v>
      </c>
      <c r="T863" t="s">
        <v>15</v>
      </c>
      <c r="U863" t="str">
        <f t="shared" si="193"/>
        <v>Rindge Ave</v>
      </c>
      <c r="W863" t="str">
        <f t="shared" si="194"/>
        <v/>
      </c>
      <c r="X863" t="str">
        <f>IF(ISBLANK(S863),"Intersection","Non-Intersection")</f>
        <v>Non-Intersection</v>
      </c>
      <c r="Y863" t="s">
        <v>1610</v>
      </c>
      <c r="Z863" t="str">
        <f t="shared" si="195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196"/>
        <v>40179</v>
      </c>
      <c r="D864" s="4">
        <f t="shared" si="197"/>
        <v>0.59178082191780823</v>
      </c>
      <c r="E864" s="3">
        <f t="shared" si="198"/>
        <v>2010</v>
      </c>
      <c r="F864" s="3">
        <f t="shared" si="199"/>
        <v>8</v>
      </c>
      <c r="G864" s="3">
        <f t="shared" si="200"/>
        <v>5</v>
      </c>
      <c r="H864" s="3">
        <f t="shared" si="201"/>
        <v>10</v>
      </c>
      <c r="I864" s="3">
        <f t="shared" si="202"/>
        <v>56</v>
      </c>
      <c r="J864" s="3">
        <f t="shared" si="203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04"/>
        <v>YES</v>
      </c>
      <c r="Q864" t="str">
        <f t="shared" si="205"/>
        <v>NO</v>
      </c>
      <c r="R864" t="str">
        <f t="shared" si="206"/>
        <v>NO</v>
      </c>
      <c r="T864" t="s">
        <v>37</v>
      </c>
      <c r="U864" t="str">
        <f t="shared" si="193"/>
        <v>Magazine St</v>
      </c>
      <c r="V864" t="s">
        <v>1612</v>
      </c>
      <c r="W864" t="str">
        <f t="shared" si="194"/>
        <v>William St</v>
      </c>
      <c r="X864" t="str">
        <f>IF(ISBLANK(S864),"Intersection","Non-Intersection")</f>
        <v>Intersection</v>
      </c>
      <c r="Y864" t="s">
        <v>1613</v>
      </c>
      <c r="Z864" t="str">
        <f t="shared" si="195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196"/>
        <v>40179</v>
      </c>
      <c r="D865" s="4">
        <f t="shared" si="197"/>
        <v>0.59178082191780823</v>
      </c>
      <c r="E865" s="3">
        <f t="shared" si="198"/>
        <v>2010</v>
      </c>
      <c r="F865" s="3">
        <f t="shared" si="199"/>
        <v>8</v>
      </c>
      <c r="G865" s="3">
        <f t="shared" si="200"/>
        <v>5</v>
      </c>
      <c r="H865" s="3">
        <f t="shared" si="201"/>
        <v>8</v>
      </c>
      <c r="I865" s="3">
        <f t="shared" si="202"/>
        <v>29</v>
      </c>
      <c r="J865" s="3">
        <f t="shared" si="203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04"/>
        <v>YES</v>
      </c>
      <c r="Q865" t="str">
        <f t="shared" si="205"/>
        <v>NO</v>
      </c>
      <c r="R865" t="str">
        <f t="shared" si="206"/>
        <v>NO</v>
      </c>
      <c r="S865">
        <v>500</v>
      </c>
      <c r="T865" t="s">
        <v>1615</v>
      </c>
      <c r="U865" t="str">
        <f t="shared" si="193"/>
        <v>Kendall Sq</v>
      </c>
      <c r="W865" t="str">
        <f t="shared" si="194"/>
        <v/>
      </c>
      <c r="X865" t="str">
        <f>IF(ISBLANK(S865),"Intersection","Non-Intersection")</f>
        <v>Non-Intersection</v>
      </c>
      <c r="Y865" t="s">
        <v>1616</v>
      </c>
      <c r="Z865" t="str">
        <f t="shared" si="195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196"/>
        <v>40179</v>
      </c>
      <c r="D866" s="4">
        <f t="shared" si="197"/>
        <v>0.59178082191780823</v>
      </c>
      <c r="E866" s="3">
        <f t="shared" si="198"/>
        <v>2010</v>
      </c>
      <c r="F866" s="3">
        <f t="shared" si="199"/>
        <v>8</v>
      </c>
      <c r="G866" s="3">
        <f t="shared" si="200"/>
        <v>5</v>
      </c>
      <c r="H866" s="3">
        <f t="shared" si="201"/>
        <v>14</v>
      </c>
      <c r="I866" s="3">
        <f t="shared" si="202"/>
        <v>0</v>
      </c>
      <c r="J866" s="3">
        <f t="shared" si="203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04"/>
        <v>YES</v>
      </c>
      <c r="Q866" t="str">
        <f t="shared" si="205"/>
        <v>NO</v>
      </c>
      <c r="R866" t="str">
        <f t="shared" si="206"/>
        <v>NO</v>
      </c>
      <c r="S866">
        <v>725</v>
      </c>
      <c r="T866" t="s">
        <v>186</v>
      </c>
      <c r="U866" t="str">
        <f t="shared" si="193"/>
        <v>Concord Ave</v>
      </c>
      <c r="W866" t="str">
        <f t="shared" si="194"/>
        <v/>
      </c>
      <c r="X866" t="str">
        <f>IF(ISBLANK(S866),"Intersection","Non-Intersection")</f>
        <v>Non-Intersection</v>
      </c>
      <c r="Y866" t="s">
        <v>617</v>
      </c>
      <c r="Z866" t="str">
        <f t="shared" si="195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196"/>
        <v>40179</v>
      </c>
      <c r="D867" s="4">
        <f t="shared" si="197"/>
        <v>0.59452054794520548</v>
      </c>
      <c r="E867" s="3">
        <f t="shared" si="198"/>
        <v>2010</v>
      </c>
      <c r="F867" s="3">
        <f t="shared" si="199"/>
        <v>8</v>
      </c>
      <c r="G867" s="3">
        <f t="shared" si="200"/>
        <v>6</v>
      </c>
      <c r="H867" s="3">
        <f t="shared" si="201"/>
        <v>16</v>
      </c>
      <c r="I867" s="3">
        <f t="shared" si="202"/>
        <v>2</v>
      </c>
      <c r="J867" s="3">
        <f t="shared" si="203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04"/>
        <v>YES</v>
      </c>
      <c r="Q867" t="str">
        <f t="shared" si="205"/>
        <v>NO</v>
      </c>
      <c r="R867" t="str">
        <f t="shared" si="206"/>
        <v>NO</v>
      </c>
      <c r="T867" t="s">
        <v>260</v>
      </c>
      <c r="U867" t="str">
        <f t="shared" si="193"/>
        <v>Third St</v>
      </c>
      <c r="V867" t="s">
        <v>1502</v>
      </c>
      <c r="W867" t="str">
        <f t="shared" si="194"/>
        <v>Gore St</v>
      </c>
      <c r="X867" t="str">
        <f>IF(ISBLANK(S867),"Intersection","Non-Intersection")</f>
        <v>Intersection</v>
      </c>
      <c r="Y867" t="s">
        <v>1503</v>
      </c>
      <c r="Z867" t="str">
        <f t="shared" si="195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196"/>
        <v>40179</v>
      </c>
      <c r="D868" s="4">
        <f t="shared" si="197"/>
        <v>0.59726027397260273</v>
      </c>
      <c r="E868" s="3">
        <f t="shared" si="198"/>
        <v>2010</v>
      </c>
      <c r="F868" s="3">
        <f t="shared" si="199"/>
        <v>8</v>
      </c>
      <c r="G868" s="3">
        <f t="shared" si="200"/>
        <v>7</v>
      </c>
      <c r="H868" s="3">
        <f t="shared" si="201"/>
        <v>16</v>
      </c>
      <c r="I868" s="3">
        <f t="shared" si="202"/>
        <v>38</v>
      </c>
      <c r="J868" s="3">
        <f t="shared" si="203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04"/>
        <v>YES</v>
      </c>
      <c r="Q868" t="str">
        <f t="shared" si="205"/>
        <v>NO</v>
      </c>
      <c r="R868" t="str">
        <f t="shared" si="206"/>
        <v>NO</v>
      </c>
      <c r="S868">
        <v>105</v>
      </c>
      <c r="T868" t="s">
        <v>14</v>
      </c>
      <c r="U868" t="str">
        <f t="shared" si="193"/>
        <v>Massachusetts Ave</v>
      </c>
      <c r="W868" t="str">
        <f t="shared" si="194"/>
        <v/>
      </c>
      <c r="X868" t="str">
        <f>IF(ISBLANK(S868),"Intersection","Non-Intersection")</f>
        <v>Non-Intersection</v>
      </c>
      <c r="Y868" t="s">
        <v>1618</v>
      </c>
      <c r="Z868" t="str">
        <f t="shared" si="195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196"/>
        <v>40179</v>
      </c>
      <c r="D869" s="4">
        <f t="shared" si="197"/>
        <v>0.59726027397260273</v>
      </c>
      <c r="E869" s="3">
        <f t="shared" si="198"/>
        <v>2010</v>
      </c>
      <c r="F869" s="3">
        <f t="shared" si="199"/>
        <v>8</v>
      </c>
      <c r="G869" s="3">
        <f t="shared" si="200"/>
        <v>7</v>
      </c>
      <c r="H869" s="3">
        <f t="shared" si="201"/>
        <v>11</v>
      </c>
      <c r="I869" s="3">
        <f t="shared" si="202"/>
        <v>0</v>
      </c>
      <c r="J869" s="3">
        <f t="shared" si="203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04"/>
        <v>YES</v>
      </c>
      <c r="Q869" t="str">
        <f t="shared" si="205"/>
        <v>NO</v>
      </c>
      <c r="R869" t="str">
        <f t="shared" si="206"/>
        <v>NO</v>
      </c>
      <c r="S869">
        <v>121</v>
      </c>
      <c r="T869" t="s">
        <v>104</v>
      </c>
      <c r="U869" t="str">
        <f t="shared" si="193"/>
        <v>Inman St</v>
      </c>
      <c r="W869" t="str">
        <f t="shared" si="194"/>
        <v/>
      </c>
      <c r="X869" t="str">
        <f>IF(ISBLANK(S869),"Intersection","Non-Intersection")</f>
        <v>Non-Intersection</v>
      </c>
      <c r="Y869" t="s">
        <v>1620</v>
      </c>
      <c r="Z869" t="str">
        <f t="shared" si="195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196"/>
        <v>40179</v>
      </c>
      <c r="D870" s="4">
        <f t="shared" si="197"/>
        <v>0.59726027397260273</v>
      </c>
      <c r="E870" s="3">
        <f t="shared" si="198"/>
        <v>2010</v>
      </c>
      <c r="F870" s="3">
        <f t="shared" si="199"/>
        <v>8</v>
      </c>
      <c r="G870" s="3">
        <f t="shared" si="200"/>
        <v>7</v>
      </c>
      <c r="H870" s="3">
        <f t="shared" si="201"/>
        <v>0</v>
      </c>
      <c r="I870" s="3">
        <f t="shared" si="202"/>
        <v>46</v>
      </c>
      <c r="J870" s="3">
        <f t="shared" si="203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04"/>
        <v>YES</v>
      </c>
      <c r="Q870" t="str">
        <f t="shared" si="205"/>
        <v>NO</v>
      </c>
      <c r="R870" t="str">
        <f t="shared" si="206"/>
        <v>YES</v>
      </c>
      <c r="T870" t="s">
        <v>453</v>
      </c>
      <c r="U870" t="str">
        <f t="shared" si="193"/>
        <v>Brookline St</v>
      </c>
      <c r="V870" t="s">
        <v>14</v>
      </c>
      <c r="W870" t="str">
        <f t="shared" si="194"/>
        <v>Massachusetts Ave</v>
      </c>
      <c r="X870" t="str">
        <f>IF(ISBLANK(S870),"Intersection","Non-Intersection")</f>
        <v>Intersection</v>
      </c>
      <c r="Y870" t="s">
        <v>1622</v>
      </c>
      <c r="Z870" t="str">
        <f t="shared" si="195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196"/>
        <v>40179</v>
      </c>
      <c r="D871" s="4">
        <f t="shared" si="197"/>
        <v>0.59726027397260273</v>
      </c>
      <c r="E871" s="3">
        <f t="shared" si="198"/>
        <v>2010</v>
      </c>
      <c r="F871" s="3">
        <f t="shared" si="199"/>
        <v>8</v>
      </c>
      <c r="G871" s="3">
        <f t="shared" si="200"/>
        <v>7</v>
      </c>
      <c r="H871" s="3">
        <f t="shared" si="201"/>
        <v>18</v>
      </c>
      <c r="I871" s="3">
        <f t="shared" si="202"/>
        <v>0</v>
      </c>
      <c r="J871" s="3">
        <f t="shared" si="203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04"/>
        <v>YES</v>
      </c>
      <c r="Q871" t="str">
        <f t="shared" si="205"/>
        <v>YES</v>
      </c>
      <c r="R871" t="str">
        <f t="shared" si="206"/>
        <v>NO</v>
      </c>
      <c r="T871" t="s">
        <v>14</v>
      </c>
      <c r="U871" t="str">
        <f t="shared" si="193"/>
        <v>Massachusetts Ave</v>
      </c>
      <c r="V871" t="s">
        <v>70</v>
      </c>
      <c r="W871" t="str">
        <f t="shared" si="194"/>
        <v>Pearl St</v>
      </c>
      <c r="X871" t="str">
        <f>IF(ISBLANK(S871),"Intersection","Non-Intersection")</f>
        <v>Intersection</v>
      </c>
      <c r="Y871" t="s">
        <v>855</v>
      </c>
      <c r="Z871" t="str">
        <f t="shared" si="195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196"/>
        <v>40179</v>
      </c>
      <c r="D872" s="4">
        <f t="shared" si="197"/>
        <v>0.6</v>
      </c>
      <c r="E872" s="3">
        <f t="shared" si="198"/>
        <v>2010</v>
      </c>
      <c r="F872" s="3">
        <f t="shared" si="199"/>
        <v>8</v>
      </c>
      <c r="G872" s="3">
        <f t="shared" si="200"/>
        <v>8</v>
      </c>
      <c r="H872" s="3">
        <f t="shared" si="201"/>
        <v>16</v>
      </c>
      <c r="I872" s="3">
        <f t="shared" si="202"/>
        <v>44</v>
      </c>
      <c r="J872" s="3">
        <f t="shared" si="203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04"/>
        <v>YES</v>
      </c>
      <c r="Q872" t="str">
        <f t="shared" si="205"/>
        <v>NO</v>
      </c>
      <c r="R872" t="str">
        <f t="shared" si="206"/>
        <v>NO</v>
      </c>
      <c r="T872" t="s">
        <v>14</v>
      </c>
      <c r="U872" t="str">
        <f t="shared" si="193"/>
        <v>Massachusetts Ave</v>
      </c>
      <c r="V872" t="s">
        <v>1582</v>
      </c>
      <c r="W872" t="str">
        <f t="shared" si="194"/>
        <v>Gold Star Rd</v>
      </c>
      <c r="X872" t="str">
        <f>IF(ISBLANK(S872),"Intersection","Non-Intersection")</f>
        <v>Intersection</v>
      </c>
      <c r="Y872" t="s">
        <v>1625</v>
      </c>
      <c r="Z872" t="str">
        <f t="shared" si="195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196"/>
        <v>40179</v>
      </c>
      <c r="D873" s="4">
        <f t="shared" si="197"/>
        <v>0.6</v>
      </c>
      <c r="E873" s="3">
        <f t="shared" si="198"/>
        <v>2010</v>
      </c>
      <c r="F873" s="3">
        <f t="shared" si="199"/>
        <v>8</v>
      </c>
      <c r="G873" s="3">
        <f t="shared" si="200"/>
        <v>8</v>
      </c>
      <c r="H873" s="3">
        <f t="shared" si="201"/>
        <v>16</v>
      </c>
      <c r="I873" s="3">
        <f t="shared" si="202"/>
        <v>25</v>
      </c>
      <c r="J873" s="3">
        <f t="shared" si="203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04"/>
        <v>NO</v>
      </c>
      <c r="Q873" t="str">
        <f t="shared" si="205"/>
        <v>NO</v>
      </c>
      <c r="R873" t="str">
        <f t="shared" si="206"/>
        <v>NO</v>
      </c>
      <c r="S873">
        <v>630</v>
      </c>
      <c r="T873" t="s">
        <v>14</v>
      </c>
      <c r="U873" t="str">
        <f t="shared" si="193"/>
        <v>Massachusetts Ave</v>
      </c>
      <c r="W873" t="str">
        <f t="shared" si="194"/>
        <v/>
      </c>
      <c r="X873" t="str">
        <f>IF(ISBLANK(S873),"Intersection","Non-Intersection")</f>
        <v>Non-Intersection</v>
      </c>
      <c r="Y873" t="s">
        <v>1627</v>
      </c>
      <c r="Z873" t="str">
        <f t="shared" si="195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196"/>
        <v>40179</v>
      </c>
      <c r="D874" s="4">
        <f t="shared" si="197"/>
        <v>0.60273972602739723</v>
      </c>
      <c r="E874" s="3">
        <f t="shared" si="198"/>
        <v>2010</v>
      </c>
      <c r="F874" s="3">
        <f t="shared" si="199"/>
        <v>8</v>
      </c>
      <c r="G874" s="3">
        <f t="shared" si="200"/>
        <v>9</v>
      </c>
      <c r="H874" s="3">
        <f t="shared" si="201"/>
        <v>18</v>
      </c>
      <c r="I874" s="3">
        <f t="shared" si="202"/>
        <v>37</v>
      </c>
      <c r="J874" s="3">
        <f t="shared" si="203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04"/>
        <v>YES</v>
      </c>
      <c r="Q874" t="str">
        <f t="shared" si="205"/>
        <v>NO</v>
      </c>
      <c r="R874" t="str">
        <f t="shared" si="206"/>
        <v>NO</v>
      </c>
      <c r="T874" t="s">
        <v>453</v>
      </c>
      <c r="U874" t="str">
        <f t="shared" si="193"/>
        <v>Brookline St</v>
      </c>
      <c r="V874" t="s">
        <v>332</v>
      </c>
      <c r="W874" t="str">
        <f t="shared" si="194"/>
        <v>Allston St</v>
      </c>
      <c r="X874" t="str">
        <f>IF(ISBLANK(S874),"Intersection","Non-Intersection")</f>
        <v>Intersection</v>
      </c>
      <c r="Y874" t="s">
        <v>1629</v>
      </c>
      <c r="Z874" t="str">
        <f t="shared" si="195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196"/>
        <v>40179</v>
      </c>
      <c r="D875" s="4">
        <f t="shared" si="197"/>
        <v>0.60273972602739723</v>
      </c>
      <c r="E875" s="3">
        <f t="shared" si="198"/>
        <v>2010</v>
      </c>
      <c r="F875" s="3">
        <f t="shared" si="199"/>
        <v>8</v>
      </c>
      <c r="G875" s="3">
        <f t="shared" si="200"/>
        <v>9</v>
      </c>
      <c r="H875" s="3">
        <f t="shared" si="201"/>
        <v>8</v>
      </c>
      <c r="I875" s="3">
        <f t="shared" si="202"/>
        <v>45</v>
      </c>
      <c r="J875" s="3">
        <f t="shared" si="203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04"/>
        <v>YES</v>
      </c>
      <c r="Q875" t="str">
        <f t="shared" si="205"/>
        <v>NO</v>
      </c>
      <c r="R875" t="str">
        <f t="shared" si="206"/>
        <v>NO</v>
      </c>
      <c r="S875">
        <v>16</v>
      </c>
      <c r="T875" t="s">
        <v>365</v>
      </c>
      <c r="U875" t="str">
        <f t="shared" si="193"/>
        <v>Hurley St</v>
      </c>
      <c r="W875" t="str">
        <f t="shared" si="194"/>
        <v/>
      </c>
      <c r="X875" t="str">
        <f>IF(ISBLANK(S875),"Intersection","Non-Intersection")</f>
        <v>Non-Intersection</v>
      </c>
      <c r="Y875" t="s">
        <v>1630</v>
      </c>
      <c r="Z875" t="str">
        <f t="shared" si="195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196"/>
        <v>40179</v>
      </c>
      <c r="D876" s="4">
        <f t="shared" si="197"/>
        <v>0.60273972602739723</v>
      </c>
      <c r="E876" s="3">
        <f t="shared" si="198"/>
        <v>2010</v>
      </c>
      <c r="F876" s="3">
        <f t="shared" si="199"/>
        <v>8</v>
      </c>
      <c r="G876" s="3">
        <f t="shared" si="200"/>
        <v>9</v>
      </c>
      <c r="H876" s="3">
        <f t="shared" si="201"/>
        <v>20</v>
      </c>
      <c r="I876" s="3">
        <f t="shared" si="202"/>
        <v>0</v>
      </c>
      <c r="J876" s="3">
        <f t="shared" si="203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04"/>
        <v>YES</v>
      </c>
      <c r="Q876" t="str">
        <f t="shared" si="205"/>
        <v>NO</v>
      </c>
      <c r="R876" t="str">
        <f t="shared" si="206"/>
        <v>NO</v>
      </c>
      <c r="S876">
        <v>650</v>
      </c>
      <c r="T876" t="s">
        <v>19</v>
      </c>
      <c r="U876" t="str">
        <f t="shared" si="193"/>
        <v>Cambridge St</v>
      </c>
      <c r="W876" t="str">
        <f t="shared" si="194"/>
        <v/>
      </c>
      <c r="X876" t="str">
        <f>IF(ISBLANK(S876),"Intersection","Non-Intersection")</f>
        <v>Non-Intersection</v>
      </c>
      <c r="Y876" t="s">
        <v>1632</v>
      </c>
      <c r="Z876" t="str">
        <f t="shared" si="195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196"/>
        <v>40179</v>
      </c>
      <c r="D877" s="4">
        <f t="shared" si="197"/>
        <v>0.60547945205479448</v>
      </c>
      <c r="E877" s="3">
        <f t="shared" si="198"/>
        <v>2010</v>
      </c>
      <c r="F877" s="3">
        <f t="shared" si="199"/>
        <v>8</v>
      </c>
      <c r="G877" s="3">
        <f t="shared" si="200"/>
        <v>10</v>
      </c>
      <c r="H877" s="3">
        <f t="shared" si="201"/>
        <v>13</v>
      </c>
      <c r="I877" s="3">
        <f t="shared" si="202"/>
        <v>22</v>
      </c>
      <c r="J877" s="3">
        <f t="shared" si="203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04"/>
        <v>YES</v>
      </c>
      <c r="Q877" t="str">
        <f t="shared" si="205"/>
        <v>NO</v>
      </c>
      <c r="R877" t="str">
        <f t="shared" si="206"/>
        <v>NO</v>
      </c>
      <c r="S877">
        <v>77</v>
      </c>
      <c r="T877" t="s">
        <v>14</v>
      </c>
      <c r="U877" t="str">
        <f t="shared" si="193"/>
        <v>Massachusetts Ave</v>
      </c>
      <c r="W877" t="str">
        <f t="shared" si="194"/>
        <v/>
      </c>
      <c r="X877" t="str">
        <f>IF(ISBLANK(S877),"Intersection","Non-Intersection")</f>
        <v>Non-Intersection</v>
      </c>
      <c r="Y877" t="s">
        <v>415</v>
      </c>
      <c r="Z877" t="str">
        <f t="shared" si="195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196"/>
        <v>40179</v>
      </c>
      <c r="D878" s="4">
        <f t="shared" si="197"/>
        <v>0.60547945205479448</v>
      </c>
      <c r="E878" s="3">
        <f t="shared" si="198"/>
        <v>2010</v>
      </c>
      <c r="F878" s="3">
        <f t="shared" si="199"/>
        <v>8</v>
      </c>
      <c r="G878" s="3">
        <f t="shared" si="200"/>
        <v>10</v>
      </c>
      <c r="H878" s="3">
        <f t="shared" si="201"/>
        <v>14</v>
      </c>
      <c r="I878" s="3">
        <f t="shared" si="202"/>
        <v>0</v>
      </c>
      <c r="J878" s="3">
        <f t="shared" si="203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04"/>
        <v>YES</v>
      </c>
      <c r="Q878" t="str">
        <f t="shared" si="205"/>
        <v>NO</v>
      </c>
      <c r="R878" t="str">
        <f t="shared" si="206"/>
        <v>NO</v>
      </c>
      <c r="S878">
        <v>812</v>
      </c>
      <c r="T878" t="s">
        <v>203</v>
      </c>
      <c r="U878" t="str">
        <f t="shared" si="193"/>
        <v>Memorial Dr</v>
      </c>
      <c r="W878" t="str">
        <f t="shared" si="194"/>
        <v/>
      </c>
      <c r="X878" t="str">
        <f>IF(ISBLANK(S878),"Intersection","Non-Intersection")</f>
        <v>Non-Intersection</v>
      </c>
      <c r="Y878" t="s">
        <v>1634</v>
      </c>
      <c r="Z878" t="str">
        <f t="shared" si="195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196"/>
        <v>40179</v>
      </c>
      <c r="D879" s="4">
        <f t="shared" si="197"/>
        <v>0.60547945205479448</v>
      </c>
      <c r="E879" s="3">
        <f t="shared" si="198"/>
        <v>2010</v>
      </c>
      <c r="F879" s="3">
        <f t="shared" si="199"/>
        <v>8</v>
      </c>
      <c r="G879" s="3">
        <f t="shared" si="200"/>
        <v>10</v>
      </c>
      <c r="H879" s="3">
        <f t="shared" si="201"/>
        <v>14</v>
      </c>
      <c r="I879" s="3">
        <f t="shared" si="202"/>
        <v>0</v>
      </c>
      <c r="J879" s="3">
        <f t="shared" si="203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04"/>
        <v>YES</v>
      </c>
      <c r="Q879" t="str">
        <f t="shared" si="205"/>
        <v>NO</v>
      </c>
      <c r="R879" t="str">
        <f t="shared" si="206"/>
        <v>NO</v>
      </c>
      <c r="T879" t="s">
        <v>19</v>
      </c>
      <c r="U879" t="str">
        <f t="shared" si="193"/>
        <v>Cambridge St</v>
      </c>
      <c r="V879" t="s">
        <v>993</v>
      </c>
      <c r="W879" t="str">
        <f t="shared" si="194"/>
        <v>Fifth St</v>
      </c>
      <c r="X879" t="str">
        <f>IF(ISBLANK(S879),"Intersection","Non-Intersection")</f>
        <v>Intersection</v>
      </c>
      <c r="Y879" t="s">
        <v>1636</v>
      </c>
      <c r="Z879" t="str">
        <f t="shared" si="195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196"/>
        <v>40179</v>
      </c>
      <c r="D880" s="4">
        <f t="shared" si="197"/>
        <v>0.60547945205479448</v>
      </c>
      <c r="E880" s="3">
        <f t="shared" si="198"/>
        <v>2010</v>
      </c>
      <c r="F880" s="3">
        <f t="shared" si="199"/>
        <v>8</v>
      </c>
      <c r="G880" s="3">
        <f t="shared" si="200"/>
        <v>10</v>
      </c>
      <c r="H880" s="3">
        <f t="shared" si="201"/>
        <v>14</v>
      </c>
      <c r="I880" s="3">
        <f t="shared" si="202"/>
        <v>13</v>
      </c>
      <c r="J880" s="3">
        <f t="shared" si="203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04"/>
        <v>YES</v>
      </c>
      <c r="Q880" t="str">
        <f t="shared" si="205"/>
        <v>NO</v>
      </c>
      <c r="R880" t="str">
        <f t="shared" si="206"/>
        <v>NO</v>
      </c>
      <c r="T880" t="s">
        <v>1024</v>
      </c>
      <c r="U880" t="str">
        <f t="shared" si="193"/>
        <v>Kinnaird St</v>
      </c>
      <c r="V880" t="s">
        <v>27</v>
      </c>
      <c r="W880" t="str">
        <f t="shared" si="194"/>
        <v>Western Ave</v>
      </c>
      <c r="X880" t="str">
        <f>IF(ISBLANK(S880),"Intersection","Non-Intersection")</f>
        <v>Intersection</v>
      </c>
      <c r="Y880" t="s">
        <v>1638</v>
      </c>
      <c r="Z880" t="str">
        <f t="shared" si="195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196"/>
        <v>40179</v>
      </c>
      <c r="D881" s="4">
        <f t="shared" si="197"/>
        <v>0.60547945205479448</v>
      </c>
      <c r="E881" s="3">
        <f t="shared" si="198"/>
        <v>2010</v>
      </c>
      <c r="F881" s="3">
        <f t="shared" si="199"/>
        <v>8</v>
      </c>
      <c r="G881" s="3">
        <f t="shared" si="200"/>
        <v>10</v>
      </c>
      <c r="H881" s="3">
        <f t="shared" si="201"/>
        <v>18</v>
      </c>
      <c r="I881" s="3">
        <f t="shared" si="202"/>
        <v>37</v>
      </c>
      <c r="J881" s="3">
        <f t="shared" si="203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04"/>
        <v>YES</v>
      </c>
      <c r="Q881" t="str">
        <f t="shared" si="205"/>
        <v>NO</v>
      </c>
      <c r="R881" t="str">
        <f t="shared" si="206"/>
        <v>NO</v>
      </c>
      <c r="T881" t="s">
        <v>19</v>
      </c>
      <c r="U881" t="str">
        <f t="shared" si="193"/>
        <v>Cambridge St</v>
      </c>
      <c r="V881" t="s">
        <v>129</v>
      </c>
      <c r="W881" t="str">
        <f t="shared" si="194"/>
        <v>Cardinal Medeiros Ave</v>
      </c>
      <c r="X881" t="str">
        <f>IF(ISBLANK(S881),"Intersection","Non-Intersection")</f>
        <v>Intersection</v>
      </c>
      <c r="Y881" t="s">
        <v>130</v>
      </c>
      <c r="Z881" t="str">
        <f t="shared" si="195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196"/>
        <v>40179</v>
      </c>
      <c r="D882" s="4">
        <f t="shared" si="197"/>
        <v>0.60547945205479448</v>
      </c>
      <c r="E882" s="3">
        <f t="shared" si="198"/>
        <v>2010</v>
      </c>
      <c r="F882" s="3">
        <f t="shared" si="199"/>
        <v>8</v>
      </c>
      <c r="G882" s="3">
        <f t="shared" si="200"/>
        <v>10</v>
      </c>
      <c r="H882" s="3">
        <f t="shared" si="201"/>
        <v>15</v>
      </c>
      <c r="I882" s="3">
        <f t="shared" si="202"/>
        <v>40</v>
      </c>
      <c r="J882" s="3">
        <f t="shared" si="203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04"/>
        <v>YES</v>
      </c>
      <c r="Q882" t="str">
        <f t="shared" si="205"/>
        <v>NO</v>
      </c>
      <c r="R882" t="str">
        <f t="shared" si="206"/>
        <v>NO</v>
      </c>
      <c r="T882" t="s">
        <v>1427</v>
      </c>
      <c r="U882" t="str">
        <f t="shared" si="193"/>
        <v>Harvard Sq</v>
      </c>
      <c r="W882" t="str">
        <f t="shared" si="194"/>
        <v/>
      </c>
      <c r="X882" t="str">
        <f>IF(ISBLANK(S882),"Intersection","Non-Intersection")</f>
        <v>Intersection</v>
      </c>
      <c r="Y882" t="s">
        <v>1640</v>
      </c>
      <c r="Z882" t="str">
        <f t="shared" si="195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196"/>
        <v>40179</v>
      </c>
      <c r="D883" s="4">
        <f t="shared" si="197"/>
        <v>0.60821917808219184</v>
      </c>
      <c r="E883" s="3">
        <f t="shared" si="198"/>
        <v>2010</v>
      </c>
      <c r="F883" s="3">
        <f t="shared" si="199"/>
        <v>8</v>
      </c>
      <c r="G883" s="3">
        <f t="shared" si="200"/>
        <v>11</v>
      </c>
      <c r="H883" s="3">
        <f t="shared" si="201"/>
        <v>7</v>
      </c>
      <c r="I883" s="3">
        <f t="shared" si="202"/>
        <v>30</v>
      </c>
      <c r="J883" s="3">
        <f t="shared" si="203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04"/>
        <v>YES</v>
      </c>
      <c r="Q883" t="str">
        <f t="shared" si="205"/>
        <v>NO</v>
      </c>
      <c r="R883" t="str">
        <f t="shared" si="206"/>
        <v>NO</v>
      </c>
      <c r="S883">
        <v>10</v>
      </c>
      <c r="T883" t="s">
        <v>803</v>
      </c>
      <c r="U883" t="str">
        <f t="shared" si="193"/>
        <v>Line St</v>
      </c>
      <c r="W883" t="str">
        <f t="shared" si="194"/>
        <v/>
      </c>
      <c r="X883" t="str">
        <f>IF(ISBLANK(S883),"Intersection","Non-Intersection")</f>
        <v>Non-Intersection</v>
      </c>
      <c r="Y883" t="s">
        <v>1641</v>
      </c>
      <c r="Z883" t="str">
        <f t="shared" si="195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196"/>
        <v>40179</v>
      </c>
      <c r="D884" s="4">
        <f t="shared" si="197"/>
        <v>0.60821917808219184</v>
      </c>
      <c r="E884" s="3">
        <f t="shared" si="198"/>
        <v>2010</v>
      </c>
      <c r="F884" s="3">
        <f t="shared" si="199"/>
        <v>8</v>
      </c>
      <c r="G884" s="3">
        <f t="shared" si="200"/>
        <v>11</v>
      </c>
      <c r="H884" s="3">
        <f t="shared" si="201"/>
        <v>17</v>
      </c>
      <c r="I884" s="3">
        <f t="shared" si="202"/>
        <v>23</v>
      </c>
      <c r="J884" s="3">
        <f t="shared" si="203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04"/>
        <v>YES</v>
      </c>
      <c r="Q884" t="str">
        <f t="shared" si="205"/>
        <v>YES</v>
      </c>
      <c r="R884" t="str">
        <f t="shared" si="206"/>
        <v>NO</v>
      </c>
      <c r="T884" t="s">
        <v>105</v>
      </c>
      <c r="U884" t="str">
        <f t="shared" si="193"/>
        <v>Broadway</v>
      </c>
      <c r="V884" t="s">
        <v>192</v>
      </c>
      <c r="W884" t="str">
        <f t="shared" si="194"/>
        <v>Hancock St</v>
      </c>
      <c r="X884" t="str">
        <f>IF(ISBLANK(S884),"Intersection","Non-Intersection")</f>
        <v>Intersection</v>
      </c>
      <c r="Y884" t="s">
        <v>1643</v>
      </c>
      <c r="Z884" t="str">
        <f t="shared" si="195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196"/>
        <v>40179</v>
      </c>
      <c r="D885" s="4">
        <f t="shared" si="197"/>
        <v>0.60821917808219184</v>
      </c>
      <c r="E885" s="3">
        <f t="shared" si="198"/>
        <v>2010</v>
      </c>
      <c r="F885" s="3">
        <f t="shared" si="199"/>
        <v>8</v>
      </c>
      <c r="G885" s="3">
        <f t="shared" si="200"/>
        <v>11</v>
      </c>
      <c r="H885" s="3">
        <f t="shared" si="201"/>
        <v>12</v>
      </c>
      <c r="I885" s="3">
        <f t="shared" si="202"/>
        <v>46</v>
      </c>
      <c r="J885" s="3">
        <f t="shared" si="203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04"/>
        <v>YES</v>
      </c>
      <c r="Q885" t="str">
        <f t="shared" si="205"/>
        <v>NO</v>
      </c>
      <c r="R885" t="str">
        <f t="shared" si="206"/>
        <v>NO</v>
      </c>
      <c r="S885">
        <v>1689</v>
      </c>
      <c r="T885" t="s">
        <v>14</v>
      </c>
      <c r="U885" t="str">
        <f t="shared" si="193"/>
        <v>Massachusetts Ave</v>
      </c>
      <c r="W885" t="str">
        <f t="shared" si="194"/>
        <v/>
      </c>
      <c r="X885" t="str">
        <f>IF(ISBLANK(S885),"Intersection","Non-Intersection")</f>
        <v>Non-Intersection</v>
      </c>
      <c r="Y885" t="s">
        <v>1645</v>
      </c>
      <c r="Z885" t="str">
        <f t="shared" si="195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196"/>
        <v>40179</v>
      </c>
      <c r="D886" s="4">
        <f t="shared" si="197"/>
        <v>0.60821917808219184</v>
      </c>
      <c r="E886" s="3">
        <f t="shared" si="198"/>
        <v>2010</v>
      </c>
      <c r="F886" s="3">
        <f t="shared" si="199"/>
        <v>8</v>
      </c>
      <c r="G886" s="3">
        <f t="shared" si="200"/>
        <v>11</v>
      </c>
      <c r="H886" s="3">
        <f t="shared" si="201"/>
        <v>19</v>
      </c>
      <c r="I886" s="3">
        <f t="shared" si="202"/>
        <v>3</v>
      </c>
      <c r="J886" s="3">
        <f t="shared" si="203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04"/>
        <v>YES</v>
      </c>
      <c r="Q886" t="str">
        <f t="shared" si="205"/>
        <v>NO</v>
      </c>
      <c r="R886" t="str">
        <f t="shared" si="206"/>
        <v>YES</v>
      </c>
      <c r="T886" t="s">
        <v>19</v>
      </c>
      <c r="U886" t="str">
        <f t="shared" si="193"/>
        <v>Cambridge St</v>
      </c>
      <c r="V886" t="s">
        <v>1646</v>
      </c>
      <c r="W886" t="str">
        <f t="shared" si="194"/>
        <v>Lambert St</v>
      </c>
      <c r="X886" t="str">
        <f>IF(ISBLANK(S886),"Intersection","Non-Intersection")</f>
        <v>Intersection</v>
      </c>
      <c r="Y886" t="s">
        <v>1647</v>
      </c>
      <c r="Z886" t="str">
        <f t="shared" si="195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196"/>
        <v>40179</v>
      </c>
      <c r="D887" s="4">
        <f t="shared" si="197"/>
        <v>0.60821917808219184</v>
      </c>
      <c r="E887" s="3">
        <f t="shared" si="198"/>
        <v>2010</v>
      </c>
      <c r="F887" s="3">
        <f t="shared" si="199"/>
        <v>8</v>
      </c>
      <c r="G887" s="3">
        <f t="shared" si="200"/>
        <v>11</v>
      </c>
      <c r="H887" s="3">
        <f t="shared" si="201"/>
        <v>12</v>
      </c>
      <c r="I887" s="3">
        <f t="shared" si="202"/>
        <v>0</v>
      </c>
      <c r="J887" s="3">
        <f t="shared" si="203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04"/>
        <v>YES</v>
      </c>
      <c r="Q887" t="str">
        <f t="shared" si="205"/>
        <v>NO</v>
      </c>
      <c r="R887" t="str">
        <f t="shared" si="206"/>
        <v>NO</v>
      </c>
      <c r="S887">
        <v>727</v>
      </c>
      <c r="T887" t="s">
        <v>203</v>
      </c>
      <c r="U887" t="str">
        <f t="shared" si="193"/>
        <v>Memorial Dr</v>
      </c>
      <c r="W887" t="str">
        <f t="shared" si="194"/>
        <v/>
      </c>
      <c r="X887" t="str">
        <f>IF(ISBLANK(S887),"Intersection","Non-Intersection")</f>
        <v>Non-Intersection</v>
      </c>
      <c r="Y887" t="s">
        <v>1649</v>
      </c>
      <c r="Z887" t="str">
        <f t="shared" si="195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196"/>
        <v>40179</v>
      </c>
      <c r="D888" s="4">
        <f t="shared" si="197"/>
        <v>0.60821917808219184</v>
      </c>
      <c r="E888" s="3">
        <f t="shared" si="198"/>
        <v>2010</v>
      </c>
      <c r="F888" s="3">
        <f t="shared" si="199"/>
        <v>8</v>
      </c>
      <c r="G888" s="3">
        <f t="shared" si="200"/>
        <v>11</v>
      </c>
      <c r="H888" s="3">
        <f t="shared" si="201"/>
        <v>9</v>
      </c>
      <c r="I888" s="3">
        <f t="shared" si="202"/>
        <v>10</v>
      </c>
      <c r="J888" s="3">
        <f t="shared" si="203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04"/>
        <v>YES</v>
      </c>
      <c r="Q888" t="str">
        <f t="shared" si="205"/>
        <v>NO</v>
      </c>
      <c r="R888" t="str">
        <f t="shared" si="206"/>
        <v>NO</v>
      </c>
      <c r="T888" t="s">
        <v>1013</v>
      </c>
      <c r="U888" t="str">
        <f t="shared" si="193"/>
        <v>Blanchard Rd</v>
      </c>
      <c r="V888" t="s">
        <v>1651</v>
      </c>
      <c r="W888" t="str">
        <f t="shared" si="194"/>
        <v>Normandy Ave</v>
      </c>
      <c r="X888" t="str">
        <f>IF(ISBLANK(S888),"Intersection","Non-Intersection")</f>
        <v>Intersection</v>
      </c>
      <c r="Y888" t="s">
        <v>1652</v>
      </c>
      <c r="Z888" t="str">
        <f t="shared" si="195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196"/>
        <v>40179</v>
      </c>
      <c r="D889" s="4">
        <f t="shared" si="197"/>
        <v>0.60821917808219184</v>
      </c>
      <c r="E889" s="3">
        <f t="shared" si="198"/>
        <v>2010</v>
      </c>
      <c r="F889" s="3">
        <f t="shared" si="199"/>
        <v>8</v>
      </c>
      <c r="G889" s="3">
        <f t="shared" si="200"/>
        <v>11</v>
      </c>
      <c r="H889" s="3">
        <f t="shared" si="201"/>
        <v>13</v>
      </c>
      <c r="I889" s="3">
        <f t="shared" si="202"/>
        <v>40</v>
      </c>
      <c r="J889" s="3">
        <f t="shared" si="203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04"/>
        <v>YES</v>
      </c>
      <c r="Q889" t="str">
        <f t="shared" si="205"/>
        <v>NO</v>
      </c>
      <c r="R889" t="str">
        <f t="shared" si="206"/>
        <v>NO</v>
      </c>
      <c r="T889" t="s">
        <v>186</v>
      </c>
      <c r="U889" t="str">
        <f t="shared" si="193"/>
        <v>Concord Ave</v>
      </c>
      <c r="V889" t="s">
        <v>186</v>
      </c>
      <c r="W889" t="str">
        <f t="shared" si="194"/>
        <v>Concord Ave</v>
      </c>
      <c r="X889" t="str">
        <f>IF(ISBLANK(S889),"Intersection","Non-Intersection")</f>
        <v>Intersection</v>
      </c>
      <c r="Y889" t="s">
        <v>1654</v>
      </c>
      <c r="Z889" t="str">
        <f t="shared" si="195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196"/>
        <v>40179</v>
      </c>
      <c r="D890" s="4">
        <f t="shared" si="197"/>
        <v>0.60821917808219184</v>
      </c>
      <c r="E890" s="3">
        <f t="shared" si="198"/>
        <v>2010</v>
      </c>
      <c r="F890" s="3">
        <f t="shared" si="199"/>
        <v>8</v>
      </c>
      <c r="G890" s="3">
        <f t="shared" si="200"/>
        <v>11</v>
      </c>
      <c r="H890" s="3">
        <f t="shared" si="201"/>
        <v>23</v>
      </c>
      <c r="I890" s="3">
        <f t="shared" si="202"/>
        <v>0</v>
      </c>
      <c r="J890" s="3">
        <f t="shared" si="203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04"/>
        <v>YES</v>
      </c>
      <c r="Q890" t="str">
        <f t="shared" si="205"/>
        <v>NO</v>
      </c>
      <c r="R890" t="str">
        <f t="shared" si="206"/>
        <v>NO</v>
      </c>
      <c r="S890">
        <v>14</v>
      </c>
      <c r="T890" t="s">
        <v>351</v>
      </c>
      <c r="U890" t="str">
        <f t="shared" si="193"/>
        <v>Cambridge Ctr</v>
      </c>
      <c r="W890" t="str">
        <f t="shared" si="194"/>
        <v/>
      </c>
      <c r="X890" t="str">
        <f>IF(ISBLANK(S890),"Intersection","Non-Intersection")</f>
        <v>Non-Intersection</v>
      </c>
      <c r="Y890" t="s">
        <v>1655</v>
      </c>
      <c r="Z890" t="str">
        <f t="shared" si="195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196"/>
        <v>40179</v>
      </c>
      <c r="D891" s="4">
        <f t="shared" si="197"/>
        <v>0.61095890410958908</v>
      </c>
      <c r="E891" s="3">
        <f t="shared" si="198"/>
        <v>2010</v>
      </c>
      <c r="F891" s="3">
        <f t="shared" si="199"/>
        <v>8</v>
      </c>
      <c r="G891" s="3">
        <f t="shared" si="200"/>
        <v>12</v>
      </c>
      <c r="H891" s="3">
        <f t="shared" si="201"/>
        <v>14</v>
      </c>
      <c r="I891" s="3">
        <f t="shared" si="202"/>
        <v>10</v>
      </c>
      <c r="J891" s="3">
        <f t="shared" si="203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04"/>
        <v>YES</v>
      </c>
      <c r="Q891" t="str">
        <f t="shared" si="205"/>
        <v>NO</v>
      </c>
      <c r="R891" t="str">
        <f t="shared" si="206"/>
        <v>NO</v>
      </c>
      <c r="T891" t="s">
        <v>380</v>
      </c>
      <c r="U891" t="str">
        <f t="shared" si="193"/>
        <v>Charles St</v>
      </c>
      <c r="V891" t="s">
        <v>61</v>
      </c>
      <c r="W891" t="str">
        <f t="shared" si="194"/>
        <v>First St</v>
      </c>
      <c r="X891" t="str">
        <f>IF(ISBLANK(S891),"Intersection","Non-Intersection")</f>
        <v>Intersection</v>
      </c>
      <c r="Y891" t="s">
        <v>1656</v>
      </c>
      <c r="Z891" t="str">
        <f t="shared" si="195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196"/>
        <v>40179</v>
      </c>
      <c r="D892" s="4">
        <f t="shared" si="197"/>
        <v>0.61095890410958908</v>
      </c>
      <c r="E892" s="3">
        <f t="shared" si="198"/>
        <v>2010</v>
      </c>
      <c r="F892" s="3">
        <f t="shared" si="199"/>
        <v>8</v>
      </c>
      <c r="G892" s="3">
        <f t="shared" si="200"/>
        <v>12</v>
      </c>
      <c r="H892" s="3">
        <f t="shared" si="201"/>
        <v>15</v>
      </c>
      <c r="I892" s="3">
        <f t="shared" si="202"/>
        <v>0</v>
      </c>
      <c r="J892" s="3">
        <f t="shared" si="203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04"/>
        <v>YES</v>
      </c>
      <c r="Q892" t="str">
        <f t="shared" si="205"/>
        <v>NO</v>
      </c>
      <c r="R892" t="str">
        <f t="shared" si="206"/>
        <v>NO</v>
      </c>
      <c r="S892">
        <v>450</v>
      </c>
      <c r="T892" t="s">
        <v>186</v>
      </c>
      <c r="U892" t="str">
        <f t="shared" si="193"/>
        <v>Concord Ave</v>
      </c>
      <c r="W892" t="str">
        <f t="shared" si="194"/>
        <v/>
      </c>
      <c r="X892" t="str">
        <f>IF(ISBLANK(S892),"Intersection","Non-Intersection")</f>
        <v>Non-Intersection</v>
      </c>
      <c r="Y892" t="s">
        <v>1658</v>
      </c>
      <c r="Z892" t="str">
        <f t="shared" si="195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196"/>
        <v>40179</v>
      </c>
      <c r="D893" s="4">
        <f t="shared" si="197"/>
        <v>0.61095890410958908</v>
      </c>
      <c r="E893" s="3">
        <f t="shared" si="198"/>
        <v>2010</v>
      </c>
      <c r="F893" s="3">
        <f t="shared" si="199"/>
        <v>8</v>
      </c>
      <c r="G893" s="3">
        <f t="shared" si="200"/>
        <v>12</v>
      </c>
      <c r="H893" s="3">
        <f t="shared" si="201"/>
        <v>15</v>
      </c>
      <c r="I893" s="3">
        <f t="shared" si="202"/>
        <v>49</v>
      </c>
      <c r="J893" s="3">
        <f t="shared" si="203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04"/>
        <v>YES</v>
      </c>
      <c r="Q893" t="str">
        <f t="shared" si="205"/>
        <v>NO</v>
      </c>
      <c r="R893" t="str">
        <f t="shared" si="206"/>
        <v>NO</v>
      </c>
      <c r="S893">
        <v>1493</v>
      </c>
      <c r="T893" t="s">
        <v>19</v>
      </c>
      <c r="U893" t="str">
        <f t="shared" si="193"/>
        <v>Cambridge St</v>
      </c>
      <c r="W893" t="str">
        <f t="shared" si="194"/>
        <v/>
      </c>
      <c r="X893" t="str">
        <f>IF(ISBLANK(S893),"Intersection","Non-Intersection")</f>
        <v>Non-Intersection</v>
      </c>
      <c r="Y893" t="s">
        <v>1660</v>
      </c>
      <c r="Z893" t="str">
        <f t="shared" si="195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196"/>
        <v>40179</v>
      </c>
      <c r="D894" s="4">
        <f t="shared" si="197"/>
        <v>0.61095890410958908</v>
      </c>
      <c r="E894" s="3">
        <f t="shared" si="198"/>
        <v>2010</v>
      </c>
      <c r="F894" s="3">
        <f t="shared" si="199"/>
        <v>8</v>
      </c>
      <c r="G894" s="3">
        <f t="shared" si="200"/>
        <v>12</v>
      </c>
      <c r="H894" s="3">
        <f t="shared" si="201"/>
        <v>18</v>
      </c>
      <c r="I894" s="3">
        <f t="shared" si="202"/>
        <v>14</v>
      </c>
      <c r="J894" s="3">
        <f t="shared" si="203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04"/>
        <v>YES</v>
      </c>
      <c r="Q894" t="str">
        <f t="shared" si="205"/>
        <v>NO</v>
      </c>
      <c r="R894" t="str">
        <f t="shared" si="206"/>
        <v>NO</v>
      </c>
      <c r="S894">
        <v>89</v>
      </c>
      <c r="T894" t="s">
        <v>61</v>
      </c>
      <c r="U894" t="str">
        <f t="shared" si="193"/>
        <v>First St</v>
      </c>
      <c r="W894" t="str">
        <f t="shared" si="194"/>
        <v/>
      </c>
      <c r="X894" t="str">
        <f>IF(ISBLANK(S894),"Intersection","Non-Intersection")</f>
        <v>Non-Intersection</v>
      </c>
      <c r="Y894" t="s">
        <v>1662</v>
      </c>
      <c r="Z894" t="str">
        <f t="shared" si="195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196"/>
        <v>40179</v>
      </c>
      <c r="D895" s="4">
        <f t="shared" si="197"/>
        <v>0.61095890410958908</v>
      </c>
      <c r="E895" s="3">
        <f t="shared" si="198"/>
        <v>2010</v>
      </c>
      <c r="F895" s="3">
        <f t="shared" si="199"/>
        <v>8</v>
      </c>
      <c r="G895" s="3">
        <f t="shared" si="200"/>
        <v>12</v>
      </c>
      <c r="H895" s="3">
        <f t="shared" si="201"/>
        <v>15</v>
      </c>
      <c r="I895" s="3">
        <f t="shared" si="202"/>
        <v>31</v>
      </c>
      <c r="J895" s="3">
        <f t="shared" si="203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04"/>
        <v>YES</v>
      </c>
      <c r="Q895" t="str">
        <f t="shared" si="205"/>
        <v>NO</v>
      </c>
      <c r="R895" t="str">
        <f t="shared" si="206"/>
        <v>NO</v>
      </c>
      <c r="S895">
        <v>18</v>
      </c>
      <c r="T895" t="s">
        <v>15</v>
      </c>
      <c r="U895" t="str">
        <f t="shared" si="193"/>
        <v>Rindge Ave</v>
      </c>
      <c r="W895" t="str">
        <f t="shared" si="194"/>
        <v/>
      </c>
      <c r="X895" t="str">
        <f>IF(ISBLANK(S895),"Intersection","Non-Intersection")</f>
        <v>Non-Intersection</v>
      </c>
      <c r="Y895" t="s">
        <v>1664</v>
      </c>
      <c r="Z895" t="str">
        <f t="shared" si="195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196"/>
        <v>40179</v>
      </c>
      <c r="D896" s="4">
        <f t="shared" si="197"/>
        <v>0.61369863013698633</v>
      </c>
      <c r="E896" s="3">
        <f t="shared" si="198"/>
        <v>2010</v>
      </c>
      <c r="F896" s="3">
        <f t="shared" si="199"/>
        <v>8</v>
      </c>
      <c r="G896" s="3">
        <f t="shared" si="200"/>
        <v>13</v>
      </c>
      <c r="H896" s="3">
        <f t="shared" si="201"/>
        <v>9</v>
      </c>
      <c r="I896" s="3">
        <f t="shared" si="202"/>
        <v>59</v>
      </c>
      <c r="J896" s="3">
        <f t="shared" si="203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04"/>
        <v>YES</v>
      </c>
      <c r="Q896" t="str">
        <f t="shared" si="205"/>
        <v>NO</v>
      </c>
      <c r="R896" t="str">
        <f t="shared" si="206"/>
        <v>NO</v>
      </c>
      <c r="T896" t="s">
        <v>198</v>
      </c>
      <c r="U896" t="str">
        <f t="shared" si="193"/>
        <v>Mount Auburn St</v>
      </c>
      <c r="V896" t="s">
        <v>464</v>
      </c>
      <c r="W896" t="str">
        <f t="shared" si="194"/>
        <v>Aberdeen Way</v>
      </c>
      <c r="X896" t="str">
        <f>IF(ISBLANK(S896),"Intersection","Non-Intersection")</f>
        <v>Intersection</v>
      </c>
      <c r="Y896" t="s">
        <v>1666</v>
      </c>
      <c r="Z896" t="str">
        <f t="shared" si="195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196"/>
        <v>40179</v>
      </c>
      <c r="D897" s="4">
        <f t="shared" si="197"/>
        <v>0.61369863013698633</v>
      </c>
      <c r="E897" s="3">
        <f t="shared" si="198"/>
        <v>2010</v>
      </c>
      <c r="F897" s="3">
        <f t="shared" si="199"/>
        <v>8</v>
      </c>
      <c r="G897" s="3">
        <f t="shared" si="200"/>
        <v>13</v>
      </c>
      <c r="H897" s="3">
        <f t="shared" si="201"/>
        <v>15</v>
      </c>
      <c r="I897" s="3">
        <f t="shared" si="202"/>
        <v>0</v>
      </c>
      <c r="J897" s="3">
        <f t="shared" si="203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04"/>
        <v>YES</v>
      </c>
      <c r="Q897" t="str">
        <f t="shared" si="205"/>
        <v>NO</v>
      </c>
      <c r="R897" t="str">
        <f t="shared" si="206"/>
        <v>NO</v>
      </c>
      <c r="S897">
        <v>11</v>
      </c>
      <c r="T897" t="s">
        <v>351</v>
      </c>
      <c r="U897" t="str">
        <f t="shared" si="193"/>
        <v>Cambridge Ctr</v>
      </c>
      <c r="W897" t="str">
        <f t="shared" si="194"/>
        <v/>
      </c>
      <c r="X897" t="str">
        <f>IF(ISBLANK(S897),"Intersection","Non-Intersection")</f>
        <v>Non-Intersection</v>
      </c>
      <c r="Y897" t="s">
        <v>1668</v>
      </c>
      <c r="Z897" t="str">
        <f t="shared" si="195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196"/>
        <v>40179</v>
      </c>
      <c r="D898" s="4">
        <f t="shared" si="197"/>
        <v>0.61369863013698633</v>
      </c>
      <c r="E898" s="3">
        <f t="shared" si="198"/>
        <v>2010</v>
      </c>
      <c r="F898" s="3">
        <f t="shared" si="199"/>
        <v>8</v>
      </c>
      <c r="G898" s="3">
        <f t="shared" si="200"/>
        <v>13</v>
      </c>
      <c r="H898" s="3">
        <f t="shared" si="201"/>
        <v>18</v>
      </c>
      <c r="I898" s="3">
        <f t="shared" si="202"/>
        <v>30</v>
      </c>
      <c r="J898" s="3">
        <f t="shared" si="203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04"/>
        <v>YES</v>
      </c>
      <c r="Q898" t="str">
        <f t="shared" si="205"/>
        <v>YES</v>
      </c>
      <c r="R898" t="str">
        <f t="shared" si="206"/>
        <v>NO</v>
      </c>
      <c r="T898" t="s">
        <v>14</v>
      </c>
      <c r="U898" t="str">
        <f t="shared" si="193"/>
        <v>Massachusetts Ave</v>
      </c>
      <c r="V898" t="s">
        <v>119</v>
      </c>
      <c r="W898" t="str">
        <f t="shared" si="194"/>
        <v>Albany St</v>
      </c>
      <c r="X898" t="str">
        <f>IF(ISBLANK(S898),"Intersection","Non-Intersection")</f>
        <v>Intersection</v>
      </c>
      <c r="Y898" t="s">
        <v>247</v>
      </c>
      <c r="Z898" t="str">
        <f t="shared" si="195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196"/>
        <v>40179</v>
      </c>
      <c r="D899" s="4">
        <f t="shared" si="197"/>
        <v>0.61369863013698633</v>
      </c>
      <c r="E899" s="3">
        <f t="shared" si="198"/>
        <v>2010</v>
      </c>
      <c r="F899" s="3">
        <f t="shared" si="199"/>
        <v>8</v>
      </c>
      <c r="G899" s="3">
        <f t="shared" si="200"/>
        <v>13</v>
      </c>
      <c r="H899" s="3">
        <f t="shared" si="201"/>
        <v>19</v>
      </c>
      <c r="I899" s="3">
        <f t="shared" si="202"/>
        <v>38</v>
      </c>
      <c r="J899" s="3">
        <f t="shared" si="203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04"/>
        <v>YES</v>
      </c>
      <c r="Q899" t="str">
        <f t="shared" si="205"/>
        <v>NO</v>
      </c>
      <c r="R899" t="str">
        <f t="shared" si="206"/>
        <v>NO</v>
      </c>
      <c r="S899">
        <v>84</v>
      </c>
      <c r="T899" t="s">
        <v>141</v>
      </c>
      <c r="U899" t="str">
        <f t="shared" ref="U899:U962" si="207">TRIM(PROPER(T899))</f>
        <v>Standish St</v>
      </c>
      <c r="W899" t="str">
        <f t="shared" ref="W899:W962" si="208">TRIM(PROPER(V899))</f>
        <v/>
      </c>
      <c r="X899" t="str">
        <f>IF(ISBLANK(S899),"Intersection","Non-Intersection")</f>
        <v>Non-Intersection</v>
      </c>
      <c r="Y899" t="s">
        <v>1669</v>
      </c>
      <c r="Z899" t="str">
        <f t="shared" ref="Z899:Z962" si="209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196"/>
        <v>40179</v>
      </c>
      <c r="D900" s="4">
        <f t="shared" si="197"/>
        <v>0.61643835616438358</v>
      </c>
      <c r="E900" s="3">
        <f t="shared" si="198"/>
        <v>2010</v>
      </c>
      <c r="F900" s="3">
        <f t="shared" si="199"/>
        <v>8</v>
      </c>
      <c r="G900" s="3">
        <f t="shared" si="200"/>
        <v>14</v>
      </c>
      <c r="H900" s="3">
        <f t="shared" si="201"/>
        <v>5</v>
      </c>
      <c r="I900" s="3">
        <f t="shared" si="202"/>
        <v>4</v>
      </c>
      <c r="J900" s="3">
        <f t="shared" si="203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04"/>
        <v>YES</v>
      </c>
      <c r="Q900" t="str">
        <f t="shared" si="205"/>
        <v>NO</v>
      </c>
      <c r="R900" t="str">
        <f t="shared" si="206"/>
        <v>NO</v>
      </c>
      <c r="S900">
        <v>1</v>
      </c>
      <c r="T900" t="s">
        <v>1671</v>
      </c>
      <c r="U900" t="str">
        <f t="shared" si="207"/>
        <v>Palermo St</v>
      </c>
      <c r="W900" t="str">
        <f t="shared" si="208"/>
        <v/>
      </c>
      <c r="X900" t="str">
        <f>IF(ISBLANK(S900),"Intersection","Non-Intersection")</f>
        <v>Non-Intersection</v>
      </c>
      <c r="Y900" t="s">
        <v>1672</v>
      </c>
      <c r="Z900" t="str">
        <f t="shared" si="209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196"/>
        <v>40179</v>
      </c>
      <c r="D901" s="4">
        <f t="shared" si="197"/>
        <v>0.61643835616438358</v>
      </c>
      <c r="E901" s="3">
        <f t="shared" si="198"/>
        <v>2010</v>
      </c>
      <c r="F901" s="3">
        <f t="shared" si="199"/>
        <v>8</v>
      </c>
      <c r="G901" s="3">
        <f t="shared" si="200"/>
        <v>14</v>
      </c>
      <c r="H901" s="3">
        <f t="shared" si="201"/>
        <v>8</v>
      </c>
      <c r="I901" s="3">
        <f t="shared" si="202"/>
        <v>45</v>
      </c>
      <c r="J901" s="3">
        <f t="shared" si="203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04"/>
        <v>YES</v>
      </c>
      <c r="Q901" t="str">
        <f t="shared" si="205"/>
        <v>YES</v>
      </c>
      <c r="R901" t="str">
        <f t="shared" si="206"/>
        <v>NO</v>
      </c>
      <c r="T901" t="s">
        <v>186</v>
      </c>
      <c r="U901" t="str">
        <f t="shared" si="207"/>
        <v>Concord Ave</v>
      </c>
      <c r="V901" t="s">
        <v>988</v>
      </c>
      <c r="W901" t="str">
        <f t="shared" si="208"/>
        <v>Bond St</v>
      </c>
      <c r="X901" t="str">
        <f>IF(ISBLANK(S901),"Intersection","Non-Intersection")</f>
        <v>Intersection</v>
      </c>
      <c r="Y901" t="s">
        <v>1674</v>
      </c>
      <c r="Z901" t="str">
        <f t="shared" si="209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196"/>
        <v>40179</v>
      </c>
      <c r="D902" s="4">
        <f t="shared" si="197"/>
        <v>0.61643835616438358</v>
      </c>
      <c r="E902" s="3">
        <f t="shared" si="198"/>
        <v>2010</v>
      </c>
      <c r="F902" s="3">
        <f t="shared" si="199"/>
        <v>8</v>
      </c>
      <c r="G902" s="3">
        <f t="shared" si="200"/>
        <v>14</v>
      </c>
      <c r="H902" s="3">
        <f t="shared" si="201"/>
        <v>12</v>
      </c>
      <c r="I902" s="3">
        <f t="shared" si="202"/>
        <v>30</v>
      </c>
      <c r="J902" s="3">
        <f t="shared" si="203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04"/>
        <v>YES</v>
      </c>
      <c r="Q902" t="str">
        <f t="shared" si="205"/>
        <v>NO</v>
      </c>
      <c r="R902" t="str">
        <f t="shared" si="206"/>
        <v>NO</v>
      </c>
      <c r="T902" t="s">
        <v>186</v>
      </c>
      <c r="U902" t="str">
        <f t="shared" si="207"/>
        <v>Concord Ave</v>
      </c>
      <c r="V902" t="s">
        <v>1676</v>
      </c>
      <c r="W902" t="str">
        <f t="shared" si="208"/>
        <v>Concord Ln</v>
      </c>
      <c r="X902" t="str">
        <f>IF(ISBLANK(S902),"Intersection","Non-Intersection")</f>
        <v>Intersection</v>
      </c>
      <c r="Y902" t="s">
        <v>1677</v>
      </c>
      <c r="Z902" t="str">
        <f t="shared" si="209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196"/>
        <v>40179</v>
      </c>
      <c r="D903" s="4">
        <f t="shared" si="197"/>
        <v>0.61643835616438358</v>
      </c>
      <c r="E903" s="3">
        <f t="shared" si="198"/>
        <v>2010</v>
      </c>
      <c r="F903" s="3">
        <f t="shared" si="199"/>
        <v>8</v>
      </c>
      <c r="G903" s="3">
        <f t="shared" si="200"/>
        <v>14</v>
      </c>
      <c r="H903" s="3">
        <f t="shared" si="201"/>
        <v>19</v>
      </c>
      <c r="I903" s="3">
        <f t="shared" si="202"/>
        <v>30</v>
      </c>
      <c r="J903" s="3">
        <f t="shared" si="203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04"/>
        <v>YES</v>
      </c>
      <c r="Q903" t="str">
        <f t="shared" si="205"/>
        <v>NO</v>
      </c>
      <c r="R903" t="str">
        <f t="shared" si="206"/>
        <v>NO</v>
      </c>
      <c r="T903" t="s">
        <v>710</v>
      </c>
      <c r="U903" t="str">
        <f t="shared" si="207"/>
        <v>Fresh Pond Pky</v>
      </c>
      <c r="W903" t="str">
        <f t="shared" si="208"/>
        <v/>
      </c>
      <c r="X903" t="str">
        <f>IF(ISBLANK(S903),"Intersection","Non-Intersection")</f>
        <v>Intersection</v>
      </c>
      <c r="Y903" t="s">
        <v>726</v>
      </c>
      <c r="Z903" t="str">
        <f t="shared" si="209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196"/>
        <v>40179</v>
      </c>
      <c r="D904" s="4">
        <f t="shared" si="197"/>
        <v>0.61643835616438358</v>
      </c>
      <c r="E904" s="3">
        <f t="shared" si="198"/>
        <v>2010</v>
      </c>
      <c r="F904" s="3">
        <f t="shared" si="199"/>
        <v>8</v>
      </c>
      <c r="G904" s="3">
        <f t="shared" si="200"/>
        <v>14</v>
      </c>
      <c r="H904" s="3">
        <f t="shared" si="201"/>
        <v>19</v>
      </c>
      <c r="I904" s="3">
        <f t="shared" si="202"/>
        <v>57</v>
      </c>
      <c r="J904" s="3">
        <f t="shared" si="203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04"/>
        <v>YES</v>
      </c>
      <c r="Q904" t="str">
        <f t="shared" si="205"/>
        <v>YES</v>
      </c>
      <c r="R904" t="str">
        <f t="shared" si="206"/>
        <v>NO</v>
      </c>
      <c r="S904">
        <v>1008</v>
      </c>
      <c r="T904" t="s">
        <v>14</v>
      </c>
      <c r="U904" t="str">
        <f t="shared" si="207"/>
        <v>Massachusetts Ave</v>
      </c>
      <c r="W904" t="str">
        <f t="shared" si="208"/>
        <v/>
      </c>
      <c r="X904" t="str">
        <f>IF(ISBLANK(S904),"Intersection","Non-Intersection")</f>
        <v>Non-Intersection</v>
      </c>
      <c r="Y904" t="s">
        <v>1679</v>
      </c>
      <c r="Z904" t="str">
        <f t="shared" si="209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196"/>
        <v>40179</v>
      </c>
      <c r="D905" s="4">
        <f t="shared" si="197"/>
        <v>0.61917808219178083</v>
      </c>
      <c r="E905" s="3">
        <f t="shared" si="198"/>
        <v>2010</v>
      </c>
      <c r="F905" s="3">
        <f t="shared" si="199"/>
        <v>8</v>
      </c>
      <c r="G905" s="3">
        <f t="shared" si="200"/>
        <v>15</v>
      </c>
      <c r="H905" s="3">
        <f t="shared" si="201"/>
        <v>7</v>
      </c>
      <c r="I905" s="3">
        <f t="shared" si="202"/>
        <v>30</v>
      </c>
      <c r="J905" s="3">
        <f t="shared" si="203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04"/>
        <v>YES</v>
      </c>
      <c r="Q905" t="str">
        <f t="shared" si="205"/>
        <v>NO</v>
      </c>
      <c r="R905" t="str">
        <f t="shared" si="206"/>
        <v>NO</v>
      </c>
      <c r="S905">
        <v>49</v>
      </c>
      <c r="T905" t="s">
        <v>675</v>
      </c>
      <c r="U905" t="str">
        <f t="shared" si="207"/>
        <v>Roseland St</v>
      </c>
      <c r="W905" t="str">
        <f t="shared" si="208"/>
        <v/>
      </c>
      <c r="X905" t="str">
        <f>IF(ISBLANK(S905),"Intersection","Non-Intersection")</f>
        <v>Non-Intersection</v>
      </c>
      <c r="Y905" t="s">
        <v>676</v>
      </c>
      <c r="Z905" t="str">
        <f t="shared" si="209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196"/>
        <v>40179</v>
      </c>
      <c r="D906" s="4">
        <f t="shared" si="197"/>
        <v>0.61917808219178083</v>
      </c>
      <c r="E906" s="3">
        <f t="shared" si="198"/>
        <v>2010</v>
      </c>
      <c r="F906" s="3">
        <f t="shared" si="199"/>
        <v>8</v>
      </c>
      <c r="G906" s="3">
        <f t="shared" si="200"/>
        <v>15</v>
      </c>
      <c r="H906" s="3">
        <f t="shared" si="201"/>
        <v>15</v>
      </c>
      <c r="I906" s="3">
        <f t="shared" si="202"/>
        <v>0</v>
      </c>
      <c r="J906" s="3">
        <f t="shared" si="203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04"/>
        <v>YES</v>
      </c>
      <c r="Q906" t="str">
        <f t="shared" si="205"/>
        <v>NO</v>
      </c>
      <c r="R906" t="str">
        <f t="shared" si="206"/>
        <v>YES</v>
      </c>
      <c r="T906" t="s">
        <v>19</v>
      </c>
      <c r="U906" t="str">
        <f t="shared" si="207"/>
        <v>Cambridge St</v>
      </c>
      <c r="V906" t="s">
        <v>101</v>
      </c>
      <c r="W906" t="str">
        <f t="shared" si="208"/>
        <v>Columbia St</v>
      </c>
      <c r="X906" t="str">
        <f>IF(ISBLANK(S906),"Intersection","Non-Intersection")</f>
        <v>Intersection</v>
      </c>
      <c r="Y906" t="s">
        <v>438</v>
      </c>
      <c r="Z906" t="str">
        <f t="shared" si="209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196"/>
        <v>40179</v>
      </c>
      <c r="D907" s="4">
        <f t="shared" si="197"/>
        <v>0.61917808219178083</v>
      </c>
      <c r="E907" s="3">
        <f t="shared" si="198"/>
        <v>2010</v>
      </c>
      <c r="F907" s="3">
        <f t="shared" si="199"/>
        <v>8</v>
      </c>
      <c r="G907" s="3">
        <f t="shared" si="200"/>
        <v>15</v>
      </c>
      <c r="H907" s="3">
        <f t="shared" si="201"/>
        <v>20</v>
      </c>
      <c r="I907" s="3">
        <f t="shared" si="202"/>
        <v>19</v>
      </c>
      <c r="J907" s="3">
        <f t="shared" si="203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04"/>
        <v>YES</v>
      </c>
      <c r="Q907" t="str">
        <f t="shared" si="205"/>
        <v>NO</v>
      </c>
      <c r="R907" t="str">
        <f t="shared" si="206"/>
        <v>NO</v>
      </c>
      <c r="T907" t="s">
        <v>19</v>
      </c>
      <c r="U907" t="str">
        <f t="shared" si="207"/>
        <v>Cambridge St</v>
      </c>
      <c r="V907" t="s">
        <v>260</v>
      </c>
      <c r="W907" t="str">
        <f t="shared" si="208"/>
        <v>Third St</v>
      </c>
      <c r="X907" t="str">
        <f>IF(ISBLANK(S907),"Intersection","Non-Intersection")</f>
        <v>Intersection</v>
      </c>
      <c r="Y907" t="s">
        <v>640</v>
      </c>
      <c r="Z907" t="str">
        <f t="shared" si="209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196"/>
        <v>40179</v>
      </c>
      <c r="D908" s="4">
        <f t="shared" si="197"/>
        <v>0.61917808219178083</v>
      </c>
      <c r="E908" s="3">
        <f t="shared" si="198"/>
        <v>2010</v>
      </c>
      <c r="F908" s="3">
        <f t="shared" si="199"/>
        <v>8</v>
      </c>
      <c r="G908" s="3">
        <f t="shared" si="200"/>
        <v>15</v>
      </c>
      <c r="H908" s="3">
        <f t="shared" si="201"/>
        <v>21</v>
      </c>
      <c r="I908" s="3">
        <f t="shared" si="202"/>
        <v>0</v>
      </c>
      <c r="J908" s="3">
        <f t="shared" si="203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04"/>
        <v>YES</v>
      </c>
      <c r="Q908" t="str">
        <f t="shared" si="205"/>
        <v>NO</v>
      </c>
      <c r="R908" t="str">
        <f t="shared" si="206"/>
        <v>NO</v>
      </c>
      <c r="S908">
        <v>187</v>
      </c>
      <c r="T908" t="s">
        <v>74</v>
      </c>
      <c r="U908" t="str">
        <f t="shared" si="207"/>
        <v>Hampshire St</v>
      </c>
      <c r="W908" t="str">
        <f t="shared" si="208"/>
        <v/>
      </c>
      <c r="X908" t="str">
        <f>IF(ISBLANK(S908),"Intersection","Non-Intersection")</f>
        <v>Non-Intersection</v>
      </c>
      <c r="Y908" t="s">
        <v>569</v>
      </c>
      <c r="Z908" t="str">
        <f t="shared" si="209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196"/>
        <v>40179</v>
      </c>
      <c r="D909" s="4">
        <f t="shared" si="197"/>
        <v>0.62191780821917808</v>
      </c>
      <c r="E909" s="3">
        <f t="shared" si="198"/>
        <v>2010</v>
      </c>
      <c r="F909" s="3">
        <f t="shared" si="199"/>
        <v>8</v>
      </c>
      <c r="G909" s="3">
        <f t="shared" si="200"/>
        <v>16</v>
      </c>
      <c r="H909" s="3">
        <f t="shared" si="201"/>
        <v>13</v>
      </c>
      <c r="I909" s="3">
        <f t="shared" si="202"/>
        <v>5</v>
      </c>
      <c r="J909" s="3">
        <f t="shared" si="203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04"/>
        <v>YES</v>
      </c>
      <c r="Q909" t="str">
        <f t="shared" si="205"/>
        <v>NO</v>
      </c>
      <c r="R909" t="str">
        <f t="shared" si="206"/>
        <v>NO</v>
      </c>
      <c r="S909">
        <v>10</v>
      </c>
      <c r="T909" t="s">
        <v>178</v>
      </c>
      <c r="U909" t="str">
        <f t="shared" si="207"/>
        <v>Pleasant St</v>
      </c>
      <c r="W909" t="str">
        <f t="shared" si="208"/>
        <v/>
      </c>
      <c r="X909" t="str">
        <f>IF(ISBLANK(S909),"Intersection","Non-Intersection")</f>
        <v>Non-Intersection</v>
      </c>
      <c r="Y909" t="s">
        <v>1681</v>
      </c>
      <c r="Z909" t="str">
        <f t="shared" si="209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196"/>
        <v>40179</v>
      </c>
      <c r="D910" s="4">
        <f t="shared" si="197"/>
        <v>0.62191780821917808</v>
      </c>
      <c r="E910" s="3">
        <f t="shared" si="198"/>
        <v>2010</v>
      </c>
      <c r="F910" s="3">
        <f t="shared" si="199"/>
        <v>8</v>
      </c>
      <c r="G910" s="3">
        <f t="shared" si="200"/>
        <v>16</v>
      </c>
      <c r="H910" s="3">
        <f t="shared" si="201"/>
        <v>15</v>
      </c>
      <c r="I910" s="3">
        <f t="shared" si="202"/>
        <v>30</v>
      </c>
      <c r="J910" s="3">
        <f t="shared" si="203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04"/>
        <v>YES</v>
      </c>
      <c r="Q910" t="str">
        <f t="shared" si="205"/>
        <v>NO</v>
      </c>
      <c r="R910" t="str">
        <f t="shared" si="206"/>
        <v>NO</v>
      </c>
      <c r="T910" t="s">
        <v>238</v>
      </c>
      <c r="U910" t="str">
        <f t="shared" si="207"/>
        <v>Kirkland St</v>
      </c>
      <c r="V910" t="s">
        <v>805</v>
      </c>
      <c r="W910" t="str">
        <f t="shared" si="208"/>
        <v>Trowbridge St</v>
      </c>
      <c r="X910" t="str">
        <f>IF(ISBLANK(S910),"Intersection","Non-Intersection")</f>
        <v>Intersection</v>
      </c>
      <c r="Y910" t="s">
        <v>983</v>
      </c>
      <c r="Z910" t="str">
        <f t="shared" si="209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196"/>
        <v>40179</v>
      </c>
      <c r="D911" s="4">
        <f t="shared" si="197"/>
        <v>0.62191780821917808</v>
      </c>
      <c r="E911" s="3">
        <f t="shared" si="198"/>
        <v>2010</v>
      </c>
      <c r="F911" s="3">
        <f t="shared" si="199"/>
        <v>8</v>
      </c>
      <c r="G911" s="3">
        <f t="shared" si="200"/>
        <v>16</v>
      </c>
      <c r="H911" s="3">
        <f t="shared" si="201"/>
        <v>17</v>
      </c>
      <c r="I911" s="3">
        <f t="shared" si="202"/>
        <v>45</v>
      </c>
      <c r="J911" s="3">
        <f t="shared" si="203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04"/>
        <v>YES</v>
      </c>
      <c r="Q911" t="str">
        <f t="shared" si="205"/>
        <v>NO</v>
      </c>
      <c r="R911" t="str">
        <f t="shared" si="206"/>
        <v>NO</v>
      </c>
      <c r="T911" t="s">
        <v>413</v>
      </c>
      <c r="U911" t="str">
        <f t="shared" si="207"/>
        <v>Smith Pl</v>
      </c>
      <c r="V911" t="s">
        <v>186</v>
      </c>
      <c r="W911" t="str">
        <f t="shared" si="208"/>
        <v>Concord Ave</v>
      </c>
      <c r="X911" t="str">
        <f>IF(ISBLANK(S911),"Intersection","Non-Intersection")</f>
        <v>Intersection</v>
      </c>
      <c r="Y911" t="s">
        <v>1509</v>
      </c>
      <c r="Z911" t="str">
        <f t="shared" si="209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196"/>
        <v>40179</v>
      </c>
      <c r="D912" s="4">
        <f t="shared" si="197"/>
        <v>0.62465753424657533</v>
      </c>
      <c r="E912" s="3">
        <f t="shared" si="198"/>
        <v>2010</v>
      </c>
      <c r="F912" s="3">
        <f t="shared" si="199"/>
        <v>8</v>
      </c>
      <c r="G912" s="3">
        <f t="shared" si="200"/>
        <v>17</v>
      </c>
      <c r="H912" s="3">
        <f t="shared" si="201"/>
        <v>8</v>
      </c>
      <c r="I912" s="3">
        <f t="shared" si="202"/>
        <v>4</v>
      </c>
      <c r="J912" s="3">
        <f t="shared" si="203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04"/>
        <v>YES</v>
      </c>
      <c r="Q912" t="str">
        <f t="shared" si="205"/>
        <v>NO</v>
      </c>
      <c r="R912" t="str">
        <f t="shared" si="206"/>
        <v>NO</v>
      </c>
      <c r="S912">
        <v>2</v>
      </c>
      <c r="T912" t="s">
        <v>1683</v>
      </c>
      <c r="U912" t="str">
        <f t="shared" si="207"/>
        <v>Kelly Rd</v>
      </c>
      <c r="W912" t="str">
        <f t="shared" si="208"/>
        <v/>
      </c>
      <c r="X912" t="str">
        <f>IF(ISBLANK(S912),"Intersection","Non-Intersection")</f>
        <v>Non-Intersection</v>
      </c>
      <c r="Y912" t="s">
        <v>1684</v>
      </c>
      <c r="Z912" t="str">
        <f t="shared" si="209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196"/>
        <v>40179</v>
      </c>
      <c r="D913" s="4">
        <f t="shared" si="197"/>
        <v>0.62465753424657533</v>
      </c>
      <c r="E913" s="3">
        <f t="shared" si="198"/>
        <v>2010</v>
      </c>
      <c r="F913" s="3">
        <f t="shared" si="199"/>
        <v>8</v>
      </c>
      <c r="G913" s="3">
        <f t="shared" si="200"/>
        <v>17</v>
      </c>
      <c r="H913" s="3">
        <f t="shared" si="201"/>
        <v>10</v>
      </c>
      <c r="I913" s="3">
        <f t="shared" si="202"/>
        <v>28</v>
      </c>
      <c r="J913" s="3">
        <f t="shared" si="203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04"/>
        <v>YES</v>
      </c>
      <c r="Q913" t="str">
        <f t="shared" si="205"/>
        <v>NO</v>
      </c>
      <c r="R913" t="str">
        <f t="shared" si="206"/>
        <v>NO</v>
      </c>
      <c r="T913" t="s">
        <v>133</v>
      </c>
      <c r="U913" t="str">
        <f t="shared" si="207"/>
        <v>Harvard St</v>
      </c>
      <c r="V913" t="s">
        <v>567</v>
      </c>
      <c r="W913" t="str">
        <f t="shared" si="208"/>
        <v>Davis St</v>
      </c>
      <c r="X913" t="str">
        <f>IF(ISBLANK(S913),"Intersection","Non-Intersection")</f>
        <v>Intersection</v>
      </c>
      <c r="Y913" t="s">
        <v>1686</v>
      </c>
      <c r="Z913" t="str">
        <f t="shared" si="209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196"/>
        <v>40179</v>
      </c>
      <c r="D914" s="4">
        <f t="shared" si="197"/>
        <v>0.62465753424657533</v>
      </c>
      <c r="E914" s="3">
        <f t="shared" si="198"/>
        <v>2010</v>
      </c>
      <c r="F914" s="3">
        <f t="shared" si="199"/>
        <v>8</v>
      </c>
      <c r="G914" s="3">
        <f t="shared" si="200"/>
        <v>17</v>
      </c>
      <c r="H914" s="3">
        <f t="shared" si="201"/>
        <v>9</v>
      </c>
      <c r="I914" s="3">
        <f t="shared" si="202"/>
        <v>0</v>
      </c>
      <c r="J914" s="3">
        <f t="shared" si="203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04"/>
        <v>YES</v>
      </c>
      <c r="Q914" t="str">
        <f t="shared" si="205"/>
        <v>NO</v>
      </c>
      <c r="R914" t="str">
        <f t="shared" si="206"/>
        <v>NO</v>
      </c>
      <c r="S914">
        <v>355</v>
      </c>
      <c r="T914" t="s">
        <v>209</v>
      </c>
      <c r="U914" t="str">
        <f t="shared" si="207"/>
        <v>Binney St</v>
      </c>
      <c r="W914" t="str">
        <f t="shared" si="208"/>
        <v/>
      </c>
      <c r="X914" t="str">
        <f>IF(ISBLANK(S914),"Intersection","Non-Intersection")</f>
        <v>Non-Intersection</v>
      </c>
      <c r="Y914" t="s">
        <v>1688</v>
      </c>
      <c r="Z914" t="str">
        <f t="shared" si="209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196"/>
        <v>40179</v>
      </c>
      <c r="D915" s="4">
        <f t="shared" si="197"/>
        <v>0.62465753424657533</v>
      </c>
      <c r="E915" s="3">
        <f t="shared" si="198"/>
        <v>2010</v>
      </c>
      <c r="F915" s="3">
        <f t="shared" si="199"/>
        <v>8</v>
      </c>
      <c r="G915" s="3">
        <f t="shared" si="200"/>
        <v>17</v>
      </c>
      <c r="H915" s="3">
        <f t="shared" si="201"/>
        <v>11</v>
      </c>
      <c r="I915" s="3">
        <f t="shared" si="202"/>
        <v>54</v>
      </c>
      <c r="J915" s="3">
        <f t="shared" si="203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04"/>
        <v>YES</v>
      </c>
      <c r="Q915" t="str">
        <f t="shared" si="205"/>
        <v>NO</v>
      </c>
      <c r="R915" t="str">
        <f t="shared" si="206"/>
        <v>NO</v>
      </c>
      <c r="T915" t="s">
        <v>178</v>
      </c>
      <c r="U915" t="str">
        <f t="shared" si="207"/>
        <v>Pleasant St</v>
      </c>
      <c r="V915" t="s">
        <v>509</v>
      </c>
      <c r="W915" t="str">
        <f t="shared" si="208"/>
        <v>Green St</v>
      </c>
      <c r="X915" t="str">
        <f>IF(ISBLANK(S915),"Intersection","Non-Intersection")</f>
        <v>Intersection</v>
      </c>
      <c r="Y915" t="s">
        <v>1008</v>
      </c>
      <c r="Z915" t="str">
        <f t="shared" si="209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196"/>
        <v>40179</v>
      </c>
      <c r="D916" s="4">
        <f t="shared" si="197"/>
        <v>0.62739726027397258</v>
      </c>
      <c r="E916" s="3">
        <f t="shared" si="198"/>
        <v>2010</v>
      </c>
      <c r="F916" s="3">
        <f t="shared" si="199"/>
        <v>8</v>
      </c>
      <c r="G916" s="3">
        <f t="shared" si="200"/>
        <v>18</v>
      </c>
      <c r="H916" s="3">
        <f t="shared" si="201"/>
        <v>19</v>
      </c>
      <c r="I916" s="3">
        <f t="shared" si="202"/>
        <v>9</v>
      </c>
      <c r="J916" s="3">
        <f t="shared" si="203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04"/>
        <v>YES</v>
      </c>
      <c r="Q916" t="str">
        <f t="shared" si="205"/>
        <v>NO</v>
      </c>
      <c r="R916" t="str">
        <f t="shared" si="206"/>
        <v>NO</v>
      </c>
      <c r="S916">
        <v>1</v>
      </c>
      <c r="T916" t="s">
        <v>840</v>
      </c>
      <c r="U916" t="str">
        <f t="shared" si="207"/>
        <v>Church St</v>
      </c>
      <c r="W916" t="str">
        <f t="shared" si="208"/>
        <v/>
      </c>
      <c r="X916" t="str">
        <f>IF(ISBLANK(S916),"Intersection","Non-Intersection")</f>
        <v>Non-Intersection</v>
      </c>
      <c r="Y916" t="s">
        <v>1690</v>
      </c>
      <c r="Z916" t="str">
        <f t="shared" si="209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10">EOMONTH(B917,MONTH(B917)*-1)+1</f>
        <v>40179</v>
      </c>
      <c r="D917" s="4">
        <f t="shared" ref="D917:D976" si="211">YEARFRAC(C917,B917,1)</f>
        <v>0.62739726027397258</v>
      </c>
      <c r="E917" s="3">
        <f t="shared" ref="E917:E976" si="212">YEAR(B917)</f>
        <v>2010</v>
      </c>
      <c r="F917" s="3">
        <f t="shared" ref="F917:F976" si="213">MONTH(B917)</f>
        <v>8</v>
      </c>
      <c r="G917" s="3">
        <f t="shared" ref="G917:G976" si="214">DAY(B917)</f>
        <v>18</v>
      </c>
      <c r="H917" s="3">
        <f t="shared" ref="H917:H976" si="215">HOUR(B917)</f>
        <v>20</v>
      </c>
      <c r="I917" s="3">
        <f t="shared" ref="I917:I976" si="216">MINUTE(B917)</f>
        <v>29</v>
      </c>
      <c r="J917" s="3">
        <f t="shared" ref="J917:J976" si="217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18">IF(OR(N917="Auto",O917="Auto"),"YES",IF(OR(N917="Taxi",O917="Taxi"),"YES",IF(OR(N917="Van",O917="Van"),"YES",IF(OR(N917="Truck",O917="Truck"),"YES","NO"))))</f>
        <v>YES</v>
      </c>
      <c r="Q917" t="str">
        <f t="shared" ref="Q917:Q976" si="219">IF(OR(N917="Bicycle",O917="Bicycle"),"YES","NO")</f>
        <v>NO</v>
      </c>
      <c r="R917" t="str">
        <f t="shared" ref="R917:R976" si="220">IF(OR(N917="Pedestrian",O917="Pedestrian"),"YES","NO")</f>
        <v>NO</v>
      </c>
      <c r="T917" t="s">
        <v>186</v>
      </c>
      <c r="U917" t="str">
        <f t="shared" si="207"/>
        <v>Concord Ave</v>
      </c>
      <c r="V917" t="s">
        <v>1013</v>
      </c>
      <c r="W917" t="str">
        <f t="shared" si="208"/>
        <v>Blanchard Rd</v>
      </c>
      <c r="X917" t="str">
        <f>IF(ISBLANK(S917),"Intersection","Non-Intersection")</f>
        <v>Intersection</v>
      </c>
      <c r="Y917" t="s">
        <v>1014</v>
      </c>
      <c r="Z917" t="str">
        <f t="shared" si="209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10"/>
        <v>40179</v>
      </c>
      <c r="D918" s="4">
        <f t="shared" si="211"/>
        <v>0.63013698630136983</v>
      </c>
      <c r="E918" s="3">
        <f t="shared" si="212"/>
        <v>2010</v>
      </c>
      <c r="F918" s="3">
        <f t="shared" si="213"/>
        <v>8</v>
      </c>
      <c r="G918" s="3">
        <f t="shared" si="214"/>
        <v>19</v>
      </c>
      <c r="H918" s="3">
        <f t="shared" si="215"/>
        <v>9</v>
      </c>
      <c r="I918" s="3">
        <f t="shared" si="216"/>
        <v>55</v>
      </c>
      <c r="J918" s="3">
        <f t="shared" si="217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18"/>
        <v>YES</v>
      </c>
      <c r="Q918" t="str">
        <f t="shared" si="219"/>
        <v>NO</v>
      </c>
      <c r="R918" t="str">
        <f t="shared" si="220"/>
        <v>NO</v>
      </c>
      <c r="T918" t="s">
        <v>14</v>
      </c>
      <c r="U918" t="str">
        <f t="shared" si="207"/>
        <v>Massachusetts Ave</v>
      </c>
      <c r="V918" t="s">
        <v>192</v>
      </c>
      <c r="W918" t="str">
        <f t="shared" si="208"/>
        <v>Hancock St</v>
      </c>
      <c r="X918" t="str">
        <f>IF(ISBLANK(S918),"Intersection","Non-Intersection")</f>
        <v>Intersection</v>
      </c>
      <c r="Y918" t="s">
        <v>193</v>
      </c>
      <c r="Z918" t="str">
        <f t="shared" si="209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10"/>
        <v>40179</v>
      </c>
      <c r="D919" s="4">
        <f t="shared" si="211"/>
        <v>0.63013698630136983</v>
      </c>
      <c r="E919" s="3">
        <f t="shared" si="212"/>
        <v>2010</v>
      </c>
      <c r="F919" s="3">
        <f t="shared" si="213"/>
        <v>8</v>
      </c>
      <c r="G919" s="3">
        <f t="shared" si="214"/>
        <v>19</v>
      </c>
      <c r="H919" s="3">
        <f t="shared" si="215"/>
        <v>12</v>
      </c>
      <c r="I919" s="3">
        <f t="shared" si="216"/>
        <v>59</v>
      </c>
      <c r="J919" s="3">
        <f t="shared" si="217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18"/>
        <v>YES</v>
      </c>
      <c r="Q919" t="str">
        <f t="shared" si="219"/>
        <v>NO</v>
      </c>
      <c r="R919" t="str">
        <f t="shared" si="220"/>
        <v>NO</v>
      </c>
      <c r="T919" t="s">
        <v>209</v>
      </c>
      <c r="U919" t="str">
        <f t="shared" si="207"/>
        <v>Binney St</v>
      </c>
      <c r="V919" t="s">
        <v>61</v>
      </c>
      <c r="W919" t="str">
        <f t="shared" si="208"/>
        <v>First St</v>
      </c>
      <c r="X919" t="str">
        <f>IF(ISBLANK(S919),"Intersection","Non-Intersection")</f>
        <v>Intersection</v>
      </c>
      <c r="Y919" t="s">
        <v>579</v>
      </c>
      <c r="Z919" t="str">
        <f t="shared" si="209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10"/>
        <v>40179</v>
      </c>
      <c r="D920" s="4">
        <f t="shared" si="211"/>
        <v>0.63013698630136983</v>
      </c>
      <c r="E920" s="3">
        <f t="shared" si="212"/>
        <v>2010</v>
      </c>
      <c r="F920" s="3">
        <f t="shared" si="213"/>
        <v>8</v>
      </c>
      <c r="G920" s="3">
        <f t="shared" si="214"/>
        <v>19</v>
      </c>
      <c r="H920" s="3">
        <f t="shared" si="215"/>
        <v>9</v>
      </c>
      <c r="I920" s="3">
        <f t="shared" si="216"/>
        <v>30</v>
      </c>
      <c r="J920" s="3">
        <f t="shared" si="217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18"/>
        <v>YES</v>
      </c>
      <c r="Q920" t="str">
        <f t="shared" si="219"/>
        <v>NO</v>
      </c>
      <c r="R920" t="str">
        <f t="shared" si="220"/>
        <v>NO</v>
      </c>
      <c r="T920" t="s">
        <v>1692</v>
      </c>
      <c r="U920" t="str">
        <f t="shared" si="207"/>
        <v>Potter St</v>
      </c>
      <c r="V920" t="s">
        <v>260</v>
      </c>
      <c r="W920" t="str">
        <f t="shared" si="208"/>
        <v>Third St</v>
      </c>
      <c r="X920" t="str">
        <f>IF(ISBLANK(S920),"Intersection","Non-Intersection")</f>
        <v>Intersection</v>
      </c>
      <c r="Y920" t="s">
        <v>1693</v>
      </c>
      <c r="Z920" t="str">
        <f t="shared" si="209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10"/>
        <v>40179</v>
      </c>
      <c r="D921" s="4">
        <f t="shared" si="211"/>
        <v>0.63287671232876708</v>
      </c>
      <c r="E921" s="3">
        <f t="shared" si="212"/>
        <v>2010</v>
      </c>
      <c r="F921" s="3">
        <f t="shared" si="213"/>
        <v>8</v>
      </c>
      <c r="G921" s="3">
        <f t="shared" si="214"/>
        <v>20</v>
      </c>
      <c r="H921" s="3">
        <f t="shared" si="215"/>
        <v>2</v>
      </c>
      <c r="I921" s="3">
        <f t="shared" si="216"/>
        <v>23</v>
      </c>
      <c r="J921" s="3">
        <f t="shared" si="217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18"/>
        <v>YES</v>
      </c>
      <c r="Q921" t="str">
        <f t="shared" si="219"/>
        <v>NO</v>
      </c>
      <c r="R921" t="str">
        <f t="shared" si="220"/>
        <v>NO</v>
      </c>
      <c r="T921" t="s">
        <v>199</v>
      </c>
      <c r="U921" t="str">
        <f t="shared" si="207"/>
        <v>Brattle St</v>
      </c>
      <c r="V921" t="s">
        <v>325</v>
      </c>
      <c r="W921" t="str">
        <f t="shared" si="208"/>
        <v>Eliot St</v>
      </c>
      <c r="X921" t="str">
        <f>IF(ISBLANK(S921),"Intersection","Non-Intersection")</f>
        <v>Intersection</v>
      </c>
      <c r="Y921" t="s">
        <v>1695</v>
      </c>
      <c r="Z921" t="str">
        <f t="shared" si="209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10"/>
        <v>40179</v>
      </c>
      <c r="D922" s="4">
        <f t="shared" si="211"/>
        <v>0.63287671232876708</v>
      </c>
      <c r="E922" s="3">
        <f t="shared" si="212"/>
        <v>2010</v>
      </c>
      <c r="F922" s="3">
        <f t="shared" si="213"/>
        <v>8</v>
      </c>
      <c r="G922" s="3">
        <f t="shared" si="214"/>
        <v>20</v>
      </c>
      <c r="H922" s="3">
        <f t="shared" si="215"/>
        <v>7</v>
      </c>
      <c r="I922" s="3">
        <f t="shared" si="216"/>
        <v>40</v>
      </c>
      <c r="J922" s="3">
        <f t="shared" si="217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18"/>
        <v>YES</v>
      </c>
      <c r="Q922" t="str">
        <f t="shared" si="219"/>
        <v>YES</v>
      </c>
      <c r="R922" t="str">
        <f t="shared" si="220"/>
        <v>NO</v>
      </c>
      <c r="S922">
        <v>69</v>
      </c>
      <c r="T922" t="s">
        <v>147</v>
      </c>
      <c r="U922" t="str">
        <f t="shared" si="207"/>
        <v>Sixth St</v>
      </c>
      <c r="W922" t="str">
        <f t="shared" si="208"/>
        <v/>
      </c>
      <c r="X922" t="str">
        <f>IF(ISBLANK(S922),"Intersection","Non-Intersection")</f>
        <v>Non-Intersection</v>
      </c>
      <c r="Y922" t="s">
        <v>1697</v>
      </c>
      <c r="Z922" t="str">
        <f t="shared" si="209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10"/>
        <v>40179</v>
      </c>
      <c r="D923" s="4">
        <f t="shared" si="211"/>
        <v>0.63287671232876708</v>
      </c>
      <c r="E923" s="3">
        <f t="shared" si="212"/>
        <v>2010</v>
      </c>
      <c r="F923" s="3">
        <f t="shared" si="213"/>
        <v>8</v>
      </c>
      <c r="G923" s="3">
        <f t="shared" si="214"/>
        <v>20</v>
      </c>
      <c r="H923" s="3">
        <f t="shared" si="215"/>
        <v>8</v>
      </c>
      <c r="I923" s="3">
        <f t="shared" si="216"/>
        <v>15</v>
      </c>
      <c r="J923" s="3">
        <f t="shared" si="217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18"/>
        <v>YES</v>
      </c>
      <c r="Q923" t="str">
        <f t="shared" si="219"/>
        <v>NO</v>
      </c>
      <c r="R923" t="str">
        <f t="shared" si="220"/>
        <v>NO</v>
      </c>
      <c r="T923" t="s">
        <v>805</v>
      </c>
      <c r="U923" t="str">
        <f t="shared" si="207"/>
        <v>Trowbridge St</v>
      </c>
      <c r="V923" t="s">
        <v>133</v>
      </c>
      <c r="W923" t="str">
        <f t="shared" si="208"/>
        <v>Harvard St</v>
      </c>
      <c r="X923" t="str">
        <f>IF(ISBLANK(S923),"Intersection","Non-Intersection")</f>
        <v>Intersection</v>
      </c>
      <c r="Y923" t="s">
        <v>1699</v>
      </c>
      <c r="Z923" t="str">
        <f t="shared" si="209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10"/>
        <v>40179</v>
      </c>
      <c r="D924" s="4">
        <f t="shared" si="211"/>
        <v>0.63287671232876708</v>
      </c>
      <c r="E924" s="3">
        <f t="shared" si="212"/>
        <v>2010</v>
      </c>
      <c r="F924" s="3">
        <f t="shared" si="213"/>
        <v>8</v>
      </c>
      <c r="G924" s="3">
        <f t="shared" si="214"/>
        <v>20</v>
      </c>
      <c r="H924" s="3">
        <f t="shared" si="215"/>
        <v>8</v>
      </c>
      <c r="I924" s="3">
        <f t="shared" si="216"/>
        <v>55</v>
      </c>
      <c r="J924" s="3">
        <f t="shared" si="217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18"/>
        <v>YES</v>
      </c>
      <c r="Q924" t="str">
        <f t="shared" si="219"/>
        <v>YES</v>
      </c>
      <c r="R924" t="str">
        <f t="shared" si="220"/>
        <v>NO</v>
      </c>
      <c r="T924" t="s">
        <v>185</v>
      </c>
      <c r="U924" t="str">
        <f t="shared" si="207"/>
        <v>Garden St</v>
      </c>
      <c r="V924" t="s">
        <v>449</v>
      </c>
      <c r="W924" t="str">
        <f t="shared" si="208"/>
        <v>Appian Way</v>
      </c>
      <c r="X924" t="str">
        <f>IF(ISBLANK(S924),"Intersection","Non-Intersection")</f>
        <v>Intersection</v>
      </c>
      <c r="Y924" t="s">
        <v>729</v>
      </c>
      <c r="Z924" t="str">
        <f t="shared" si="209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10"/>
        <v>40179</v>
      </c>
      <c r="D925" s="4">
        <f t="shared" si="211"/>
        <v>0.63287671232876708</v>
      </c>
      <c r="E925" s="3">
        <f t="shared" si="212"/>
        <v>2010</v>
      </c>
      <c r="F925" s="3">
        <f t="shared" si="213"/>
        <v>8</v>
      </c>
      <c r="G925" s="3">
        <f t="shared" si="214"/>
        <v>20</v>
      </c>
      <c r="H925" s="3">
        <f t="shared" si="215"/>
        <v>1</v>
      </c>
      <c r="I925" s="3">
        <f t="shared" si="216"/>
        <v>30</v>
      </c>
      <c r="J925" s="3">
        <f t="shared" si="217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18"/>
        <v>YES</v>
      </c>
      <c r="Q925" t="str">
        <f t="shared" si="219"/>
        <v>NO</v>
      </c>
      <c r="R925" t="str">
        <f t="shared" si="220"/>
        <v>NO</v>
      </c>
      <c r="T925" t="s">
        <v>14</v>
      </c>
      <c r="U925" t="str">
        <f t="shared" si="207"/>
        <v>Massachusetts Ave</v>
      </c>
      <c r="V925" t="s">
        <v>1701</v>
      </c>
      <c r="W925" t="str">
        <f t="shared" si="208"/>
        <v>Prentiss St</v>
      </c>
      <c r="X925" t="str">
        <f>IF(ISBLANK(S925),"Intersection","Non-Intersection")</f>
        <v>Intersection</v>
      </c>
      <c r="Y925" t="s">
        <v>1702</v>
      </c>
      <c r="Z925" t="str">
        <f t="shared" si="209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10"/>
        <v>40179</v>
      </c>
      <c r="D926" s="4">
        <f t="shared" si="211"/>
        <v>0.63287671232876708</v>
      </c>
      <c r="E926" s="3">
        <f t="shared" si="212"/>
        <v>2010</v>
      </c>
      <c r="F926" s="3">
        <f t="shared" si="213"/>
        <v>8</v>
      </c>
      <c r="G926" s="3">
        <f t="shared" si="214"/>
        <v>20</v>
      </c>
      <c r="H926" s="3">
        <f t="shared" si="215"/>
        <v>21</v>
      </c>
      <c r="I926" s="3">
        <f t="shared" si="216"/>
        <v>59</v>
      </c>
      <c r="J926" s="3">
        <f t="shared" si="217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18"/>
        <v>YES</v>
      </c>
      <c r="Q926" t="str">
        <f t="shared" si="219"/>
        <v>NO</v>
      </c>
      <c r="R926" t="str">
        <f t="shared" si="220"/>
        <v>NO</v>
      </c>
      <c r="T926" t="s">
        <v>198</v>
      </c>
      <c r="U926" t="str">
        <f t="shared" si="207"/>
        <v>Mount Auburn St</v>
      </c>
      <c r="V926" t="s">
        <v>326</v>
      </c>
      <c r="W926" t="str">
        <f t="shared" si="208"/>
        <v>Jfk St</v>
      </c>
      <c r="X926" t="str">
        <f>IF(ISBLANK(S926),"Intersection","Non-Intersection")</f>
        <v>Intersection</v>
      </c>
      <c r="Y926" t="s">
        <v>644</v>
      </c>
      <c r="Z926" t="str">
        <f t="shared" si="209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10"/>
        <v>40179</v>
      </c>
      <c r="D927" s="4">
        <f t="shared" si="211"/>
        <v>0.63287671232876708</v>
      </c>
      <c r="E927" s="3">
        <f t="shared" si="212"/>
        <v>2010</v>
      </c>
      <c r="F927" s="3">
        <f t="shared" si="213"/>
        <v>8</v>
      </c>
      <c r="G927" s="3">
        <f t="shared" si="214"/>
        <v>20</v>
      </c>
      <c r="H927" s="3">
        <f t="shared" si="215"/>
        <v>16</v>
      </c>
      <c r="I927" s="3">
        <f t="shared" si="216"/>
        <v>57</v>
      </c>
      <c r="J927" s="3">
        <f t="shared" si="217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18"/>
        <v>YES</v>
      </c>
      <c r="Q927" t="str">
        <f t="shared" si="219"/>
        <v>NO</v>
      </c>
      <c r="R927" t="str">
        <f t="shared" si="220"/>
        <v>NO</v>
      </c>
      <c r="S927">
        <v>139</v>
      </c>
      <c r="T927" t="s">
        <v>14</v>
      </c>
      <c r="U927" t="str">
        <f t="shared" si="207"/>
        <v>Massachusetts Ave</v>
      </c>
      <c r="W927" t="str">
        <f t="shared" si="208"/>
        <v/>
      </c>
      <c r="X927" t="str">
        <f>IF(ISBLANK(S927),"Intersection","Non-Intersection")</f>
        <v>Non-Intersection</v>
      </c>
      <c r="Y927" t="s">
        <v>1704</v>
      </c>
      <c r="Z927" t="str">
        <f t="shared" si="209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10"/>
        <v>40179</v>
      </c>
      <c r="D928" s="4">
        <f t="shared" si="211"/>
        <v>0.63287671232876708</v>
      </c>
      <c r="E928" s="3">
        <f t="shared" si="212"/>
        <v>2010</v>
      </c>
      <c r="F928" s="3">
        <f t="shared" si="213"/>
        <v>8</v>
      </c>
      <c r="G928" s="3">
        <f t="shared" si="214"/>
        <v>20</v>
      </c>
      <c r="H928" s="3">
        <f t="shared" si="215"/>
        <v>2</v>
      </c>
      <c r="I928" s="3">
        <f t="shared" si="216"/>
        <v>23</v>
      </c>
      <c r="J928" s="3">
        <f t="shared" si="217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18"/>
        <v>YES</v>
      </c>
      <c r="Q928" t="str">
        <f t="shared" si="219"/>
        <v>NO</v>
      </c>
      <c r="R928" t="str">
        <f t="shared" si="220"/>
        <v>NO</v>
      </c>
      <c r="T928" t="s">
        <v>199</v>
      </c>
      <c r="U928" t="str">
        <f t="shared" si="207"/>
        <v>Brattle St</v>
      </c>
      <c r="V928" t="s">
        <v>325</v>
      </c>
      <c r="W928" t="str">
        <f t="shared" si="208"/>
        <v>Eliot St</v>
      </c>
      <c r="X928" t="str">
        <f>IF(ISBLANK(S928),"Intersection","Non-Intersection")</f>
        <v>Intersection</v>
      </c>
      <c r="Y928" t="s">
        <v>1695</v>
      </c>
      <c r="Z928" t="str">
        <f t="shared" si="209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10"/>
        <v>40179</v>
      </c>
      <c r="D929" s="4">
        <f t="shared" si="211"/>
        <v>0.63287671232876708</v>
      </c>
      <c r="E929" s="3">
        <f t="shared" si="212"/>
        <v>2010</v>
      </c>
      <c r="F929" s="3">
        <f t="shared" si="213"/>
        <v>8</v>
      </c>
      <c r="G929" s="3">
        <f t="shared" si="214"/>
        <v>20</v>
      </c>
      <c r="H929" s="3">
        <f t="shared" si="215"/>
        <v>11</v>
      </c>
      <c r="I929" s="3">
        <f t="shared" si="216"/>
        <v>29</v>
      </c>
      <c r="J929" s="3">
        <f t="shared" si="217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18"/>
        <v>YES</v>
      </c>
      <c r="Q929" t="str">
        <f t="shared" si="219"/>
        <v>NO</v>
      </c>
      <c r="R929" t="str">
        <f t="shared" si="220"/>
        <v>NO</v>
      </c>
      <c r="S929">
        <v>30</v>
      </c>
      <c r="T929" t="s">
        <v>754</v>
      </c>
      <c r="U929" t="str">
        <f t="shared" si="207"/>
        <v>Clarendon Ave</v>
      </c>
      <c r="W929" t="str">
        <f t="shared" si="208"/>
        <v/>
      </c>
      <c r="X929" t="str">
        <f>IF(ISBLANK(S929),"Intersection","Non-Intersection")</f>
        <v>Non-Intersection</v>
      </c>
      <c r="Y929" t="s">
        <v>1706</v>
      </c>
      <c r="Z929" t="str">
        <f t="shared" si="209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10"/>
        <v>40179</v>
      </c>
      <c r="D930" s="4">
        <f t="shared" si="211"/>
        <v>0.63561643835616444</v>
      </c>
      <c r="E930" s="3">
        <f t="shared" si="212"/>
        <v>2010</v>
      </c>
      <c r="F930" s="3">
        <f t="shared" si="213"/>
        <v>8</v>
      </c>
      <c r="G930" s="3">
        <f t="shared" si="214"/>
        <v>21</v>
      </c>
      <c r="H930" s="3">
        <f t="shared" si="215"/>
        <v>10</v>
      </c>
      <c r="I930" s="3">
        <f t="shared" si="216"/>
        <v>40</v>
      </c>
      <c r="J930" s="3">
        <f t="shared" si="217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18"/>
        <v>YES</v>
      </c>
      <c r="Q930" t="str">
        <f t="shared" si="219"/>
        <v>NO</v>
      </c>
      <c r="R930" t="str">
        <f t="shared" si="220"/>
        <v>NO</v>
      </c>
      <c r="T930" t="s">
        <v>105</v>
      </c>
      <c r="U930" t="str">
        <f t="shared" si="207"/>
        <v>Broadway</v>
      </c>
      <c r="V930" t="s">
        <v>745</v>
      </c>
      <c r="W930" t="str">
        <f t="shared" si="208"/>
        <v>Norfolk St</v>
      </c>
      <c r="X930" t="str">
        <f>IF(ISBLANK(S930),"Intersection","Non-Intersection")</f>
        <v>Intersection</v>
      </c>
      <c r="Y930" t="s">
        <v>1070</v>
      </c>
      <c r="Z930" t="str">
        <f t="shared" si="209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10"/>
        <v>40179</v>
      </c>
      <c r="D931" s="4">
        <f t="shared" si="211"/>
        <v>0.63561643835616444</v>
      </c>
      <c r="E931" s="3">
        <f t="shared" si="212"/>
        <v>2010</v>
      </c>
      <c r="F931" s="3">
        <f t="shared" si="213"/>
        <v>8</v>
      </c>
      <c r="G931" s="3">
        <f t="shared" si="214"/>
        <v>21</v>
      </c>
      <c r="H931" s="3">
        <f t="shared" si="215"/>
        <v>2</v>
      </c>
      <c r="I931" s="3">
        <f t="shared" si="216"/>
        <v>0</v>
      </c>
      <c r="J931" s="3">
        <f t="shared" si="217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18"/>
        <v>YES</v>
      </c>
      <c r="Q931" t="str">
        <f t="shared" si="219"/>
        <v>NO</v>
      </c>
      <c r="R931" t="str">
        <f t="shared" si="220"/>
        <v>NO</v>
      </c>
      <c r="S931">
        <v>1065</v>
      </c>
      <c r="T931" t="s">
        <v>587</v>
      </c>
      <c r="U931" t="str">
        <f t="shared" si="207"/>
        <v>Webster Ave</v>
      </c>
      <c r="V931" t="s">
        <v>101</v>
      </c>
      <c r="W931" t="str">
        <f t="shared" si="208"/>
        <v>Columbia St</v>
      </c>
      <c r="X931" t="str">
        <f>IF(ISBLANK(S931),"Intersection","Non-Intersection")</f>
        <v>Non-Intersection</v>
      </c>
      <c r="Y931" t="s">
        <v>1708</v>
      </c>
      <c r="Z931" t="str">
        <f t="shared" si="209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10"/>
        <v>40179</v>
      </c>
      <c r="D932" s="4">
        <f t="shared" si="211"/>
        <v>0.63561643835616444</v>
      </c>
      <c r="E932" s="3">
        <f t="shared" si="212"/>
        <v>2010</v>
      </c>
      <c r="F932" s="3">
        <f t="shared" si="213"/>
        <v>8</v>
      </c>
      <c r="G932" s="3">
        <f t="shared" si="214"/>
        <v>21</v>
      </c>
      <c r="H932" s="3">
        <f t="shared" si="215"/>
        <v>12</v>
      </c>
      <c r="I932" s="3">
        <f t="shared" si="216"/>
        <v>59</v>
      </c>
      <c r="J932" s="3">
        <f t="shared" si="217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18"/>
        <v>YES</v>
      </c>
      <c r="Q932" t="str">
        <f t="shared" si="219"/>
        <v>NO</v>
      </c>
      <c r="R932" t="str">
        <f t="shared" si="220"/>
        <v>NO</v>
      </c>
      <c r="S932">
        <v>14</v>
      </c>
      <c r="T932" t="s">
        <v>186</v>
      </c>
      <c r="U932" t="str">
        <f t="shared" si="207"/>
        <v>Concord Ave</v>
      </c>
      <c r="W932" t="str">
        <f t="shared" si="208"/>
        <v/>
      </c>
      <c r="X932" t="str">
        <f>IF(ISBLANK(S932),"Intersection","Non-Intersection")</f>
        <v>Non-Intersection</v>
      </c>
      <c r="Y932" t="s">
        <v>1710</v>
      </c>
      <c r="Z932" t="str">
        <f t="shared" si="209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10"/>
        <v>40179</v>
      </c>
      <c r="D933" s="4">
        <f t="shared" si="211"/>
        <v>0.63561643835616444</v>
      </c>
      <c r="E933" s="3">
        <f t="shared" si="212"/>
        <v>2010</v>
      </c>
      <c r="F933" s="3">
        <f t="shared" si="213"/>
        <v>8</v>
      </c>
      <c r="G933" s="3">
        <f t="shared" si="214"/>
        <v>21</v>
      </c>
      <c r="H933" s="3">
        <f t="shared" si="215"/>
        <v>20</v>
      </c>
      <c r="I933" s="3">
        <f t="shared" si="216"/>
        <v>0</v>
      </c>
      <c r="J933" s="3">
        <f t="shared" si="217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18"/>
        <v>YES</v>
      </c>
      <c r="Q933" t="str">
        <f t="shared" si="219"/>
        <v>NO</v>
      </c>
      <c r="R933" t="str">
        <f t="shared" si="220"/>
        <v>NO</v>
      </c>
      <c r="S933">
        <v>4</v>
      </c>
      <c r="T933" t="s">
        <v>1712</v>
      </c>
      <c r="U933" t="str">
        <f t="shared" si="207"/>
        <v>Canal Park</v>
      </c>
      <c r="W933" t="str">
        <f t="shared" si="208"/>
        <v/>
      </c>
      <c r="X933" t="str">
        <f>IF(ISBLANK(S933),"Intersection","Non-Intersection")</f>
        <v>Non-Intersection</v>
      </c>
      <c r="Y933" t="s">
        <v>1713</v>
      </c>
      <c r="Z933" t="str">
        <f t="shared" si="209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10"/>
        <v>40179</v>
      </c>
      <c r="D934" s="4">
        <f t="shared" si="211"/>
        <v>0.63835616438356169</v>
      </c>
      <c r="E934" s="3">
        <f t="shared" si="212"/>
        <v>2010</v>
      </c>
      <c r="F934" s="3">
        <f t="shared" si="213"/>
        <v>8</v>
      </c>
      <c r="G934" s="3">
        <f t="shared" si="214"/>
        <v>22</v>
      </c>
      <c r="H934" s="3">
        <f t="shared" si="215"/>
        <v>8</v>
      </c>
      <c r="I934" s="3">
        <f t="shared" si="216"/>
        <v>51</v>
      </c>
      <c r="J934" s="3">
        <f t="shared" si="217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18"/>
        <v>YES</v>
      </c>
      <c r="Q934" t="str">
        <f t="shared" si="219"/>
        <v>NO</v>
      </c>
      <c r="R934" t="str">
        <f t="shared" si="220"/>
        <v>NO</v>
      </c>
      <c r="S934">
        <v>885</v>
      </c>
      <c r="T934" t="s">
        <v>14</v>
      </c>
      <c r="U934" t="str">
        <f t="shared" si="207"/>
        <v>Massachusetts Ave</v>
      </c>
      <c r="W934" t="str">
        <f t="shared" si="208"/>
        <v/>
      </c>
      <c r="X934" t="str">
        <f>IF(ISBLANK(S934),"Intersection","Non-Intersection")</f>
        <v>Non-Intersection</v>
      </c>
      <c r="Y934" t="s">
        <v>1717</v>
      </c>
      <c r="Z934" t="str">
        <f t="shared" si="209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10"/>
        <v>40179</v>
      </c>
      <c r="D935" s="4">
        <f t="shared" si="211"/>
        <v>0.63835616438356169</v>
      </c>
      <c r="E935" s="3">
        <f t="shared" si="212"/>
        <v>2010</v>
      </c>
      <c r="F935" s="3">
        <f t="shared" si="213"/>
        <v>8</v>
      </c>
      <c r="G935" s="3">
        <f t="shared" si="214"/>
        <v>22</v>
      </c>
      <c r="H935" s="3">
        <f t="shared" si="215"/>
        <v>9</v>
      </c>
      <c r="I935" s="3">
        <f t="shared" si="216"/>
        <v>59</v>
      </c>
      <c r="J935" s="3">
        <f t="shared" si="217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18"/>
        <v>YES</v>
      </c>
      <c r="Q935" t="str">
        <f t="shared" si="219"/>
        <v>NO</v>
      </c>
      <c r="R935" t="str">
        <f t="shared" si="220"/>
        <v>NO</v>
      </c>
      <c r="T935" t="s">
        <v>178</v>
      </c>
      <c r="U935" t="str">
        <f t="shared" si="207"/>
        <v>Pleasant St</v>
      </c>
      <c r="V935" t="s">
        <v>332</v>
      </c>
      <c r="W935" t="str">
        <f t="shared" si="208"/>
        <v>Allston St</v>
      </c>
      <c r="X935" t="str">
        <f>IF(ISBLANK(S935),"Intersection","Non-Intersection")</f>
        <v>Intersection</v>
      </c>
      <c r="Y935" t="s">
        <v>1542</v>
      </c>
      <c r="Z935" t="str">
        <f t="shared" si="209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10"/>
        <v>40179</v>
      </c>
      <c r="D936" s="4">
        <f t="shared" si="211"/>
        <v>0.63835616438356169</v>
      </c>
      <c r="E936" s="3">
        <f t="shared" si="212"/>
        <v>2010</v>
      </c>
      <c r="F936" s="3">
        <f t="shared" si="213"/>
        <v>8</v>
      </c>
      <c r="G936" s="3">
        <f t="shared" si="214"/>
        <v>22</v>
      </c>
      <c r="H936" s="3">
        <f t="shared" si="215"/>
        <v>13</v>
      </c>
      <c r="I936" s="3">
        <f t="shared" si="216"/>
        <v>47</v>
      </c>
      <c r="J936" s="3">
        <f t="shared" si="217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18"/>
        <v>YES</v>
      </c>
      <c r="Q936" t="str">
        <f t="shared" si="219"/>
        <v>NO</v>
      </c>
      <c r="R936" t="str">
        <f t="shared" si="220"/>
        <v>NO</v>
      </c>
      <c r="T936" t="s">
        <v>209</v>
      </c>
      <c r="U936" t="str">
        <f t="shared" si="207"/>
        <v>Binney St</v>
      </c>
      <c r="V936" t="s">
        <v>129</v>
      </c>
      <c r="W936" t="str">
        <f t="shared" si="208"/>
        <v>Cardinal Medeiros Ave</v>
      </c>
      <c r="X936" t="str">
        <f>IF(ISBLANK(S936),"Intersection","Non-Intersection")</f>
        <v>Intersection</v>
      </c>
      <c r="Y936" t="s">
        <v>1719</v>
      </c>
      <c r="Z936" t="str">
        <f t="shared" si="209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10"/>
        <v>40179</v>
      </c>
      <c r="D937" s="4">
        <f t="shared" si="211"/>
        <v>0.63835616438356169</v>
      </c>
      <c r="E937" s="3">
        <f t="shared" si="212"/>
        <v>2010</v>
      </c>
      <c r="F937" s="3">
        <f t="shared" si="213"/>
        <v>8</v>
      </c>
      <c r="G937" s="3">
        <f t="shared" si="214"/>
        <v>22</v>
      </c>
      <c r="H937" s="3">
        <f t="shared" si="215"/>
        <v>18</v>
      </c>
      <c r="I937" s="3">
        <f t="shared" si="216"/>
        <v>59</v>
      </c>
      <c r="J937" s="3">
        <f t="shared" si="217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18"/>
        <v>YES</v>
      </c>
      <c r="Q937" t="str">
        <f t="shared" si="219"/>
        <v>NO</v>
      </c>
      <c r="R937" t="str">
        <f t="shared" si="220"/>
        <v>NO</v>
      </c>
      <c r="T937" t="s">
        <v>74</v>
      </c>
      <c r="U937" t="str">
        <f t="shared" si="207"/>
        <v>Hampshire St</v>
      </c>
      <c r="V937" t="s">
        <v>105</v>
      </c>
      <c r="W937" t="str">
        <f t="shared" si="208"/>
        <v>Broadway</v>
      </c>
      <c r="X937" t="str">
        <f>IF(ISBLANK(S937),"Intersection","Non-Intersection")</f>
        <v>Intersection</v>
      </c>
      <c r="Y937" t="s">
        <v>1497</v>
      </c>
      <c r="Z937" t="str">
        <f t="shared" si="209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10"/>
        <v>40179</v>
      </c>
      <c r="D938" s="4">
        <f t="shared" si="211"/>
        <v>0.64109589041095894</v>
      </c>
      <c r="E938" s="3">
        <f t="shared" si="212"/>
        <v>2010</v>
      </c>
      <c r="F938" s="3">
        <f t="shared" si="213"/>
        <v>8</v>
      </c>
      <c r="G938" s="3">
        <f t="shared" si="214"/>
        <v>23</v>
      </c>
      <c r="H938" s="3">
        <f t="shared" si="215"/>
        <v>19</v>
      </c>
      <c r="I938" s="3">
        <f t="shared" si="216"/>
        <v>12</v>
      </c>
      <c r="J938" s="3">
        <f t="shared" si="217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18"/>
        <v>YES</v>
      </c>
      <c r="Q938" t="str">
        <f t="shared" si="219"/>
        <v>NO</v>
      </c>
      <c r="R938" t="str">
        <f t="shared" si="220"/>
        <v>NO</v>
      </c>
      <c r="T938" t="s">
        <v>105</v>
      </c>
      <c r="U938" t="str">
        <f t="shared" si="207"/>
        <v>Broadway</v>
      </c>
      <c r="V938" t="s">
        <v>667</v>
      </c>
      <c r="W938" t="str">
        <f t="shared" si="208"/>
        <v>Tremont St</v>
      </c>
      <c r="X938" t="str">
        <f>IF(ISBLANK(S938),"Intersection","Non-Intersection")</f>
        <v>Intersection</v>
      </c>
      <c r="Y938" t="s">
        <v>1721</v>
      </c>
      <c r="Z938" t="str">
        <f t="shared" si="209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10"/>
        <v>40179</v>
      </c>
      <c r="D939" s="4">
        <f t="shared" si="211"/>
        <v>0.64109589041095894</v>
      </c>
      <c r="E939" s="3">
        <f t="shared" si="212"/>
        <v>2010</v>
      </c>
      <c r="F939" s="3">
        <f t="shared" si="213"/>
        <v>8</v>
      </c>
      <c r="G939" s="3">
        <f t="shared" si="214"/>
        <v>23</v>
      </c>
      <c r="H939" s="3">
        <f t="shared" si="215"/>
        <v>9</v>
      </c>
      <c r="I939" s="3">
        <f t="shared" si="216"/>
        <v>30</v>
      </c>
      <c r="J939" s="3">
        <f t="shared" si="217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18"/>
        <v>YES</v>
      </c>
      <c r="Q939" t="str">
        <f t="shared" si="219"/>
        <v>NO</v>
      </c>
      <c r="R939" t="str">
        <f t="shared" si="220"/>
        <v>NO</v>
      </c>
      <c r="T939" t="s">
        <v>1174</v>
      </c>
      <c r="U939" t="str">
        <f t="shared" si="207"/>
        <v>Roberts Rd</v>
      </c>
      <c r="V939" t="s">
        <v>19</v>
      </c>
      <c r="W939" t="str">
        <f t="shared" si="208"/>
        <v>Cambridge St</v>
      </c>
      <c r="X939" t="str">
        <f>IF(ISBLANK(S939),"Intersection","Non-Intersection")</f>
        <v>Intersection</v>
      </c>
      <c r="Y939" t="s">
        <v>1723</v>
      </c>
      <c r="Z939" t="str">
        <f t="shared" si="209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10"/>
        <v>40179</v>
      </c>
      <c r="D940" s="4">
        <f t="shared" si="211"/>
        <v>0.64109589041095894</v>
      </c>
      <c r="E940" s="3">
        <f t="shared" si="212"/>
        <v>2010</v>
      </c>
      <c r="F940" s="3">
        <f t="shared" si="213"/>
        <v>8</v>
      </c>
      <c r="G940" s="3">
        <f t="shared" si="214"/>
        <v>23</v>
      </c>
      <c r="H940" s="3">
        <f t="shared" si="215"/>
        <v>14</v>
      </c>
      <c r="I940" s="3">
        <f t="shared" si="216"/>
        <v>19</v>
      </c>
      <c r="J940" s="3">
        <f t="shared" si="217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18"/>
        <v>YES</v>
      </c>
      <c r="Q940" t="str">
        <f t="shared" si="219"/>
        <v>NO</v>
      </c>
      <c r="R940" t="str">
        <f t="shared" si="220"/>
        <v>YES</v>
      </c>
      <c r="T940" t="s">
        <v>553</v>
      </c>
      <c r="U940" t="str">
        <f t="shared" si="207"/>
        <v>Cameron Ave</v>
      </c>
      <c r="V940" t="s">
        <v>14</v>
      </c>
      <c r="W940" t="str">
        <f t="shared" si="208"/>
        <v>Massachusetts Ave</v>
      </c>
      <c r="X940" t="str">
        <f>IF(ISBLANK(S940),"Intersection","Non-Intersection")</f>
        <v>Intersection</v>
      </c>
      <c r="Y940" t="s">
        <v>1724</v>
      </c>
      <c r="Z940" t="str">
        <f t="shared" si="209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10"/>
        <v>40179</v>
      </c>
      <c r="D941" s="4">
        <f t="shared" si="211"/>
        <v>0.64109589041095894</v>
      </c>
      <c r="E941" s="3">
        <f t="shared" si="212"/>
        <v>2010</v>
      </c>
      <c r="F941" s="3">
        <f t="shared" si="213"/>
        <v>8</v>
      </c>
      <c r="G941" s="3">
        <f t="shared" si="214"/>
        <v>23</v>
      </c>
      <c r="H941" s="3">
        <f t="shared" si="215"/>
        <v>15</v>
      </c>
      <c r="I941" s="3">
        <f t="shared" si="216"/>
        <v>0</v>
      </c>
      <c r="J941" s="3">
        <f t="shared" si="217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18"/>
        <v>YES</v>
      </c>
      <c r="Q941" t="str">
        <f t="shared" si="219"/>
        <v>NO</v>
      </c>
      <c r="R941" t="str">
        <f t="shared" si="220"/>
        <v>NO</v>
      </c>
      <c r="S941">
        <v>65</v>
      </c>
      <c r="T941" t="s">
        <v>249</v>
      </c>
      <c r="U941" t="str">
        <f t="shared" si="207"/>
        <v>Landsdowne St</v>
      </c>
      <c r="W941" t="str">
        <f t="shared" si="208"/>
        <v/>
      </c>
      <c r="X941" t="str">
        <f>IF(ISBLANK(S941),"Intersection","Non-Intersection")</f>
        <v>Non-Intersection</v>
      </c>
      <c r="Y941" t="s">
        <v>1725</v>
      </c>
      <c r="Z941" t="str">
        <f t="shared" si="209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10"/>
        <v>40179</v>
      </c>
      <c r="D942" s="4">
        <f t="shared" si="211"/>
        <v>0.64383561643835618</v>
      </c>
      <c r="E942" s="3">
        <f t="shared" si="212"/>
        <v>2010</v>
      </c>
      <c r="F942" s="3">
        <f t="shared" si="213"/>
        <v>8</v>
      </c>
      <c r="G942" s="3">
        <f t="shared" si="214"/>
        <v>24</v>
      </c>
      <c r="H942" s="3">
        <f t="shared" si="215"/>
        <v>10</v>
      </c>
      <c r="I942" s="3">
        <f t="shared" si="216"/>
        <v>8</v>
      </c>
      <c r="J942" s="3">
        <f t="shared" si="217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18"/>
        <v>YES</v>
      </c>
      <c r="Q942" t="str">
        <f t="shared" si="219"/>
        <v>NO</v>
      </c>
      <c r="R942" t="str">
        <f t="shared" si="220"/>
        <v>NO</v>
      </c>
      <c r="S942">
        <v>1</v>
      </c>
      <c r="T942" t="s">
        <v>74</v>
      </c>
      <c r="U942" t="str">
        <f t="shared" si="207"/>
        <v>Hampshire St</v>
      </c>
      <c r="W942" t="str">
        <f t="shared" si="208"/>
        <v/>
      </c>
      <c r="X942" t="str">
        <f>IF(ISBLANK(S942),"Intersection","Non-Intersection")</f>
        <v>Non-Intersection</v>
      </c>
      <c r="Y942" t="s">
        <v>240</v>
      </c>
      <c r="Z942" t="str">
        <f t="shared" si="209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10"/>
        <v>40179</v>
      </c>
      <c r="D943" s="4">
        <f t="shared" si="211"/>
        <v>0.64383561643835618</v>
      </c>
      <c r="E943" s="3">
        <f t="shared" si="212"/>
        <v>2010</v>
      </c>
      <c r="F943" s="3">
        <f t="shared" si="213"/>
        <v>8</v>
      </c>
      <c r="G943" s="3">
        <f t="shared" si="214"/>
        <v>24</v>
      </c>
      <c r="H943" s="3">
        <f t="shared" si="215"/>
        <v>14</v>
      </c>
      <c r="I943" s="3">
        <f t="shared" si="216"/>
        <v>0</v>
      </c>
      <c r="J943" s="3">
        <f t="shared" si="217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18"/>
        <v>YES</v>
      </c>
      <c r="Q943" t="str">
        <f t="shared" si="219"/>
        <v>NO</v>
      </c>
      <c r="R943" t="str">
        <f t="shared" si="220"/>
        <v>YES</v>
      </c>
      <c r="T943" t="s">
        <v>19</v>
      </c>
      <c r="U943" t="str">
        <f t="shared" si="207"/>
        <v>Cambridge St</v>
      </c>
      <c r="V943" t="s">
        <v>1226</v>
      </c>
      <c r="W943" t="str">
        <f t="shared" si="208"/>
        <v>Dana St</v>
      </c>
      <c r="X943" t="str">
        <f>IF(ISBLANK(S943),"Intersection","Non-Intersection")</f>
        <v>Intersection</v>
      </c>
      <c r="Y943" t="s">
        <v>1727</v>
      </c>
      <c r="Z943" t="str">
        <f t="shared" si="209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10"/>
        <v>40179</v>
      </c>
      <c r="D944" s="4">
        <f t="shared" si="211"/>
        <v>0.64383561643835618</v>
      </c>
      <c r="E944" s="3">
        <f t="shared" si="212"/>
        <v>2010</v>
      </c>
      <c r="F944" s="3">
        <f t="shared" si="213"/>
        <v>8</v>
      </c>
      <c r="G944" s="3">
        <f t="shared" si="214"/>
        <v>24</v>
      </c>
      <c r="H944" s="3">
        <f t="shared" si="215"/>
        <v>14</v>
      </c>
      <c r="I944" s="3">
        <f t="shared" si="216"/>
        <v>42</v>
      </c>
      <c r="J944" s="3">
        <f t="shared" si="217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18"/>
        <v>YES</v>
      </c>
      <c r="Q944" t="str">
        <f t="shared" si="219"/>
        <v>NO</v>
      </c>
      <c r="R944" t="str">
        <f t="shared" si="220"/>
        <v>NO</v>
      </c>
      <c r="T944" t="s">
        <v>1729</v>
      </c>
      <c r="U944" t="str">
        <f t="shared" si="207"/>
        <v>Cross St</v>
      </c>
      <c r="W944" t="str">
        <f t="shared" si="208"/>
        <v/>
      </c>
      <c r="X944" t="str">
        <f>IF(ISBLANK(S944),"Intersection","Non-Intersection")</f>
        <v>Intersection</v>
      </c>
      <c r="Y944" t="s">
        <v>1730</v>
      </c>
      <c r="Z944" t="str">
        <f t="shared" si="209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10"/>
        <v>40179</v>
      </c>
      <c r="D945" s="4">
        <f t="shared" si="211"/>
        <v>0.64383561643835618</v>
      </c>
      <c r="E945" s="3">
        <f t="shared" si="212"/>
        <v>2010</v>
      </c>
      <c r="F945" s="3">
        <f t="shared" si="213"/>
        <v>8</v>
      </c>
      <c r="G945" s="3">
        <f t="shared" si="214"/>
        <v>24</v>
      </c>
      <c r="H945" s="3">
        <f t="shared" si="215"/>
        <v>18</v>
      </c>
      <c r="I945" s="3">
        <f t="shared" si="216"/>
        <v>56</v>
      </c>
      <c r="J945" s="3">
        <f t="shared" si="217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18"/>
        <v>YES</v>
      </c>
      <c r="Q945" t="str">
        <f t="shared" si="219"/>
        <v>NO</v>
      </c>
      <c r="R945" t="str">
        <f t="shared" si="220"/>
        <v>NO</v>
      </c>
      <c r="S945">
        <v>748</v>
      </c>
      <c r="T945" t="s">
        <v>203</v>
      </c>
      <c r="U945" t="str">
        <f t="shared" si="207"/>
        <v>Memorial Dr</v>
      </c>
      <c r="W945" t="str">
        <f t="shared" si="208"/>
        <v/>
      </c>
      <c r="X945" t="str">
        <f>IF(ISBLANK(S945),"Intersection","Non-Intersection")</f>
        <v>Non-Intersection</v>
      </c>
      <c r="Y945" t="s">
        <v>1731</v>
      </c>
      <c r="Z945" t="str">
        <f t="shared" si="209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10"/>
        <v>40179</v>
      </c>
      <c r="D946" s="4">
        <f t="shared" si="211"/>
        <v>0.64383561643835618</v>
      </c>
      <c r="E946" s="3">
        <f t="shared" si="212"/>
        <v>2010</v>
      </c>
      <c r="F946" s="3">
        <f t="shared" si="213"/>
        <v>8</v>
      </c>
      <c r="G946" s="3">
        <f t="shared" si="214"/>
        <v>24</v>
      </c>
      <c r="H946" s="3">
        <f t="shared" si="215"/>
        <v>12</v>
      </c>
      <c r="I946" s="3">
        <f t="shared" si="216"/>
        <v>21</v>
      </c>
      <c r="J946" s="3">
        <f t="shared" si="217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18"/>
        <v>YES</v>
      </c>
      <c r="Q946" t="str">
        <f t="shared" si="219"/>
        <v>NO</v>
      </c>
      <c r="R946" t="str">
        <f t="shared" si="220"/>
        <v>NO</v>
      </c>
      <c r="T946" t="s">
        <v>1432</v>
      </c>
      <c r="U946" t="str">
        <f t="shared" si="207"/>
        <v>Jarvis St</v>
      </c>
      <c r="V946" t="s">
        <v>14</v>
      </c>
      <c r="W946" t="str">
        <f t="shared" si="208"/>
        <v>Massachusetts Ave</v>
      </c>
      <c r="X946" t="str">
        <f>IF(ISBLANK(S946),"Intersection","Non-Intersection")</f>
        <v>Intersection</v>
      </c>
      <c r="Y946" t="s">
        <v>1733</v>
      </c>
      <c r="Z946" t="str">
        <f t="shared" si="209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10"/>
        <v>40179</v>
      </c>
      <c r="D947" s="4">
        <f t="shared" si="211"/>
        <v>0.64383561643835618</v>
      </c>
      <c r="E947" s="3">
        <f t="shared" si="212"/>
        <v>2010</v>
      </c>
      <c r="F947" s="3">
        <f t="shared" si="213"/>
        <v>8</v>
      </c>
      <c r="G947" s="3">
        <f t="shared" si="214"/>
        <v>24</v>
      </c>
      <c r="H947" s="3">
        <f t="shared" si="215"/>
        <v>22</v>
      </c>
      <c r="I947" s="3">
        <f t="shared" si="216"/>
        <v>30</v>
      </c>
      <c r="J947" s="3">
        <f t="shared" si="217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18"/>
        <v>YES</v>
      </c>
      <c r="Q947" t="str">
        <f t="shared" si="219"/>
        <v>NO</v>
      </c>
      <c r="R947" t="str">
        <f t="shared" si="220"/>
        <v>NO</v>
      </c>
      <c r="S947">
        <v>723</v>
      </c>
      <c r="T947" t="s">
        <v>19</v>
      </c>
      <c r="U947" t="str">
        <f t="shared" si="207"/>
        <v>Cambridge St</v>
      </c>
      <c r="W947" t="str">
        <f t="shared" si="208"/>
        <v/>
      </c>
      <c r="X947" t="str">
        <f>IF(ISBLANK(S947),"Intersection","Non-Intersection")</f>
        <v>Non-Intersection</v>
      </c>
      <c r="Y947" t="s">
        <v>1735</v>
      </c>
      <c r="Z947" t="str">
        <f t="shared" si="209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10"/>
        <v>40179</v>
      </c>
      <c r="D948" s="4">
        <f t="shared" si="211"/>
        <v>0.64657534246575343</v>
      </c>
      <c r="E948" s="3">
        <f t="shared" si="212"/>
        <v>2010</v>
      </c>
      <c r="F948" s="3">
        <f t="shared" si="213"/>
        <v>8</v>
      </c>
      <c r="G948" s="3">
        <f t="shared" si="214"/>
        <v>25</v>
      </c>
      <c r="H948" s="3">
        <f t="shared" si="215"/>
        <v>2</v>
      </c>
      <c r="I948" s="3">
        <f t="shared" si="216"/>
        <v>49</v>
      </c>
      <c r="J948" s="3">
        <f t="shared" si="217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18"/>
        <v>YES</v>
      </c>
      <c r="Q948" t="str">
        <f t="shared" si="219"/>
        <v>NO</v>
      </c>
      <c r="R948" t="str">
        <f t="shared" si="220"/>
        <v>NO</v>
      </c>
      <c r="T948" t="s">
        <v>32</v>
      </c>
      <c r="U948" t="str">
        <f t="shared" si="207"/>
        <v>Main St</v>
      </c>
      <c r="V948" t="s">
        <v>189</v>
      </c>
      <c r="W948" t="str">
        <f t="shared" si="208"/>
        <v>Windsor St</v>
      </c>
      <c r="X948" t="str">
        <f>IF(ISBLANK(S948),"Intersection","Non-Intersection")</f>
        <v>Intersection</v>
      </c>
      <c r="Y948" t="s">
        <v>1737</v>
      </c>
      <c r="Z948" t="str">
        <f t="shared" si="209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10"/>
        <v>40179</v>
      </c>
      <c r="D949" s="4">
        <f t="shared" si="211"/>
        <v>0.64657534246575343</v>
      </c>
      <c r="E949" s="3">
        <f t="shared" si="212"/>
        <v>2010</v>
      </c>
      <c r="F949" s="3">
        <f t="shared" si="213"/>
        <v>8</v>
      </c>
      <c r="G949" s="3">
        <f t="shared" si="214"/>
        <v>25</v>
      </c>
      <c r="H949" s="3">
        <f t="shared" si="215"/>
        <v>11</v>
      </c>
      <c r="I949" s="3">
        <f t="shared" si="216"/>
        <v>45</v>
      </c>
      <c r="J949" s="3">
        <f t="shared" si="217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18"/>
        <v>YES</v>
      </c>
      <c r="Q949" t="str">
        <f t="shared" si="219"/>
        <v>NO</v>
      </c>
      <c r="R949" t="str">
        <f t="shared" si="220"/>
        <v>NO</v>
      </c>
      <c r="T949" t="s">
        <v>326</v>
      </c>
      <c r="U949" t="str">
        <f t="shared" si="207"/>
        <v>Jfk St</v>
      </c>
      <c r="V949" t="s">
        <v>198</v>
      </c>
      <c r="W949" t="str">
        <f t="shared" si="208"/>
        <v>Mount Auburn St</v>
      </c>
      <c r="X949" t="str">
        <f>IF(ISBLANK(S949),"Intersection","Non-Intersection")</f>
        <v>Intersection</v>
      </c>
      <c r="Y949" t="s">
        <v>385</v>
      </c>
      <c r="Z949" t="str">
        <f t="shared" si="209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10"/>
        <v>40179</v>
      </c>
      <c r="D950" s="4">
        <f t="shared" si="211"/>
        <v>0.64657534246575343</v>
      </c>
      <c r="E950" s="3">
        <f t="shared" si="212"/>
        <v>2010</v>
      </c>
      <c r="F950" s="3">
        <f t="shared" si="213"/>
        <v>8</v>
      </c>
      <c r="G950" s="3">
        <f t="shared" si="214"/>
        <v>25</v>
      </c>
      <c r="H950" s="3">
        <f t="shared" si="215"/>
        <v>18</v>
      </c>
      <c r="I950" s="3">
        <f t="shared" si="216"/>
        <v>59</v>
      </c>
      <c r="J950" s="3">
        <f t="shared" si="217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18"/>
        <v>YES</v>
      </c>
      <c r="Q950" t="str">
        <f t="shared" si="219"/>
        <v>NO</v>
      </c>
      <c r="R950" t="str">
        <f t="shared" si="220"/>
        <v>NO</v>
      </c>
      <c r="S950">
        <v>575</v>
      </c>
      <c r="T950" t="s">
        <v>203</v>
      </c>
      <c r="U950" t="str">
        <f t="shared" si="207"/>
        <v>Memorial Dr</v>
      </c>
      <c r="W950" t="str">
        <f t="shared" si="208"/>
        <v/>
      </c>
      <c r="X950" t="str">
        <f>IF(ISBLANK(S950),"Intersection","Non-Intersection")</f>
        <v>Non-Intersection</v>
      </c>
      <c r="Y950" t="s">
        <v>347</v>
      </c>
      <c r="Z950" t="str">
        <f t="shared" si="209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10"/>
        <v>40179</v>
      </c>
      <c r="D951" s="4">
        <f t="shared" si="211"/>
        <v>0.64657534246575343</v>
      </c>
      <c r="E951" s="3">
        <f t="shared" si="212"/>
        <v>2010</v>
      </c>
      <c r="F951" s="3">
        <f t="shared" si="213"/>
        <v>8</v>
      </c>
      <c r="G951" s="3">
        <f t="shared" si="214"/>
        <v>25</v>
      </c>
      <c r="H951" s="3">
        <f t="shared" si="215"/>
        <v>20</v>
      </c>
      <c r="I951" s="3">
        <f t="shared" si="216"/>
        <v>22</v>
      </c>
      <c r="J951" s="3">
        <f t="shared" si="217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18"/>
        <v>YES</v>
      </c>
      <c r="Q951" t="str">
        <f t="shared" si="219"/>
        <v>YES</v>
      </c>
      <c r="R951" t="str">
        <f t="shared" si="220"/>
        <v>NO</v>
      </c>
      <c r="T951" t="s">
        <v>19</v>
      </c>
      <c r="U951" t="str">
        <f t="shared" si="207"/>
        <v>Cambridge St</v>
      </c>
      <c r="V951" t="s">
        <v>1739</v>
      </c>
      <c r="W951" t="str">
        <f t="shared" si="208"/>
        <v>Harding St</v>
      </c>
      <c r="X951" t="str">
        <f>IF(ISBLANK(S951),"Intersection","Non-Intersection")</f>
        <v>Intersection</v>
      </c>
      <c r="Y951" t="s">
        <v>1740</v>
      </c>
      <c r="Z951" t="str">
        <f t="shared" si="209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10"/>
        <v>40179</v>
      </c>
      <c r="D952" s="4">
        <f t="shared" si="211"/>
        <v>0.64657534246575343</v>
      </c>
      <c r="E952" s="3">
        <f t="shared" si="212"/>
        <v>2010</v>
      </c>
      <c r="F952" s="3">
        <f t="shared" si="213"/>
        <v>8</v>
      </c>
      <c r="G952" s="3">
        <f t="shared" si="214"/>
        <v>25</v>
      </c>
      <c r="H952" s="3">
        <f t="shared" si="215"/>
        <v>8</v>
      </c>
      <c r="I952" s="3">
        <f t="shared" si="216"/>
        <v>15</v>
      </c>
      <c r="J952" s="3">
        <f t="shared" si="217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18"/>
        <v>YES</v>
      </c>
      <c r="Q952" t="str">
        <f t="shared" si="219"/>
        <v>NO</v>
      </c>
      <c r="R952" t="str">
        <f t="shared" si="220"/>
        <v>NO</v>
      </c>
      <c r="T952" t="s">
        <v>14</v>
      </c>
      <c r="U952" t="str">
        <f t="shared" si="207"/>
        <v>Massachusetts Ave</v>
      </c>
      <c r="V952" t="s">
        <v>1742</v>
      </c>
      <c r="W952" t="str">
        <f t="shared" si="208"/>
        <v>Bow St</v>
      </c>
      <c r="X952" t="str">
        <f>IF(ISBLANK(S952),"Intersection","Non-Intersection")</f>
        <v>Intersection</v>
      </c>
      <c r="Y952" t="s">
        <v>1743</v>
      </c>
      <c r="Z952" t="str">
        <f t="shared" si="209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10"/>
        <v>40179</v>
      </c>
      <c r="D953" s="4">
        <f t="shared" si="211"/>
        <v>0.64657534246575343</v>
      </c>
      <c r="E953" s="3">
        <f t="shared" si="212"/>
        <v>2010</v>
      </c>
      <c r="F953" s="3">
        <f t="shared" si="213"/>
        <v>8</v>
      </c>
      <c r="G953" s="3">
        <f t="shared" si="214"/>
        <v>25</v>
      </c>
      <c r="H953" s="3">
        <f t="shared" si="215"/>
        <v>15</v>
      </c>
      <c r="I953" s="3">
        <f t="shared" si="216"/>
        <v>0</v>
      </c>
      <c r="J953" s="3">
        <f t="shared" si="217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18"/>
        <v>YES</v>
      </c>
      <c r="Q953" t="str">
        <f t="shared" si="219"/>
        <v>NO</v>
      </c>
      <c r="R953" t="str">
        <f t="shared" si="220"/>
        <v>NO</v>
      </c>
      <c r="T953" t="s">
        <v>238</v>
      </c>
      <c r="U953" t="str">
        <f t="shared" si="207"/>
        <v>Kirkland St</v>
      </c>
      <c r="W953" t="str">
        <f t="shared" si="208"/>
        <v/>
      </c>
      <c r="X953" t="str">
        <f>IF(ISBLANK(S953),"Intersection","Non-Intersection")</f>
        <v>Intersection</v>
      </c>
      <c r="Y953" t="s">
        <v>239</v>
      </c>
      <c r="Z953" t="str">
        <f t="shared" si="209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10"/>
        <v>40179</v>
      </c>
      <c r="D954" s="4">
        <f t="shared" si="211"/>
        <v>0.64657534246575343</v>
      </c>
      <c r="E954" s="3">
        <f t="shared" si="212"/>
        <v>2010</v>
      </c>
      <c r="F954" s="3">
        <f t="shared" si="213"/>
        <v>8</v>
      </c>
      <c r="G954" s="3">
        <f t="shared" si="214"/>
        <v>25</v>
      </c>
      <c r="H954" s="3">
        <f t="shared" si="215"/>
        <v>15</v>
      </c>
      <c r="I954" s="3">
        <f t="shared" si="216"/>
        <v>30</v>
      </c>
      <c r="J954" s="3">
        <f t="shared" si="217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18"/>
        <v>YES</v>
      </c>
      <c r="Q954" t="str">
        <f t="shared" si="219"/>
        <v>NO</v>
      </c>
      <c r="R954" t="str">
        <f t="shared" si="220"/>
        <v>NO</v>
      </c>
      <c r="T954" t="s">
        <v>186</v>
      </c>
      <c r="U954" t="str">
        <f t="shared" si="207"/>
        <v>Concord Ave</v>
      </c>
      <c r="V954" t="s">
        <v>988</v>
      </c>
      <c r="W954" t="str">
        <f t="shared" si="208"/>
        <v>Bond St</v>
      </c>
      <c r="X954" t="str">
        <f>IF(ISBLANK(S954),"Intersection","Non-Intersection")</f>
        <v>Intersection</v>
      </c>
      <c r="Y954" t="s">
        <v>1674</v>
      </c>
      <c r="Z954" t="str">
        <f t="shared" si="209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10"/>
        <v>40179</v>
      </c>
      <c r="D955" s="4">
        <f t="shared" si="211"/>
        <v>0.64657534246575343</v>
      </c>
      <c r="E955" s="3">
        <f t="shared" si="212"/>
        <v>2010</v>
      </c>
      <c r="F955" s="3">
        <f t="shared" si="213"/>
        <v>8</v>
      </c>
      <c r="G955" s="3">
        <f t="shared" si="214"/>
        <v>25</v>
      </c>
      <c r="H955" s="3">
        <f t="shared" si="215"/>
        <v>23</v>
      </c>
      <c r="I955" s="3">
        <f t="shared" si="216"/>
        <v>0</v>
      </c>
      <c r="J955" s="3">
        <f t="shared" si="217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18"/>
        <v>YES</v>
      </c>
      <c r="Q955" t="str">
        <f t="shared" si="219"/>
        <v>NO</v>
      </c>
      <c r="R955" t="str">
        <f t="shared" si="220"/>
        <v>NO</v>
      </c>
      <c r="S955">
        <v>12</v>
      </c>
      <c r="T955" t="s">
        <v>1745</v>
      </c>
      <c r="U955" t="str">
        <f t="shared" si="207"/>
        <v>Fernald Dr</v>
      </c>
      <c r="W955" t="str">
        <f t="shared" si="208"/>
        <v/>
      </c>
      <c r="X955" t="str">
        <f>IF(ISBLANK(S955),"Intersection","Non-Intersection")</f>
        <v>Non-Intersection</v>
      </c>
      <c r="Y955" t="s">
        <v>1746</v>
      </c>
      <c r="Z955" t="str">
        <f t="shared" si="209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10"/>
        <v>40179</v>
      </c>
      <c r="D956" s="4">
        <f t="shared" si="211"/>
        <v>0.64931506849315068</v>
      </c>
      <c r="E956" s="3">
        <f t="shared" si="212"/>
        <v>2010</v>
      </c>
      <c r="F956" s="3">
        <f t="shared" si="213"/>
        <v>8</v>
      </c>
      <c r="G956" s="3">
        <f t="shared" si="214"/>
        <v>26</v>
      </c>
      <c r="H956" s="3">
        <f t="shared" si="215"/>
        <v>12</v>
      </c>
      <c r="I956" s="3">
        <f t="shared" si="216"/>
        <v>0</v>
      </c>
      <c r="J956" s="3">
        <f t="shared" si="217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18"/>
        <v>YES</v>
      </c>
      <c r="Q956" t="str">
        <f t="shared" si="219"/>
        <v>NO</v>
      </c>
      <c r="R956" t="str">
        <f t="shared" si="220"/>
        <v>NO</v>
      </c>
      <c r="S956">
        <v>808</v>
      </c>
      <c r="T956" t="s">
        <v>203</v>
      </c>
      <c r="U956" t="str">
        <f t="shared" si="207"/>
        <v>Memorial Dr</v>
      </c>
      <c r="W956" t="str">
        <f t="shared" si="208"/>
        <v/>
      </c>
      <c r="X956" t="str">
        <f>IF(ISBLANK(S956),"Intersection","Non-Intersection")</f>
        <v>Non-Intersection</v>
      </c>
      <c r="Y956" t="s">
        <v>1748</v>
      </c>
      <c r="Z956" t="str">
        <f t="shared" si="209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10"/>
        <v>40179</v>
      </c>
      <c r="D957" s="4">
        <f t="shared" si="211"/>
        <v>0.64931506849315068</v>
      </c>
      <c r="E957" s="3">
        <f t="shared" si="212"/>
        <v>2010</v>
      </c>
      <c r="F957" s="3">
        <f t="shared" si="213"/>
        <v>8</v>
      </c>
      <c r="G957" s="3">
        <f t="shared" si="214"/>
        <v>26</v>
      </c>
      <c r="H957" s="3">
        <f t="shared" si="215"/>
        <v>14</v>
      </c>
      <c r="I957" s="3">
        <f t="shared" si="216"/>
        <v>42</v>
      </c>
      <c r="J957" s="3">
        <f t="shared" si="217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18"/>
        <v>YES</v>
      </c>
      <c r="Q957" t="str">
        <f t="shared" si="219"/>
        <v>YES</v>
      </c>
      <c r="R957" t="str">
        <f t="shared" si="220"/>
        <v>NO</v>
      </c>
      <c r="T957" t="s">
        <v>134</v>
      </c>
      <c r="U957" t="str">
        <f t="shared" si="207"/>
        <v>Quincy St</v>
      </c>
      <c r="V957" t="s">
        <v>19</v>
      </c>
      <c r="W957" t="str">
        <f t="shared" si="208"/>
        <v>Cambridge St</v>
      </c>
      <c r="X957" t="str">
        <f>IF(ISBLANK(S957),"Intersection","Non-Intersection")</f>
        <v>Intersection</v>
      </c>
      <c r="Y957" t="s">
        <v>426</v>
      </c>
      <c r="Z957" t="str">
        <f t="shared" si="209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10"/>
        <v>40179</v>
      </c>
      <c r="D958" s="4">
        <f t="shared" si="211"/>
        <v>0.64931506849315068</v>
      </c>
      <c r="E958" s="3">
        <f t="shared" si="212"/>
        <v>2010</v>
      </c>
      <c r="F958" s="3">
        <f t="shared" si="213"/>
        <v>8</v>
      </c>
      <c r="G958" s="3">
        <f t="shared" si="214"/>
        <v>26</v>
      </c>
      <c r="H958" s="3">
        <f t="shared" si="215"/>
        <v>14</v>
      </c>
      <c r="I958" s="3">
        <f t="shared" si="216"/>
        <v>49</v>
      </c>
      <c r="J958" s="3">
        <f t="shared" si="217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18"/>
        <v>YES</v>
      </c>
      <c r="Q958" t="str">
        <f t="shared" si="219"/>
        <v>NO</v>
      </c>
      <c r="R958" t="str">
        <f t="shared" si="220"/>
        <v>NO</v>
      </c>
      <c r="T958" t="s">
        <v>97</v>
      </c>
      <c r="U958" t="str">
        <f t="shared" si="207"/>
        <v>Peabody St</v>
      </c>
      <c r="V958" t="s">
        <v>14</v>
      </c>
      <c r="W958" t="str">
        <f t="shared" si="208"/>
        <v>Massachusetts Ave</v>
      </c>
      <c r="X958" t="str">
        <f>IF(ISBLANK(S958),"Intersection","Non-Intersection")</f>
        <v>Intersection</v>
      </c>
      <c r="Y958" t="s">
        <v>98</v>
      </c>
      <c r="Z958" t="str">
        <f t="shared" si="209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10"/>
        <v>40179</v>
      </c>
      <c r="D959" s="4">
        <f t="shared" si="211"/>
        <v>0.64931506849315068</v>
      </c>
      <c r="E959" s="3">
        <f t="shared" si="212"/>
        <v>2010</v>
      </c>
      <c r="F959" s="3">
        <f t="shared" si="213"/>
        <v>8</v>
      </c>
      <c r="G959" s="3">
        <f t="shared" si="214"/>
        <v>26</v>
      </c>
      <c r="H959" s="3">
        <f t="shared" si="215"/>
        <v>18</v>
      </c>
      <c r="I959" s="3">
        <f t="shared" si="216"/>
        <v>30</v>
      </c>
      <c r="J959" s="3">
        <f t="shared" si="217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18"/>
        <v>YES</v>
      </c>
      <c r="Q959" t="str">
        <f t="shared" si="219"/>
        <v>NO</v>
      </c>
      <c r="R959" t="str">
        <f t="shared" si="220"/>
        <v>NO</v>
      </c>
      <c r="S959">
        <v>38</v>
      </c>
      <c r="T959" t="s">
        <v>942</v>
      </c>
      <c r="U959" t="str">
        <f t="shared" si="207"/>
        <v>Amory St</v>
      </c>
      <c r="W959" t="str">
        <f t="shared" si="208"/>
        <v/>
      </c>
      <c r="X959" t="str">
        <f>IF(ISBLANK(S959),"Intersection","Non-Intersection")</f>
        <v>Non-Intersection</v>
      </c>
      <c r="Y959" t="s">
        <v>1750</v>
      </c>
      <c r="Z959" t="str">
        <f t="shared" si="209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10"/>
        <v>40179</v>
      </c>
      <c r="D960" s="4">
        <f t="shared" si="211"/>
        <v>0.64931506849315068</v>
      </c>
      <c r="E960" s="3">
        <f t="shared" si="212"/>
        <v>2010</v>
      </c>
      <c r="F960" s="3">
        <f t="shared" si="213"/>
        <v>8</v>
      </c>
      <c r="G960" s="3">
        <f t="shared" si="214"/>
        <v>26</v>
      </c>
      <c r="H960" s="3">
        <f t="shared" si="215"/>
        <v>21</v>
      </c>
      <c r="I960" s="3">
        <f t="shared" si="216"/>
        <v>30</v>
      </c>
      <c r="J960" s="3">
        <f t="shared" si="217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18"/>
        <v>YES</v>
      </c>
      <c r="Q960" t="str">
        <f t="shared" si="219"/>
        <v>NO</v>
      </c>
      <c r="R960" t="str">
        <f t="shared" si="220"/>
        <v>NO</v>
      </c>
      <c r="S960">
        <v>36</v>
      </c>
      <c r="T960" t="s">
        <v>1752</v>
      </c>
      <c r="U960" t="str">
        <f t="shared" si="207"/>
        <v>Cambridgepark Dr</v>
      </c>
      <c r="W960" t="str">
        <f t="shared" si="208"/>
        <v/>
      </c>
      <c r="X960" t="str">
        <f>IF(ISBLANK(S960),"Intersection","Non-Intersection")</f>
        <v>Non-Intersection</v>
      </c>
      <c r="Y960" t="s">
        <v>1753</v>
      </c>
      <c r="Z960" t="str">
        <f t="shared" si="209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10"/>
        <v>40179</v>
      </c>
      <c r="D961" s="4">
        <f t="shared" si="211"/>
        <v>0.64931506849315068</v>
      </c>
      <c r="E961" s="3">
        <f t="shared" si="212"/>
        <v>2010</v>
      </c>
      <c r="F961" s="3">
        <f t="shared" si="213"/>
        <v>8</v>
      </c>
      <c r="G961" s="3">
        <f t="shared" si="214"/>
        <v>26</v>
      </c>
      <c r="H961" s="3">
        <f t="shared" si="215"/>
        <v>14</v>
      </c>
      <c r="I961" s="3">
        <f t="shared" si="216"/>
        <v>49</v>
      </c>
      <c r="J961" s="3">
        <f t="shared" si="217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18"/>
        <v>YES</v>
      </c>
      <c r="Q961" t="str">
        <f t="shared" si="219"/>
        <v>YES</v>
      </c>
      <c r="R961" t="str">
        <f t="shared" si="220"/>
        <v>NO</v>
      </c>
      <c r="T961" t="s">
        <v>104</v>
      </c>
      <c r="U961" t="str">
        <f t="shared" si="207"/>
        <v>Inman St</v>
      </c>
      <c r="V961" t="s">
        <v>1755</v>
      </c>
      <c r="W961" t="str">
        <f t="shared" si="208"/>
        <v>West St</v>
      </c>
      <c r="X961" t="str">
        <f>IF(ISBLANK(S961),"Intersection","Non-Intersection")</f>
        <v>Intersection</v>
      </c>
      <c r="Y961" t="s">
        <v>1756</v>
      </c>
      <c r="Z961" t="str">
        <f t="shared" si="209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10"/>
        <v>40179</v>
      </c>
      <c r="D962" s="4">
        <f t="shared" si="211"/>
        <v>0.65205479452054793</v>
      </c>
      <c r="E962" s="3">
        <f t="shared" si="212"/>
        <v>2010</v>
      </c>
      <c r="F962" s="3">
        <f t="shared" si="213"/>
        <v>8</v>
      </c>
      <c r="G962" s="3">
        <f t="shared" si="214"/>
        <v>27</v>
      </c>
      <c r="H962" s="3">
        <f t="shared" si="215"/>
        <v>0</v>
      </c>
      <c r="I962" s="3">
        <f t="shared" si="216"/>
        <v>14</v>
      </c>
      <c r="J962" s="3">
        <f t="shared" si="217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18"/>
        <v>YES</v>
      </c>
      <c r="Q962" t="str">
        <f t="shared" si="219"/>
        <v>NO</v>
      </c>
      <c r="R962" t="str">
        <f t="shared" si="220"/>
        <v>NO</v>
      </c>
      <c r="S962">
        <v>575</v>
      </c>
      <c r="T962" t="s">
        <v>203</v>
      </c>
      <c r="U962" t="str">
        <f t="shared" si="207"/>
        <v>Memorial Dr</v>
      </c>
      <c r="W962" t="str">
        <f t="shared" si="208"/>
        <v/>
      </c>
      <c r="X962" t="str">
        <f>IF(ISBLANK(S962),"Intersection","Non-Intersection")</f>
        <v>Non-Intersection</v>
      </c>
      <c r="Y962" t="s">
        <v>347</v>
      </c>
      <c r="Z962" t="str">
        <f t="shared" si="209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10"/>
        <v>40179</v>
      </c>
      <c r="D963" s="4">
        <f t="shared" si="211"/>
        <v>0.65205479452054793</v>
      </c>
      <c r="E963" s="3">
        <f t="shared" si="212"/>
        <v>2010</v>
      </c>
      <c r="F963" s="3">
        <f t="shared" si="213"/>
        <v>8</v>
      </c>
      <c r="G963" s="3">
        <f t="shared" si="214"/>
        <v>27</v>
      </c>
      <c r="H963" s="3">
        <f t="shared" si="215"/>
        <v>9</v>
      </c>
      <c r="I963" s="3">
        <f t="shared" si="216"/>
        <v>30</v>
      </c>
      <c r="J963" s="3">
        <f t="shared" si="217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18"/>
        <v>YES</v>
      </c>
      <c r="Q963" t="str">
        <f t="shared" si="219"/>
        <v>NO</v>
      </c>
      <c r="R963" t="str">
        <f t="shared" si="220"/>
        <v>NO</v>
      </c>
      <c r="T963" t="s">
        <v>61</v>
      </c>
      <c r="U963" t="str">
        <f t="shared" ref="U963:U1026" si="221">TRIM(PROPER(T963))</f>
        <v>First St</v>
      </c>
      <c r="V963" t="s">
        <v>60</v>
      </c>
      <c r="W963" t="str">
        <f t="shared" ref="W963:W1026" si="222">TRIM(PROPER(V963))</f>
        <v>Rogers St</v>
      </c>
      <c r="X963" t="str">
        <f>IF(ISBLANK(S963),"Intersection","Non-Intersection")</f>
        <v>Intersection</v>
      </c>
      <c r="Y963" t="s">
        <v>1758</v>
      </c>
      <c r="Z963" t="str">
        <f t="shared" ref="Z963:Z1026" si="223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10"/>
        <v>40179</v>
      </c>
      <c r="D964" s="4">
        <f t="shared" si="211"/>
        <v>0.65205479452054793</v>
      </c>
      <c r="E964" s="3">
        <f t="shared" si="212"/>
        <v>2010</v>
      </c>
      <c r="F964" s="3">
        <f t="shared" si="213"/>
        <v>8</v>
      </c>
      <c r="G964" s="3">
        <f t="shared" si="214"/>
        <v>27</v>
      </c>
      <c r="H964" s="3">
        <f t="shared" si="215"/>
        <v>12</v>
      </c>
      <c r="I964" s="3">
        <f t="shared" si="216"/>
        <v>7</v>
      </c>
      <c r="J964" s="3">
        <f t="shared" si="217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18"/>
        <v>YES</v>
      </c>
      <c r="Q964" t="str">
        <f t="shared" si="219"/>
        <v>NO</v>
      </c>
      <c r="R964" t="str">
        <f t="shared" si="220"/>
        <v>NO</v>
      </c>
      <c r="T964" t="s">
        <v>74</v>
      </c>
      <c r="U964" t="str">
        <f t="shared" si="221"/>
        <v>Hampshire St</v>
      </c>
      <c r="V964" t="s">
        <v>942</v>
      </c>
      <c r="W964" t="str">
        <f t="shared" si="222"/>
        <v>Amory St</v>
      </c>
      <c r="X964" t="str">
        <f>IF(ISBLANK(S964),"Intersection","Non-Intersection")</f>
        <v>Intersection</v>
      </c>
      <c r="Y964" t="s">
        <v>967</v>
      </c>
      <c r="Z964" t="str">
        <f t="shared" si="223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10"/>
        <v>40179</v>
      </c>
      <c r="D965" s="4">
        <f t="shared" si="211"/>
        <v>0.65205479452054793</v>
      </c>
      <c r="E965" s="3">
        <f t="shared" si="212"/>
        <v>2010</v>
      </c>
      <c r="F965" s="3">
        <f t="shared" si="213"/>
        <v>8</v>
      </c>
      <c r="G965" s="3">
        <f t="shared" si="214"/>
        <v>27</v>
      </c>
      <c r="H965" s="3">
        <f t="shared" si="215"/>
        <v>15</v>
      </c>
      <c r="I965" s="3">
        <f t="shared" si="216"/>
        <v>30</v>
      </c>
      <c r="J965" s="3">
        <f t="shared" si="217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18"/>
        <v>YES</v>
      </c>
      <c r="Q965" t="str">
        <f t="shared" si="219"/>
        <v>YES</v>
      </c>
      <c r="R965" t="str">
        <f t="shared" si="220"/>
        <v>NO</v>
      </c>
      <c r="T965" t="s">
        <v>199</v>
      </c>
      <c r="U965" t="str">
        <f t="shared" si="221"/>
        <v>Brattle St</v>
      </c>
      <c r="V965" t="s">
        <v>198</v>
      </c>
      <c r="W965" t="str">
        <f t="shared" si="222"/>
        <v>Mount Auburn St</v>
      </c>
      <c r="X965" t="str">
        <f>IF(ISBLANK(S965),"Intersection","Non-Intersection")</f>
        <v>Intersection</v>
      </c>
      <c r="Y965" t="s">
        <v>1759</v>
      </c>
      <c r="Z965" t="str">
        <f t="shared" si="223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10"/>
        <v>40179</v>
      </c>
      <c r="D966" s="4">
        <f t="shared" si="211"/>
        <v>0.65205479452054793</v>
      </c>
      <c r="E966" s="3">
        <f t="shared" si="212"/>
        <v>2010</v>
      </c>
      <c r="F966" s="3">
        <f t="shared" si="213"/>
        <v>8</v>
      </c>
      <c r="G966" s="3">
        <f t="shared" si="214"/>
        <v>27</v>
      </c>
      <c r="H966" s="3">
        <f t="shared" si="215"/>
        <v>16</v>
      </c>
      <c r="I966" s="3">
        <f t="shared" si="216"/>
        <v>5</v>
      </c>
      <c r="J966" s="3">
        <f t="shared" si="217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18"/>
        <v>YES</v>
      </c>
      <c r="Q966" t="str">
        <f t="shared" si="219"/>
        <v>YES</v>
      </c>
      <c r="R966" t="str">
        <f t="shared" si="220"/>
        <v>NO</v>
      </c>
      <c r="T966" t="s">
        <v>105</v>
      </c>
      <c r="U966" t="str">
        <f t="shared" si="221"/>
        <v>Broadway</v>
      </c>
      <c r="V966" t="s">
        <v>396</v>
      </c>
      <c r="W966" t="str">
        <f t="shared" si="222"/>
        <v>Prescott St</v>
      </c>
      <c r="X966" t="str">
        <f>IF(ISBLANK(S966),"Intersection","Non-Intersection")</f>
        <v>Intersection</v>
      </c>
      <c r="Y966" t="s">
        <v>397</v>
      </c>
      <c r="Z966" t="str">
        <f t="shared" si="223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10"/>
        <v>40179</v>
      </c>
      <c r="D967" s="4">
        <f t="shared" si="211"/>
        <v>0.65205479452054793</v>
      </c>
      <c r="E967" s="3">
        <f t="shared" si="212"/>
        <v>2010</v>
      </c>
      <c r="F967" s="3">
        <f t="shared" si="213"/>
        <v>8</v>
      </c>
      <c r="G967" s="3">
        <f t="shared" si="214"/>
        <v>27</v>
      </c>
      <c r="H967" s="3">
        <f t="shared" si="215"/>
        <v>18</v>
      </c>
      <c r="I967" s="3">
        <f t="shared" si="216"/>
        <v>0</v>
      </c>
      <c r="J967" s="3">
        <f t="shared" si="217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18"/>
        <v>YES</v>
      </c>
      <c r="Q967" t="str">
        <f t="shared" si="219"/>
        <v>NO</v>
      </c>
      <c r="R967" t="str">
        <f t="shared" si="220"/>
        <v>NO</v>
      </c>
      <c r="T967" t="s">
        <v>60</v>
      </c>
      <c r="U967" t="str">
        <f t="shared" si="221"/>
        <v>Rogers St</v>
      </c>
      <c r="W967" t="str">
        <f t="shared" si="222"/>
        <v/>
      </c>
      <c r="X967" t="str">
        <f>IF(ISBLANK(S967),"Intersection","Non-Intersection")</f>
        <v>Intersection</v>
      </c>
      <c r="Y967" t="s">
        <v>1760</v>
      </c>
      <c r="Z967" t="str">
        <f t="shared" si="223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10"/>
        <v>40179</v>
      </c>
      <c r="D968" s="4">
        <f t="shared" si="211"/>
        <v>0.65479452054794518</v>
      </c>
      <c r="E968" s="3">
        <f t="shared" si="212"/>
        <v>2010</v>
      </c>
      <c r="F968" s="3">
        <f t="shared" si="213"/>
        <v>8</v>
      </c>
      <c r="G968" s="3">
        <f t="shared" si="214"/>
        <v>28</v>
      </c>
      <c r="H968" s="3">
        <f t="shared" si="215"/>
        <v>12</v>
      </c>
      <c r="I968" s="3">
        <f t="shared" si="216"/>
        <v>0</v>
      </c>
      <c r="J968" s="3">
        <f t="shared" si="217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18"/>
        <v>YES</v>
      </c>
      <c r="Q968" t="str">
        <f t="shared" si="219"/>
        <v>NO</v>
      </c>
      <c r="R968" t="str">
        <f t="shared" si="220"/>
        <v>NO</v>
      </c>
      <c r="T968" t="s">
        <v>316</v>
      </c>
      <c r="U968" t="str">
        <f t="shared" si="221"/>
        <v>Bishop Allen Dr</v>
      </c>
      <c r="W968" t="str">
        <f t="shared" si="222"/>
        <v/>
      </c>
      <c r="X968" t="str">
        <f>IF(ISBLANK(S968),"Intersection","Non-Intersection")</f>
        <v>Intersection</v>
      </c>
      <c r="Y968" t="s">
        <v>1374</v>
      </c>
      <c r="Z968" t="str">
        <f t="shared" si="223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10"/>
        <v>40179</v>
      </c>
      <c r="D969" s="4">
        <f t="shared" si="211"/>
        <v>0.65753424657534243</v>
      </c>
      <c r="E969" s="3">
        <f t="shared" si="212"/>
        <v>2010</v>
      </c>
      <c r="F969" s="3">
        <f t="shared" si="213"/>
        <v>8</v>
      </c>
      <c r="G969" s="3">
        <f t="shared" si="214"/>
        <v>29</v>
      </c>
      <c r="H969" s="3">
        <f t="shared" si="215"/>
        <v>17</v>
      </c>
      <c r="I969" s="3">
        <f t="shared" si="216"/>
        <v>32</v>
      </c>
      <c r="J969" s="3">
        <f t="shared" si="217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18"/>
        <v>YES</v>
      </c>
      <c r="Q969" t="str">
        <f t="shared" si="219"/>
        <v>NO</v>
      </c>
      <c r="R969" t="str">
        <f t="shared" si="220"/>
        <v>NO</v>
      </c>
      <c r="T969" t="s">
        <v>252</v>
      </c>
      <c r="U969" t="str">
        <f t="shared" si="221"/>
        <v>Walden St</v>
      </c>
      <c r="V969" t="s">
        <v>155</v>
      </c>
      <c r="W969" t="str">
        <f t="shared" si="222"/>
        <v>Richdale Ave</v>
      </c>
      <c r="X969" t="str">
        <f>IF(ISBLANK(S969),"Intersection","Non-Intersection")</f>
        <v>Intersection</v>
      </c>
      <c r="Y969" t="s">
        <v>1763</v>
      </c>
      <c r="Z969" t="str">
        <f t="shared" si="223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10"/>
        <v>40179</v>
      </c>
      <c r="D970" s="4">
        <f t="shared" si="211"/>
        <v>0.65753424657534243</v>
      </c>
      <c r="E970" s="3">
        <f t="shared" si="212"/>
        <v>2010</v>
      </c>
      <c r="F970" s="3">
        <f t="shared" si="213"/>
        <v>8</v>
      </c>
      <c r="G970" s="3">
        <f t="shared" si="214"/>
        <v>29</v>
      </c>
      <c r="H970" s="3">
        <f t="shared" si="215"/>
        <v>10</v>
      </c>
      <c r="I970" s="3">
        <f t="shared" si="216"/>
        <v>56</v>
      </c>
      <c r="J970" s="3">
        <f t="shared" si="217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18"/>
        <v>YES</v>
      </c>
      <c r="Q970" t="str">
        <f t="shared" si="219"/>
        <v>NO</v>
      </c>
      <c r="R970" t="str">
        <f t="shared" si="220"/>
        <v>NO</v>
      </c>
      <c r="T970" t="s">
        <v>209</v>
      </c>
      <c r="U970" t="str">
        <f t="shared" si="221"/>
        <v>Binney St</v>
      </c>
      <c r="V970" t="s">
        <v>61</v>
      </c>
      <c r="W970" t="str">
        <f t="shared" si="222"/>
        <v>First St</v>
      </c>
      <c r="X970" t="str">
        <f>IF(ISBLANK(S970),"Intersection","Non-Intersection")</f>
        <v>Intersection</v>
      </c>
      <c r="Y970" t="s">
        <v>579</v>
      </c>
      <c r="Z970" t="str">
        <f t="shared" si="223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10"/>
        <v>40179</v>
      </c>
      <c r="D971" s="4">
        <f t="shared" si="211"/>
        <v>0.65753424657534243</v>
      </c>
      <c r="E971" s="3">
        <f t="shared" si="212"/>
        <v>2010</v>
      </c>
      <c r="F971" s="3">
        <f t="shared" si="213"/>
        <v>8</v>
      </c>
      <c r="G971" s="3">
        <f t="shared" si="214"/>
        <v>29</v>
      </c>
      <c r="H971" s="3">
        <f t="shared" si="215"/>
        <v>10</v>
      </c>
      <c r="I971" s="3">
        <f t="shared" si="216"/>
        <v>59</v>
      </c>
      <c r="J971" s="3">
        <f t="shared" si="217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18"/>
        <v>YES</v>
      </c>
      <c r="Q971" t="str">
        <f t="shared" si="219"/>
        <v>NO</v>
      </c>
      <c r="R971" t="str">
        <f t="shared" si="220"/>
        <v>NO</v>
      </c>
      <c r="T971" t="s">
        <v>1765</v>
      </c>
      <c r="U971" t="str">
        <f t="shared" si="221"/>
        <v>Cambridgepark Pl</v>
      </c>
      <c r="V971" t="s">
        <v>1752</v>
      </c>
      <c r="W971" t="str">
        <f t="shared" si="222"/>
        <v>Cambridgepark Dr</v>
      </c>
      <c r="X971" t="str">
        <f>IF(ISBLANK(S971),"Intersection","Non-Intersection")</f>
        <v>Intersection</v>
      </c>
      <c r="Y971" t="s">
        <v>1766</v>
      </c>
      <c r="Z971" t="str">
        <f t="shared" si="223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10"/>
        <v>40179</v>
      </c>
      <c r="D972" s="4">
        <f t="shared" si="211"/>
        <v>0.65753424657534243</v>
      </c>
      <c r="E972" s="3">
        <f t="shared" si="212"/>
        <v>2010</v>
      </c>
      <c r="F972" s="3">
        <f t="shared" si="213"/>
        <v>8</v>
      </c>
      <c r="G972" s="3">
        <f t="shared" si="214"/>
        <v>29</v>
      </c>
      <c r="H972" s="3">
        <f t="shared" si="215"/>
        <v>12</v>
      </c>
      <c r="I972" s="3">
        <f t="shared" si="216"/>
        <v>0</v>
      </c>
      <c r="J972" s="3">
        <f t="shared" si="217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18"/>
        <v>YES</v>
      </c>
      <c r="Q972" t="str">
        <f t="shared" si="219"/>
        <v>NO</v>
      </c>
      <c r="R972" t="str">
        <f t="shared" si="220"/>
        <v>NO</v>
      </c>
      <c r="S972">
        <v>54</v>
      </c>
      <c r="T972" t="s">
        <v>299</v>
      </c>
      <c r="U972" t="str">
        <f t="shared" si="221"/>
        <v>Buckingham St</v>
      </c>
      <c r="W972" t="str">
        <f t="shared" si="222"/>
        <v/>
      </c>
      <c r="X972" t="str">
        <f>IF(ISBLANK(S972),"Intersection","Non-Intersection")</f>
        <v>Non-Intersection</v>
      </c>
      <c r="Y972" t="s">
        <v>1768</v>
      </c>
      <c r="Z972" t="str">
        <f t="shared" si="223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10"/>
        <v>40179</v>
      </c>
      <c r="D973" s="4">
        <f t="shared" si="211"/>
        <v>0.66027397260273968</v>
      </c>
      <c r="E973" s="3">
        <f t="shared" si="212"/>
        <v>2010</v>
      </c>
      <c r="F973" s="3">
        <f t="shared" si="213"/>
        <v>8</v>
      </c>
      <c r="G973" s="3">
        <f t="shared" si="214"/>
        <v>30</v>
      </c>
      <c r="H973" s="3">
        <f t="shared" si="215"/>
        <v>8</v>
      </c>
      <c r="I973" s="3">
        <f t="shared" si="216"/>
        <v>45</v>
      </c>
      <c r="J973" s="3">
        <f t="shared" si="217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18"/>
        <v>YES</v>
      </c>
      <c r="Q973" t="str">
        <f t="shared" si="219"/>
        <v>NO</v>
      </c>
      <c r="R973" t="str">
        <f t="shared" si="220"/>
        <v>NO</v>
      </c>
      <c r="S973">
        <v>58</v>
      </c>
      <c r="T973" t="s">
        <v>178</v>
      </c>
      <c r="U973" t="str">
        <f t="shared" si="221"/>
        <v>Pleasant St</v>
      </c>
      <c r="V973" t="s">
        <v>184</v>
      </c>
      <c r="W973" t="str">
        <f t="shared" si="222"/>
        <v>Upton St</v>
      </c>
      <c r="X973" t="str">
        <f>IF(ISBLANK(S973),"Intersection","Non-Intersection")</f>
        <v>Non-Intersection</v>
      </c>
      <c r="Y973" t="s">
        <v>1770</v>
      </c>
      <c r="Z973" t="str">
        <f t="shared" si="223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10"/>
        <v>40179</v>
      </c>
      <c r="D974" s="4">
        <f t="shared" si="211"/>
        <v>0.66027397260273968</v>
      </c>
      <c r="E974" s="3">
        <f t="shared" si="212"/>
        <v>2010</v>
      </c>
      <c r="F974" s="3">
        <f t="shared" si="213"/>
        <v>8</v>
      </c>
      <c r="G974" s="3">
        <f t="shared" si="214"/>
        <v>30</v>
      </c>
      <c r="H974" s="3">
        <f t="shared" si="215"/>
        <v>12</v>
      </c>
      <c r="I974" s="3">
        <f t="shared" si="216"/>
        <v>30</v>
      </c>
      <c r="J974" s="3">
        <f t="shared" si="217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18"/>
        <v>YES</v>
      </c>
      <c r="Q974" t="str">
        <f t="shared" si="219"/>
        <v>NO</v>
      </c>
      <c r="R974" t="str">
        <f t="shared" si="220"/>
        <v>NO</v>
      </c>
      <c r="T974" t="s">
        <v>28</v>
      </c>
      <c r="U974" t="str">
        <f t="shared" si="221"/>
        <v>Howard St</v>
      </c>
      <c r="V974" t="s">
        <v>27</v>
      </c>
      <c r="W974" t="str">
        <f t="shared" si="222"/>
        <v>Western Ave</v>
      </c>
      <c r="X974" t="str">
        <f>IF(ISBLANK(S974),"Intersection","Non-Intersection")</f>
        <v>Intersection</v>
      </c>
      <c r="Y974" t="s">
        <v>1772</v>
      </c>
      <c r="Z974" t="str">
        <f t="shared" si="223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10"/>
        <v>40179</v>
      </c>
      <c r="D975" s="4">
        <f t="shared" si="211"/>
        <v>0.66027397260273968</v>
      </c>
      <c r="E975" s="3">
        <f t="shared" si="212"/>
        <v>2010</v>
      </c>
      <c r="F975" s="3">
        <f t="shared" si="213"/>
        <v>8</v>
      </c>
      <c r="G975" s="3">
        <f t="shared" si="214"/>
        <v>30</v>
      </c>
      <c r="H975" s="3">
        <f t="shared" si="215"/>
        <v>15</v>
      </c>
      <c r="I975" s="3">
        <f t="shared" si="216"/>
        <v>14</v>
      </c>
      <c r="J975" s="3">
        <f t="shared" si="217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18"/>
        <v>YES</v>
      </c>
      <c r="Q975" t="str">
        <f t="shared" si="219"/>
        <v>YES</v>
      </c>
      <c r="R975" t="str">
        <f t="shared" si="220"/>
        <v>NO</v>
      </c>
      <c r="S975">
        <v>2000</v>
      </c>
      <c r="T975" t="s">
        <v>14</v>
      </c>
      <c r="U975" t="str">
        <f t="shared" si="221"/>
        <v>Massachusetts Ave</v>
      </c>
      <c r="W975" t="str">
        <f t="shared" si="222"/>
        <v/>
      </c>
      <c r="X975" t="str">
        <f>IF(ISBLANK(S975),"Intersection","Non-Intersection")</f>
        <v>Non-Intersection</v>
      </c>
      <c r="Y975" t="s">
        <v>1773</v>
      </c>
      <c r="Z975" t="str">
        <f t="shared" si="223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10"/>
        <v>40179</v>
      </c>
      <c r="D976" s="4">
        <f t="shared" si="211"/>
        <v>0.66027397260273968</v>
      </c>
      <c r="E976" s="3">
        <f t="shared" si="212"/>
        <v>2010</v>
      </c>
      <c r="F976" s="3">
        <f t="shared" si="213"/>
        <v>8</v>
      </c>
      <c r="G976" s="3">
        <f t="shared" si="214"/>
        <v>30</v>
      </c>
      <c r="H976" s="3">
        <f t="shared" si="215"/>
        <v>18</v>
      </c>
      <c r="I976" s="3">
        <f t="shared" si="216"/>
        <v>59</v>
      </c>
      <c r="J976" s="3">
        <f t="shared" si="217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18"/>
        <v>YES</v>
      </c>
      <c r="Q976" t="str">
        <f t="shared" si="219"/>
        <v>NO</v>
      </c>
      <c r="R976" t="str">
        <f t="shared" si="220"/>
        <v>NO</v>
      </c>
      <c r="S976">
        <v>20</v>
      </c>
      <c r="T976" t="s">
        <v>1196</v>
      </c>
      <c r="U976" t="str">
        <f t="shared" si="221"/>
        <v>Hubbard Ave</v>
      </c>
      <c r="W976" t="str">
        <f t="shared" si="222"/>
        <v/>
      </c>
      <c r="X976" t="str">
        <f>IF(ISBLANK(S976),"Intersection","Non-Intersection")</f>
        <v>Non-Intersection</v>
      </c>
      <c r="Y976" t="s">
        <v>1775</v>
      </c>
      <c r="Z976" t="str">
        <f t="shared" si="223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24">EOMONTH(B977,MONTH(B977)*-1)+1</f>
        <v>40179</v>
      </c>
      <c r="D977" s="4">
        <f t="shared" ref="D977:D1040" si="225">YEARFRAC(C977,B977,1)</f>
        <v>0.66027397260273968</v>
      </c>
      <c r="E977" s="3">
        <f t="shared" ref="E977:E1040" si="226">YEAR(B977)</f>
        <v>2010</v>
      </c>
      <c r="F977" s="3">
        <f t="shared" ref="F977:F1040" si="227">MONTH(B977)</f>
        <v>8</v>
      </c>
      <c r="G977" s="3">
        <f t="shared" ref="G977:G1040" si="228">DAY(B977)</f>
        <v>30</v>
      </c>
      <c r="H977" s="3">
        <f t="shared" ref="H977:H1040" si="229">HOUR(B977)</f>
        <v>23</v>
      </c>
      <c r="I977" s="3">
        <f t="shared" ref="I977:I1040" si="230">MINUTE(B977)</f>
        <v>3</v>
      </c>
      <c r="J977" s="3">
        <f t="shared" ref="J977:J1040" si="231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32">IF(OR(N977="Auto",O977="Auto"),"YES",IF(OR(N977="Taxi",O977="Taxi"),"YES",IF(OR(N977="Van",O977="Van"),"YES",IF(OR(N977="Truck",O977="Truck"),"YES","NO"))))</f>
        <v>YES</v>
      </c>
      <c r="Q977" t="str">
        <f t="shared" ref="Q977:Q1040" si="233">IF(OR(N977="Bicycle",O977="Bicycle"),"YES","NO")</f>
        <v>YES</v>
      </c>
      <c r="R977" t="str">
        <f t="shared" ref="R977:R1040" si="234">IF(OR(N977="Pedestrian",O977="Pedestrian"),"YES","NO")</f>
        <v>NO</v>
      </c>
      <c r="T977" t="s">
        <v>14</v>
      </c>
      <c r="U977" t="str">
        <f t="shared" si="221"/>
        <v>Massachusetts Ave</v>
      </c>
      <c r="V977" t="s">
        <v>119</v>
      </c>
      <c r="W977" t="str">
        <f t="shared" si="222"/>
        <v>Albany St</v>
      </c>
      <c r="X977" t="str">
        <f>IF(ISBLANK(S977),"Intersection","Non-Intersection")</f>
        <v>Intersection</v>
      </c>
      <c r="Y977" t="s">
        <v>247</v>
      </c>
      <c r="Z977" t="str">
        <f t="shared" si="223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24"/>
        <v>40179</v>
      </c>
      <c r="D978" s="4">
        <f t="shared" si="225"/>
        <v>0.66027397260273968</v>
      </c>
      <c r="E978" s="3">
        <f t="shared" si="226"/>
        <v>2010</v>
      </c>
      <c r="F978" s="3">
        <f t="shared" si="227"/>
        <v>8</v>
      </c>
      <c r="G978" s="3">
        <f t="shared" si="228"/>
        <v>30</v>
      </c>
      <c r="H978" s="3">
        <f t="shared" si="229"/>
        <v>15</v>
      </c>
      <c r="I978" s="3">
        <f t="shared" si="230"/>
        <v>0</v>
      </c>
      <c r="J978" s="3">
        <f t="shared" si="231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32"/>
        <v>YES</v>
      </c>
      <c r="Q978" t="str">
        <f t="shared" si="233"/>
        <v>NO</v>
      </c>
      <c r="R978" t="str">
        <f t="shared" si="234"/>
        <v>NO</v>
      </c>
      <c r="T978" t="s">
        <v>142</v>
      </c>
      <c r="U978" t="str">
        <f t="shared" si="221"/>
        <v>Huron Ave</v>
      </c>
      <c r="V978" t="s">
        <v>1777</v>
      </c>
      <c r="W978" t="str">
        <f t="shared" si="222"/>
        <v>Larch Rd</v>
      </c>
      <c r="X978" t="str">
        <f>IF(ISBLANK(S978),"Intersection","Non-Intersection")</f>
        <v>Intersection</v>
      </c>
      <c r="Y978" t="s">
        <v>1778</v>
      </c>
      <c r="Z978" t="str">
        <f t="shared" si="223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24"/>
        <v>40179</v>
      </c>
      <c r="D979" s="4">
        <f t="shared" si="225"/>
        <v>0.66027397260273968</v>
      </c>
      <c r="E979" s="3">
        <f t="shared" si="226"/>
        <v>2010</v>
      </c>
      <c r="F979" s="3">
        <f t="shared" si="227"/>
        <v>8</v>
      </c>
      <c r="G979" s="3">
        <f t="shared" si="228"/>
        <v>30</v>
      </c>
      <c r="H979" s="3">
        <f t="shared" si="229"/>
        <v>6</v>
      </c>
      <c r="I979" s="3">
        <f t="shared" si="230"/>
        <v>59</v>
      </c>
      <c r="J979" s="3">
        <f t="shared" si="231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32"/>
        <v>YES</v>
      </c>
      <c r="Q979" t="str">
        <f t="shared" si="233"/>
        <v>NO</v>
      </c>
      <c r="R979" t="str">
        <f t="shared" si="234"/>
        <v>NO</v>
      </c>
      <c r="S979">
        <v>14</v>
      </c>
      <c r="T979" t="s">
        <v>351</v>
      </c>
      <c r="U979" t="str">
        <f t="shared" si="221"/>
        <v>Cambridge Ctr</v>
      </c>
      <c r="W979" t="str">
        <f t="shared" si="222"/>
        <v/>
      </c>
      <c r="X979" t="str">
        <f>IF(ISBLANK(S979),"Intersection","Non-Intersection")</f>
        <v>Non-Intersection</v>
      </c>
      <c r="Y979" t="s">
        <v>1655</v>
      </c>
      <c r="Z979" t="str">
        <f t="shared" si="223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24"/>
        <v>40179</v>
      </c>
      <c r="D980" s="4">
        <f t="shared" si="225"/>
        <v>0.66301369863013704</v>
      </c>
      <c r="E980" s="3">
        <f t="shared" si="226"/>
        <v>2010</v>
      </c>
      <c r="F980" s="3">
        <f t="shared" si="227"/>
        <v>8</v>
      </c>
      <c r="G980" s="3">
        <f t="shared" si="228"/>
        <v>31</v>
      </c>
      <c r="H980" s="3">
        <f t="shared" si="229"/>
        <v>9</v>
      </c>
      <c r="I980" s="3">
        <f t="shared" si="230"/>
        <v>45</v>
      </c>
      <c r="J980" s="3">
        <f t="shared" si="231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32"/>
        <v>YES</v>
      </c>
      <c r="Q980" t="str">
        <f t="shared" si="233"/>
        <v>NO</v>
      </c>
      <c r="R980" t="str">
        <f t="shared" si="234"/>
        <v>NO</v>
      </c>
      <c r="T980" t="s">
        <v>980</v>
      </c>
      <c r="U980" t="str">
        <f t="shared" si="221"/>
        <v>Lexington Ave</v>
      </c>
      <c r="V980" t="s">
        <v>1780</v>
      </c>
      <c r="W980" t="str">
        <f t="shared" si="222"/>
        <v>Worthington St</v>
      </c>
      <c r="X980" t="str">
        <f>IF(ISBLANK(S980),"Intersection","Non-Intersection")</f>
        <v>Intersection</v>
      </c>
      <c r="Y980" t="s">
        <v>1781</v>
      </c>
      <c r="Z980" t="str">
        <f t="shared" si="223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24"/>
        <v>40179</v>
      </c>
      <c r="D981" s="4">
        <f t="shared" si="225"/>
        <v>0.66301369863013704</v>
      </c>
      <c r="E981" s="3">
        <f t="shared" si="226"/>
        <v>2010</v>
      </c>
      <c r="F981" s="3">
        <f t="shared" si="227"/>
        <v>8</v>
      </c>
      <c r="G981" s="3">
        <f t="shared" si="228"/>
        <v>31</v>
      </c>
      <c r="H981" s="3">
        <f t="shared" si="229"/>
        <v>12</v>
      </c>
      <c r="I981" s="3">
        <f t="shared" si="230"/>
        <v>59</v>
      </c>
      <c r="J981" s="3">
        <f t="shared" si="231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32"/>
        <v>NO</v>
      </c>
      <c r="Q981" t="str">
        <f t="shared" si="233"/>
        <v>NO</v>
      </c>
      <c r="R981" t="str">
        <f t="shared" si="234"/>
        <v>NO</v>
      </c>
      <c r="S981">
        <v>381</v>
      </c>
      <c r="T981" t="s">
        <v>252</v>
      </c>
      <c r="U981" t="str">
        <f t="shared" si="221"/>
        <v>Walden St</v>
      </c>
      <c r="W981" t="str">
        <f t="shared" si="222"/>
        <v/>
      </c>
      <c r="X981" t="str">
        <f>IF(ISBLANK(S981),"Intersection","Non-Intersection")</f>
        <v>Non-Intersection</v>
      </c>
      <c r="Y981" t="s">
        <v>1783</v>
      </c>
      <c r="Z981" t="str">
        <f t="shared" si="223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24"/>
        <v>40179</v>
      </c>
      <c r="D982" s="4">
        <f t="shared" si="225"/>
        <v>0.66301369863013704</v>
      </c>
      <c r="E982" s="3">
        <f t="shared" si="226"/>
        <v>2010</v>
      </c>
      <c r="F982" s="3">
        <f t="shared" si="227"/>
        <v>8</v>
      </c>
      <c r="G982" s="3">
        <f t="shared" si="228"/>
        <v>31</v>
      </c>
      <c r="H982" s="3">
        <f t="shared" si="229"/>
        <v>16</v>
      </c>
      <c r="I982" s="3">
        <f t="shared" si="230"/>
        <v>9</v>
      </c>
      <c r="J982" s="3">
        <f t="shared" si="231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32"/>
        <v>YES</v>
      </c>
      <c r="Q982" t="str">
        <f t="shared" si="233"/>
        <v>YES</v>
      </c>
      <c r="R982" t="str">
        <f t="shared" si="234"/>
        <v>NO</v>
      </c>
      <c r="T982" t="s">
        <v>19</v>
      </c>
      <c r="U982" t="str">
        <f t="shared" si="221"/>
        <v>Cambridge St</v>
      </c>
      <c r="V982" t="s">
        <v>971</v>
      </c>
      <c r="W982" t="str">
        <f t="shared" si="222"/>
        <v>Ellsworth Ave</v>
      </c>
      <c r="X982" t="str">
        <f>IF(ISBLANK(S982),"Intersection","Non-Intersection")</f>
        <v>Intersection</v>
      </c>
      <c r="Y982" t="s">
        <v>1785</v>
      </c>
      <c r="Z982" t="str">
        <f t="shared" si="223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24"/>
        <v>40179</v>
      </c>
      <c r="D983" s="4">
        <f t="shared" si="225"/>
        <v>0.66301369863013704</v>
      </c>
      <c r="E983" s="3">
        <f t="shared" si="226"/>
        <v>2010</v>
      </c>
      <c r="F983" s="3">
        <f t="shared" si="227"/>
        <v>8</v>
      </c>
      <c r="G983" s="3">
        <f t="shared" si="228"/>
        <v>31</v>
      </c>
      <c r="H983" s="3">
        <f t="shared" si="229"/>
        <v>19</v>
      </c>
      <c r="I983" s="3">
        <f t="shared" si="230"/>
        <v>21</v>
      </c>
      <c r="J983" s="3">
        <f t="shared" si="231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32"/>
        <v>YES</v>
      </c>
      <c r="Q983" t="str">
        <f t="shared" si="233"/>
        <v>NO</v>
      </c>
      <c r="R983" t="str">
        <f t="shared" si="234"/>
        <v>NO</v>
      </c>
      <c r="T983" t="s">
        <v>198</v>
      </c>
      <c r="U983" t="str">
        <f t="shared" si="221"/>
        <v>Mount Auburn St</v>
      </c>
      <c r="V983" t="s">
        <v>42</v>
      </c>
      <c r="W983" t="str">
        <f t="shared" si="222"/>
        <v>Putnam Ave</v>
      </c>
      <c r="X983" t="str">
        <f>IF(ISBLANK(S983),"Intersection","Non-Intersection")</f>
        <v>Intersection</v>
      </c>
      <c r="Y983" t="s">
        <v>285</v>
      </c>
      <c r="Z983" t="str">
        <f t="shared" si="223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24"/>
        <v>40179</v>
      </c>
      <c r="D984" s="4">
        <f t="shared" si="225"/>
        <v>0.66301369863013704</v>
      </c>
      <c r="E984" s="3">
        <f t="shared" si="226"/>
        <v>2010</v>
      </c>
      <c r="F984" s="3">
        <f t="shared" si="227"/>
        <v>8</v>
      </c>
      <c r="G984" s="3">
        <f t="shared" si="228"/>
        <v>31</v>
      </c>
      <c r="H984" s="3">
        <f t="shared" si="229"/>
        <v>6</v>
      </c>
      <c r="I984" s="3">
        <f t="shared" si="230"/>
        <v>45</v>
      </c>
      <c r="J984" s="3">
        <f t="shared" si="231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32"/>
        <v>YES</v>
      </c>
      <c r="Q984" t="str">
        <f t="shared" si="233"/>
        <v>YES</v>
      </c>
      <c r="R984" t="str">
        <f t="shared" si="234"/>
        <v>NO</v>
      </c>
      <c r="T984" t="s">
        <v>185</v>
      </c>
      <c r="U984" t="str">
        <f t="shared" si="221"/>
        <v>Garden St</v>
      </c>
      <c r="V984" t="s">
        <v>296</v>
      </c>
      <c r="W984" t="str">
        <f t="shared" si="222"/>
        <v>Mason St</v>
      </c>
      <c r="X984" t="str">
        <f>IF(ISBLANK(S984),"Intersection","Non-Intersection")</f>
        <v>Intersection</v>
      </c>
      <c r="Y984" t="s">
        <v>594</v>
      </c>
      <c r="Z984" t="str">
        <f t="shared" si="223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24"/>
        <v>40179</v>
      </c>
      <c r="D985" s="4">
        <f t="shared" si="225"/>
        <v>0.66301369863013704</v>
      </c>
      <c r="E985" s="3">
        <f t="shared" si="226"/>
        <v>2010</v>
      </c>
      <c r="F985" s="3">
        <f t="shared" si="227"/>
        <v>8</v>
      </c>
      <c r="G985" s="3">
        <f t="shared" si="228"/>
        <v>31</v>
      </c>
      <c r="H985" s="3">
        <f t="shared" si="229"/>
        <v>19</v>
      </c>
      <c r="I985" s="3">
        <f t="shared" si="230"/>
        <v>5</v>
      </c>
      <c r="J985" s="3">
        <f t="shared" si="231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32"/>
        <v>NO</v>
      </c>
      <c r="Q985" t="str">
        <f t="shared" si="233"/>
        <v>NO</v>
      </c>
      <c r="R985" t="str">
        <f t="shared" si="234"/>
        <v>NO</v>
      </c>
      <c r="T985" t="s">
        <v>1438</v>
      </c>
      <c r="U985" t="str">
        <f t="shared" si="221"/>
        <v>Dunster St</v>
      </c>
      <c r="V985" t="s">
        <v>198</v>
      </c>
      <c r="W985" t="str">
        <f t="shared" si="222"/>
        <v>Mount Auburn St</v>
      </c>
      <c r="X985" t="str">
        <f>IF(ISBLANK(S985),"Intersection","Non-Intersection")</f>
        <v>Intersection</v>
      </c>
      <c r="Y985" t="s">
        <v>1786</v>
      </c>
      <c r="Z985" t="str">
        <f t="shared" si="223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24"/>
        <v>40179</v>
      </c>
      <c r="D986" s="4">
        <f t="shared" si="225"/>
        <v>0.66575342465753429</v>
      </c>
      <c r="E986" s="3">
        <f t="shared" si="226"/>
        <v>2010</v>
      </c>
      <c r="F986" s="3">
        <f t="shared" si="227"/>
        <v>9</v>
      </c>
      <c r="G986" s="3">
        <f t="shared" si="228"/>
        <v>1</v>
      </c>
      <c r="H986" s="3">
        <f t="shared" si="229"/>
        <v>7</v>
      </c>
      <c r="I986" s="3">
        <f t="shared" si="230"/>
        <v>38</v>
      </c>
      <c r="J986" s="3">
        <f t="shared" si="231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32"/>
        <v>YES</v>
      </c>
      <c r="Q986" t="str">
        <f t="shared" si="233"/>
        <v>NO</v>
      </c>
      <c r="R986" t="str">
        <f t="shared" si="234"/>
        <v>NO</v>
      </c>
      <c r="S986">
        <v>118</v>
      </c>
      <c r="T986" t="s">
        <v>980</v>
      </c>
      <c r="U986" t="str">
        <f t="shared" si="221"/>
        <v>Lexington Ave</v>
      </c>
      <c r="W986" t="str">
        <f t="shared" si="222"/>
        <v/>
      </c>
      <c r="X986" t="str">
        <f>IF(ISBLANK(S986),"Intersection","Non-Intersection")</f>
        <v>Non-Intersection</v>
      </c>
      <c r="Y986" t="s">
        <v>1788</v>
      </c>
      <c r="Z986" t="str">
        <f t="shared" si="223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24"/>
        <v>40179</v>
      </c>
      <c r="D987" s="4">
        <f t="shared" si="225"/>
        <v>0.66575342465753429</v>
      </c>
      <c r="E987" s="3">
        <f t="shared" si="226"/>
        <v>2010</v>
      </c>
      <c r="F987" s="3">
        <f t="shared" si="227"/>
        <v>9</v>
      </c>
      <c r="G987" s="3">
        <f t="shared" si="228"/>
        <v>1</v>
      </c>
      <c r="H987" s="3">
        <f t="shared" si="229"/>
        <v>12</v>
      </c>
      <c r="I987" s="3">
        <f t="shared" si="230"/>
        <v>20</v>
      </c>
      <c r="J987" s="3">
        <f t="shared" si="231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32"/>
        <v>YES</v>
      </c>
      <c r="Q987" t="str">
        <f t="shared" si="233"/>
        <v>NO</v>
      </c>
      <c r="R987" t="str">
        <f t="shared" si="234"/>
        <v>NO</v>
      </c>
      <c r="S987">
        <v>725</v>
      </c>
      <c r="T987" t="s">
        <v>186</v>
      </c>
      <c r="U987" t="str">
        <f t="shared" si="221"/>
        <v>Concord Ave</v>
      </c>
      <c r="W987" t="str">
        <f t="shared" si="222"/>
        <v/>
      </c>
      <c r="X987" t="str">
        <f>IF(ISBLANK(S987),"Intersection","Non-Intersection")</f>
        <v>Non-Intersection</v>
      </c>
      <c r="Y987" t="s">
        <v>617</v>
      </c>
      <c r="Z987" t="str">
        <f t="shared" si="223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24"/>
        <v>40179</v>
      </c>
      <c r="D988" s="4">
        <f t="shared" si="225"/>
        <v>0.66575342465753429</v>
      </c>
      <c r="E988" s="3">
        <f t="shared" si="226"/>
        <v>2010</v>
      </c>
      <c r="F988" s="3">
        <f t="shared" si="227"/>
        <v>9</v>
      </c>
      <c r="G988" s="3">
        <f t="shared" si="228"/>
        <v>1</v>
      </c>
      <c r="H988" s="3">
        <f t="shared" si="229"/>
        <v>12</v>
      </c>
      <c r="I988" s="3">
        <f t="shared" si="230"/>
        <v>59</v>
      </c>
      <c r="J988" s="3">
        <f t="shared" si="231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32"/>
        <v>YES</v>
      </c>
      <c r="Q988" t="str">
        <f t="shared" si="233"/>
        <v>NO</v>
      </c>
      <c r="R988" t="str">
        <f t="shared" si="234"/>
        <v>NO</v>
      </c>
      <c r="T988" t="s">
        <v>216</v>
      </c>
      <c r="U988" t="str">
        <f t="shared" si="221"/>
        <v>Washington Ave</v>
      </c>
      <c r="V988" t="s">
        <v>745</v>
      </c>
      <c r="W988" t="str">
        <f t="shared" si="222"/>
        <v>Norfolk St</v>
      </c>
      <c r="X988" t="str">
        <f>IF(ISBLANK(S988),"Intersection","Non-Intersection")</f>
        <v>Intersection</v>
      </c>
      <c r="Y988" t="s">
        <v>1485</v>
      </c>
      <c r="Z988" t="str">
        <f t="shared" si="223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24"/>
        <v>40179</v>
      </c>
      <c r="D989" s="4">
        <f t="shared" si="225"/>
        <v>0.66575342465753429</v>
      </c>
      <c r="E989" s="3">
        <f t="shared" si="226"/>
        <v>2010</v>
      </c>
      <c r="F989" s="3">
        <f t="shared" si="227"/>
        <v>9</v>
      </c>
      <c r="G989" s="3">
        <f t="shared" si="228"/>
        <v>1</v>
      </c>
      <c r="H989" s="3">
        <f t="shared" si="229"/>
        <v>15</v>
      </c>
      <c r="I989" s="3">
        <f t="shared" si="230"/>
        <v>45</v>
      </c>
      <c r="J989" s="3">
        <f t="shared" si="231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32"/>
        <v>YES</v>
      </c>
      <c r="Q989" t="str">
        <f t="shared" si="233"/>
        <v>NO</v>
      </c>
      <c r="R989" t="str">
        <f t="shared" si="234"/>
        <v>NO</v>
      </c>
      <c r="S989">
        <v>1334</v>
      </c>
      <c r="T989" t="s">
        <v>19</v>
      </c>
      <c r="U989" t="str">
        <f t="shared" si="221"/>
        <v>Cambridge St</v>
      </c>
      <c r="W989" t="str">
        <f t="shared" si="222"/>
        <v/>
      </c>
      <c r="X989" t="str">
        <f>IF(ISBLANK(S989),"Intersection","Non-Intersection")</f>
        <v>Non-Intersection</v>
      </c>
      <c r="Y989" t="s">
        <v>1105</v>
      </c>
      <c r="Z989" t="str">
        <f t="shared" si="223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24"/>
        <v>40179</v>
      </c>
      <c r="D990" s="4">
        <f t="shared" si="225"/>
        <v>0.66575342465753429</v>
      </c>
      <c r="E990" s="3">
        <f t="shared" si="226"/>
        <v>2010</v>
      </c>
      <c r="F990" s="3">
        <f t="shared" si="227"/>
        <v>9</v>
      </c>
      <c r="G990" s="3">
        <f t="shared" si="228"/>
        <v>1</v>
      </c>
      <c r="H990" s="3">
        <f t="shared" si="229"/>
        <v>17</v>
      </c>
      <c r="I990" s="3">
        <f t="shared" si="230"/>
        <v>29</v>
      </c>
      <c r="J990" s="3">
        <f t="shared" si="231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32"/>
        <v>YES</v>
      </c>
      <c r="Q990" t="str">
        <f t="shared" si="233"/>
        <v>NO</v>
      </c>
      <c r="R990" t="str">
        <f t="shared" si="234"/>
        <v>NO</v>
      </c>
      <c r="T990" t="s">
        <v>97</v>
      </c>
      <c r="U990" t="str">
        <f t="shared" si="221"/>
        <v>Peabody St</v>
      </c>
      <c r="W990" t="str">
        <f t="shared" si="222"/>
        <v/>
      </c>
      <c r="X990" t="str">
        <f>IF(ISBLANK(S990),"Intersection","Non-Intersection")</f>
        <v>Intersection</v>
      </c>
      <c r="Y990" t="s">
        <v>1790</v>
      </c>
      <c r="Z990" t="str">
        <f t="shared" si="223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24"/>
        <v>40179</v>
      </c>
      <c r="D991" s="4">
        <f t="shared" si="225"/>
        <v>0.66575342465753429</v>
      </c>
      <c r="E991" s="3">
        <f t="shared" si="226"/>
        <v>2010</v>
      </c>
      <c r="F991" s="3">
        <f t="shared" si="227"/>
        <v>9</v>
      </c>
      <c r="G991" s="3">
        <f t="shared" si="228"/>
        <v>1</v>
      </c>
      <c r="H991" s="3">
        <f t="shared" si="229"/>
        <v>18</v>
      </c>
      <c r="I991" s="3">
        <f t="shared" si="230"/>
        <v>30</v>
      </c>
      <c r="J991" s="3">
        <f t="shared" si="231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32"/>
        <v>YES</v>
      </c>
      <c r="Q991" t="str">
        <f t="shared" si="233"/>
        <v>NO</v>
      </c>
      <c r="R991" t="str">
        <f t="shared" si="234"/>
        <v>NO</v>
      </c>
      <c r="S991">
        <v>291</v>
      </c>
      <c r="T991" t="s">
        <v>189</v>
      </c>
      <c r="U991" t="str">
        <f t="shared" si="221"/>
        <v>Windsor St</v>
      </c>
      <c r="W991" t="str">
        <f t="shared" si="222"/>
        <v/>
      </c>
      <c r="X991" t="str">
        <f>IF(ISBLANK(S991),"Intersection","Non-Intersection")</f>
        <v>Non-Intersection</v>
      </c>
      <c r="Y991" t="s">
        <v>1791</v>
      </c>
      <c r="Z991" t="str">
        <f t="shared" si="223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24"/>
        <v>40179</v>
      </c>
      <c r="D992" s="4">
        <f t="shared" si="225"/>
        <v>0.66575342465753429</v>
      </c>
      <c r="E992" s="3">
        <f t="shared" si="226"/>
        <v>2010</v>
      </c>
      <c r="F992" s="3">
        <f t="shared" si="227"/>
        <v>9</v>
      </c>
      <c r="G992" s="3">
        <f t="shared" si="228"/>
        <v>1</v>
      </c>
      <c r="H992" s="3">
        <f t="shared" si="229"/>
        <v>20</v>
      </c>
      <c r="I992" s="3">
        <f t="shared" si="230"/>
        <v>0</v>
      </c>
      <c r="J992" s="3">
        <f t="shared" si="231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32"/>
        <v>YES</v>
      </c>
      <c r="Q992" t="str">
        <f t="shared" si="233"/>
        <v>NO</v>
      </c>
      <c r="R992" t="str">
        <f t="shared" si="234"/>
        <v>NO</v>
      </c>
      <c r="S992">
        <v>11</v>
      </c>
      <c r="T992" t="s">
        <v>326</v>
      </c>
      <c r="U992" t="str">
        <f t="shared" si="221"/>
        <v>Jfk St</v>
      </c>
      <c r="W992" t="str">
        <f t="shared" si="222"/>
        <v/>
      </c>
      <c r="X992" t="str">
        <f>IF(ISBLANK(S992),"Intersection","Non-Intersection")</f>
        <v>Non-Intersection</v>
      </c>
      <c r="Y992" t="s">
        <v>1793</v>
      </c>
      <c r="Z992" t="str">
        <f t="shared" si="223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24"/>
        <v>40179</v>
      </c>
      <c r="D993" s="4">
        <f t="shared" si="225"/>
        <v>0.66575342465753429</v>
      </c>
      <c r="E993" s="3">
        <f t="shared" si="226"/>
        <v>2010</v>
      </c>
      <c r="F993" s="3">
        <f t="shared" si="227"/>
        <v>9</v>
      </c>
      <c r="G993" s="3">
        <f t="shared" si="228"/>
        <v>1</v>
      </c>
      <c r="H993" s="3">
        <f t="shared" si="229"/>
        <v>12</v>
      </c>
      <c r="I993" s="3">
        <f t="shared" si="230"/>
        <v>0</v>
      </c>
      <c r="J993" s="3">
        <f t="shared" si="231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32"/>
        <v>YES</v>
      </c>
      <c r="Q993" t="str">
        <f t="shared" si="233"/>
        <v>NO</v>
      </c>
      <c r="R993" t="str">
        <f t="shared" si="234"/>
        <v>NO</v>
      </c>
      <c r="T993" t="s">
        <v>1795</v>
      </c>
      <c r="U993" t="str">
        <f t="shared" si="221"/>
        <v>Hews St</v>
      </c>
      <c r="V993" t="s">
        <v>479</v>
      </c>
      <c r="W993" t="str">
        <f t="shared" si="222"/>
        <v>Callender St</v>
      </c>
      <c r="X993" t="str">
        <f>IF(ISBLANK(S993),"Intersection","Non-Intersection")</f>
        <v>Intersection</v>
      </c>
      <c r="Y993" t="s">
        <v>1796</v>
      </c>
      <c r="Z993" t="str">
        <f t="shared" si="223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24"/>
        <v>40179</v>
      </c>
      <c r="D994" s="4">
        <f t="shared" si="225"/>
        <v>0.66575342465753429</v>
      </c>
      <c r="E994" s="3">
        <f t="shared" si="226"/>
        <v>2010</v>
      </c>
      <c r="F994" s="3">
        <f t="shared" si="227"/>
        <v>9</v>
      </c>
      <c r="G994" s="3">
        <f t="shared" si="228"/>
        <v>1</v>
      </c>
      <c r="H994" s="3">
        <f t="shared" si="229"/>
        <v>11</v>
      </c>
      <c r="I994" s="3">
        <f t="shared" si="230"/>
        <v>0</v>
      </c>
      <c r="J994" s="3">
        <f t="shared" si="231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32"/>
        <v>YES</v>
      </c>
      <c r="Q994" t="str">
        <f t="shared" si="233"/>
        <v>NO</v>
      </c>
      <c r="R994" t="str">
        <f t="shared" si="234"/>
        <v>NO</v>
      </c>
      <c r="S994">
        <v>246</v>
      </c>
      <c r="T994" t="s">
        <v>1013</v>
      </c>
      <c r="U994" t="str">
        <f t="shared" si="221"/>
        <v>Blanchard Rd</v>
      </c>
      <c r="W994" t="str">
        <f t="shared" si="222"/>
        <v/>
      </c>
      <c r="X994" t="str">
        <f>IF(ISBLANK(S994),"Intersection","Non-Intersection")</f>
        <v>Non-Intersection</v>
      </c>
      <c r="Y994" t="s">
        <v>1798</v>
      </c>
      <c r="Z994" t="str">
        <f t="shared" si="223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24"/>
        <v>40179</v>
      </c>
      <c r="D995" s="4">
        <f t="shared" si="225"/>
        <v>0.66849315068493154</v>
      </c>
      <c r="E995" s="3">
        <f t="shared" si="226"/>
        <v>2010</v>
      </c>
      <c r="F995" s="3">
        <f t="shared" si="227"/>
        <v>9</v>
      </c>
      <c r="G995" s="3">
        <f t="shared" si="228"/>
        <v>2</v>
      </c>
      <c r="H995" s="3">
        <f t="shared" si="229"/>
        <v>7</v>
      </c>
      <c r="I995" s="3">
        <f t="shared" si="230"/>
        <v>30</v>
      </c>
      <c r="J995" s="3">
        <f t="shared" si="231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32"/>
        <v>YES</v>
      </c>
      <c r="Q995" t="str">
        <f t="shared" si="233"/>
        <v>NO</v>
      </c>
      <c r="R995" t="str">
        <f t="shared" si="234"/>
        <v>NO</v>
      </c>
      <c r="S995">
        <v>22</v>
      </c>
      <c r="T995" t="s">
        <v>198</v>
      </c>
      <c r="U995" t="str">
        <f t="shared" si="221"/>
        <v>Mount Auburn St</v>
      </c>
      <c r="W995" t="str">
        <f t="shared" si="222"/>
        <v/>
      </c>
      <c r="X995" t="str">
        <f>IF(ISBLANK(S995),"Intersection","Non-Intersection")</f>
        <v>Non-Intersection</v>
      </c>
      <c r="Y995" t="s">
        <v>1800</v>
      </c>
      <c r="Z995" t="str">
        <f t="shared" si="223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24"/>
        <v>40179</v>
      </c>
      <c r="D996" s="4">
        <f t="shared" si="225"/>
        <v>0.66849315068493154</v>
      </c>
      <c r="E996" s="3">
        <f t="shared" si="226"/>
        <v>2010</v>
      </c>
      <c r="F996" s="3">
        <f t="shared" si="227"/>
        <v>9</v>
      </c>
      <c r="G996" s="3">
        <f t="shared" si="228"/>
        <v>2</v>
      </c>
      <c r="H996" s="3">
        <f t="shared" si="229"/>
        <v>8</v>
      </c>
      <c r="I996" s="3">
        <f t="shared" si="230"/>
        <v>0</v>
      </c>
      <c r="J996" s="3">
        <f t="shared" si="231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32"/>
        <v>YES</v>
      </c>
      <c r="Q996" t="str">
        <f t="shared" si="233"/>
        <v>NO</v>
      </c>
      <c r="R996" t="str">
        <f t="shared" si="234"/>
        <v>NO</v>
      </c>
      <c r="T996" t="s">
        <v>988</v>
      </c>
      <c r="U996" t="str">
        <f t="shared" si="221"/>
        <v>Bond St</v>
      </c>
      <c r="W996" t="str">
        <f t="shared" si="222"/>
        <v/>
      </c>
      <c r="X996" t="str">
        <f>IF(ISBLANK(S996),"Intersection","Non-Intersection")</f>
        <v>Intersection</v>
      </c>
      <c r="Y996" t="s">
        <v>1802</v>
      </c>
      <c r="Z996" t="str">
        <f t="shared" si="223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24"/>
        <v>40179</v>
      </c>
      <c r="D997" s="4">
        <f t="shared" si="225"/>
        <v>0.66849315068493154</v>
      </c>
      <c r="E997" s="3">
        <f t="shared" si="226"/>
        <v>2010</v>
      </c>
      <c r="F997" s="3">
        <f t="shared" si="227"/>
        <v>9</v>
      </c>
      <c r="G997" s="3">
        <f t="shared" si="228"/>
        <v>2</v>
      </c>
      <c r="H997" s="3">
        <f t="shared" si="229"/>
        <v>8</v>
      </c>
      <c r="I997" s="3">
        <f t="shared" si="230"/>
        <v>0</v>
      </c>
      <c r="J997" s="3">
        <f t="shared" si="231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32"/>
        <v>YES</v>
      </c>
      <c r="Q997" t="str">
        <f t="shared" si="233"/>
        <v>NO</v>
      </c>
      <c r="R997" t="str">
        <f t="shared" si="234"/>
        <v>NO</v>
      </c>
      <c r="S997">
        <v>8</v>
      </c>
      <c r="T997" t="s">
        <v>66</v>
      </c>
      <c r="U997" t="str">
        <f t="shared" si="221"/>
        <v>Dudley St</v>
      </c>
      <c r="W997" t="str">
        <f t="shared" si="222"/>
        <v/>
      </c>
      <c r="X997" t="str">
        <f>IF(ISBLANK(S997),"Intersection","Non-Intersection")</f>
        <v>Non-Intersection</v>
      </c>
      <c r="Y997" t="s">
        <v>1803</v>
      </c>
      <c r="Z997" t="str">
        <f t="shared" si="223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24"/>
        <v>40179</v>
      </c>
      <c r="D998" s="4">
        <f t="shared" si="225"/>
        <v>0.66849315068493154</v>
      </c>
      <c r="E998" s="3">
        <f t="shared" si="226"/>
        <v>2010</v>
      </c>
      <c r="F998" s="3">
        <f t="shared" si="227"/>
        <v>9</v>
      </c>
      <c r="G998" s="3">
        <f t="shared" si="228"/>
        <v>2</v>
      </c>
      <c r="H998" s="3">
        <f t="shared" si="229"/>
        <v>15</v>
      </c>
      <c r="I998" s="3">
        <f t="shared" si="230"/>
        <v>40</v>
      </c>
      <c r="J998" s="3">
        <f t="shared" si="231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32"/>
        <v>YES</v>
      </c>
      <c r="Q998" t="str">
        <f t="shared" si="233"/>
        <v>NO</v>
      </c>
      <c r="R998" t="str">
        <f t="shared" si="234"/>
        <v>NO</v>
      </c>
      <c r="T998" t="s">
        <v>185</v>
      </c>
      <c r="U998" t="str">
        <f t="shared" si="221"/>
        <v>Garden St</v>
      </c>
      <c r="V998" t="s">
        <v>252</v>
      </c>
      <c r="W998" t="str">
        <f t="shared" si="222"/>
        <v>Walden St</v>
      </c>
      <c r="X998" t="str">
        <f>IF(ISBLANK(S998),"Intersection","Non-Intersection")</f>
        <v>Intersection</v>
      </c>
      <c r="Y998" t="s">
        <v>1460</v>
      </c>
      <c r="Z998" t="str">
        <f t="shared" si="223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24"/>
        <v>40179</v>
      </c>
      <c r="D999" s="4">
        <f t="shared" si="225"/>
        <v>0.66849315068493154</v>
      </c>
      <c r="E999" s="3">
        <f t="shared" si="226"/>
        <v>2010</v>
      </c>
      <c r="F999" s="3">
        <f t="shared" si="227"/>
        <v>9</v>
      </c>
      <c r="G999" s="3">
        <f t="shared" si="228"/>
        <v>2</v>
      </c>
      <c r="H999" s="3">
        <f t="shared" si="229"/>
        <v>18</v>
      </c>
      <c r="I999" s="3">
        <f t="shared" si="230"/>
        <v>59</v>
      </c>
      <c r="J999" s="3">
        <f t="shared" si="231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32"/>
        <v>YES</v>
      </c>
      <c r="Q999" t="str">
        <f t="shared" si="233"/>
        <v>NO</v>
      </c>
      <c r="R999" t="str">
        <f t="shared" si="234"/>
        <v>NO</v>
      </c>
      <c r="S999">
        <v>364</v>
      </c>
      <c r="T999" t="s">
        <v>15</v>
      </c>
      <c r="U999" t="str">
        <f t="shared" si="221"/>
        <v>Rindge Ave</v>
      </c>
      <c r="W999" t="str">
        <f t="shared" si="222"/>
        <v/>
      </c>
      <c r="X999" t="str">
        <f>IF(ISBLANK(S999),"Intersection","Non-Intersection")</f>
        <v>Non-Intersection</v>
      </c>
      <c r="Y999" t="s">
        <v>542</v>
      </c>
      <c r="Z999" t="str">
        <f t="shared" si="223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24"/>
        <v>40179</v>
      </c>
      <c r="D1000" s="4">
        <f t="shared" si="225"/>
        <v>0.67123287671232879</v>
      </c>
      <c r="E1000" s="3">
        <f t="shared" si="226"/>
        <v>2010</v>
      </c>
      <c r="F1000" s="3">
        <f t="shared" si="227"/>
        <v>9</v>
      </c>
      <c r="G1000" s="3">
        <f t="shared" si="228"/>
        <v>3</v>
      </c>
      <c r="H1000" s="3">
        <f t="shared" si="229"/>
        <v>8</v>
      </c>
      <c r="I1000" s="3">
        <f t="shared" si="230"/>
        <v>25</v>
      </c>
      <c r="J1000" s="3">
        <f t="shared" si="231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32"/>
        <v>YES</v>
      </c>
      <c r="Q1000" t="str">
        <f t="shared" si="233"/>
        <v>NO</v>
      </c>
      <c r="R1000" t="str">
        <f t="shared" si="234"/>
        <v>NO</v>
      </c>
      <c r="T1000" t="s">
        <v>14</v>
      </c>
      <c r="U1000" t="str">
        <f t="shared" si="221"/>
        <v>Massachusetts Ave</v>
      </c>
      <c r="V1000" t="s">
        <v>119</v>
      </c>
      <c r="W1000" t="str">
        <f t="shared" si="222"/>
        <v>Albany St</v>
      </c>
      <c r="X1000" t="str">
        <f>IF(ISBLANK(S1000),"Intersection","Non-Intersection")</f>
        <v>Intersection</v>
      </c>
      <c r="Y1000" t="s">
        <v>247</v>
      </c>
      <c r="Z1000" t="str">
        <f t="shared" si="223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24"/>
        <v>40179</v>
      </c>
      <c r="D1001" s="4">
        <f t="shared" si="225"/>
        <v>0.67123287671232879</v>
      </c>
      <c r="E1001" s="3">
        <f t="shared" si="226"/>
        <v>2010</v>
      </c>
      <c r="F1001" s="3">
        <f t="shared" si="227"/>
        <v>9</v>
      </c>
      <c r="G1001" s="3">
        <f t="shared" si="228"/>
        <v>3</v>
      </c>
      <c r="H1001" s="3">
        <f t="shared" si="229"/>
        <v>14</v>
      </c>
      <c r="I1001" s="3">
        <f t="shared" si="230"/>
        <v>48</v>
      </c>
      <c r="J1001" s="3">
        <f t="shared" si="231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32"/>
        <v>YES</v>
      </c>
      <c r="Q1001" t="str">
        <f t="shared" si="233"/>
        <v>YES</v>
      </c>
      <c r="R1001" t="str">
        <f t="shared" si="234"/>
        <v>NO</v>
      </c>
      <c r="S1001">
        <v>1033</v>
      </c>
      <c r="T1001" t="s">
        <v>14</v>
      </c>
      <c r="U1001" t="str">
        <f t="shared" si="221"/>
        <v>Massachusetts Ave</v>
      </c>
      <c r="W1001" t="str">
        <f t="shared" si="222"/>
        <v/>
      </c>
      <c r="X1001" t="str">
        <f>IF(ISBLANK(S1001),"Intersection","Non-Intersection")</f>
        <v>Non-Intersection</v>
      </c>
      <c r="Y1001" t="s">
        <v>1805</v>
      </c>
      <c r="Z1001" t="str">
        <f t="shared" si="223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24"/>
        <v>40179</v>
      </c>
      <c r="D1002" s="4">
        <f t="shared" si="225"/>
        <v>0.67123287671232879</v>
      </c>
      <c r="E1002" s="3">
        <f t="shared" si="226"/>
        <v>2010</v>
      </c>
      <c r="F1002" s="3">
        <f t="shared" si="227"/>
        <v>9</v>
      </c>
      <c r="G1002" s="3">
        <f t="shared" si="228"/>
        <v>3</v>
      </c>
      <c r="H1002" s="3">
        <f t="shared" si="229"/>
        <v>16</v>
      </c>
      <c r="I1002" s="3">
        <f t="shared" si="230"/>
        <v>2</v>
      </c>
      <c r="J1002" s="3">
        <f t="shared" si="231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32"/>
        <v>YES</v>
      </c>
      <c r="Q1002" t="str">
        <f t="shared" si="233"/>
        <v>NO</v>
      </c>
      <c r="R1002" t="str">
        <f t="shared" si="234"/>
        <v>NO</v>
      </c>
      <c r="T1002" t="s">
        <v>32</v>
      </c>
      <c r="U1002" t="str">
        <f t="shared" si="221"/>
        <v>Main St</v>
      </c>
      <c r="V1002" t="s">
        <v>189</v>
      </c>
      <c r="W1002" t="str">
        <f t="shared" si="222"/>
        <v>Windsor St</v>
      </c>
      <c r="X1002" t="str">
        <f>IF(ISBLANK(S1002),"Intersection","Non-Intersection")</f>
        <v>Intersection</v>
      </c>
      <c r="Y1002" t="s">
        <v>1737</v>
      </c>
      <c r="Z1002" t="str">
        <f t="shared" si="223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24"/>
        <v>40179</v>
      </c>
      <c r="D1003" s="4">
        <f t="shared" si="225"/>
        <v>0.67397260273972603</v>
      </c>
      <c r="E1003" s="3">
        <f t="shared" si="226"/>
        <v>2010</v>
      </c>
      <c r="F1003" s="3">
        <f t="shared" si="227"/>
        <v>9</v>
      </c>
      <c r="G1003" s="3">
        <f t="shared" si="228"/>
        <v>4</v>
      </c>
      <c r="H1003" s="3">
        <f t="shared" si="229"/>
        <v>9</v>
      </c>
      <c r="I1003" s="3">
        <f t="shared" si="230"/>
        <v>20</v>
      </c>
      <c r="J1003" s="3">
        <f t="shared" si="231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32"/>
        <v>YES</v>
      </c>
      <c r="Q1003" t="str">
        <f t="shared" si="233"/>
        <v>NO</v>
      </c>
      <c r="R1003" t="str">
        <f t="shared" si="234"/>
        <v>NO</v>
      </c>
      <c r="T1003" t="s">
        <v>19</v>
      </c>
      <c r="U1003" t="str">
        <f t="shared" si="221"/>
        <v>Cambridge St</v>
      </c>
      <c r="V1003" t="s">
        <v>1016</v>
      </c>
      <c r="W1003" t="str">
        <f t="shared" si="222"/>
        <v>Maple Ave</v>
      </c>
      <c r="X1003" t="str">
        <f>IF(ISBLANK(S1003),"Intersection","Non-Intersection")</f>
        <v>Intersection</v>
      </c>
      <c r="Y1003" t="s">
        <v>1807</v>
      </c>
      <c r="Z1003" t="str">
        <f t="shared" si="223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24"/>
        <v>40179</v>
      </c>
      <c r="D1004" s="4">
        <f t="shared" si="225"/>
        <v>0.67397260273972603</v>
      </c>
      <c r="E1004" s="3">
        <f t="shared" si="226"/>
        <v>2010</v>
      </c>
      <c r="F1004" s="3">
        <f t="shared" si="227"/>
        <v>9</v>
      </c>
      <c r="G1004" s="3">
        <f t="shared" si="228"/>
        <v>4</v>
      </c>
      <c r="H1004" s="3">
        <f t="shared" si="229"/>
        <v>12</v>
      </c>
      <c r="I1004" s="3">
        <f t="shared" si="230"/>
        <v>0</v>
      </c>
      <c r="J1004" s="3">
        <f t="shared" si="231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32"/>
        <v>YES</v>
      </c>
      <c r="Q1004" t="str">
        <f t="shared" si="233"/>
        <v>YES</v>
      </c>
      <c r="R1004" t="str">
        <f t="shared" si="234"/>
        <v>NO</v>
      </c>
      <c r="S1004">
        <v>34</v>
      </c>
      <c r="T1004" t="s">
        <v>1024</v>
      </c>
      <c r="U1004" t="str">
        <f t="shared" si="221"/>
        <v>Kinnaird St</v>
      </c>
      <c r="W1004" t="str">
        <f t="shared" si="222"/>
        <v/>
      </c>
      <c r="X1004" t="str">
        <f>IF(ISBLANK(S1004),"Intersection","Non-Intersection")</f>
        <v>Non-Intersection</v>
      </c>
      <c r="Y1004" t="s">
        <v>1809</v>
      </c>
      <c r="Z1004" t="str">
        <f t="shared" si="223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24"/>
        <v>40179</v>
      </c>
      <c r="D1005" s="4">
        <f t="shared" si="225"/>
        <v>0.67397260273972603</v>
      </c>
      <c r="E1005" s="3">
        <f t="shared" si="226"/>
        <v>2010</v>
      </c>
      <c r="F1005" s="3">
        <f t="shared" si="227"/>
        <v>9</v>
      </c>
      <c r="G1005" s="3">
        <f t="shared" si="228"/>
        <v>4</v>
      </c>
      <c r="H1005" s="3">
        <f t="shared" si="229"/>
        <v>13</v>
      </c>
      <c r="I1005" s="3">
        <f t="shared" si="230"/>
        <v>31</v>
      </c>
      <c r="J1005" s="3">
        <f t="shared" si="231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32"/>
        <v>NO</v>
      </c>
      <c r="Q1005" t="str">
        <f t="shared" si="233"/>
        <v>YES</v>
      </c>
      <c r="R1005" t="str">
        <f t="shared" si="234"/>
        <v>YES</v>
      </c>
      <c r="S1005">
        <v>581</v>
      </c>
      <c r="T1005" t="s">
        <v>14</v>
      </c>
      <c r="U1005" t="str">
        <f t="shared" si="221"/>
        <v>Massachusetts Ave</v>
      </c>
      <c r="W1005" t="str">
        <f t="shared" si="222"/>
        <v/>
      </c>
      <c r="X1005" t="str">
        <f>IF(ISBLANK(S1005),"Intersection","Non-Intersection")</f>
        <v>Non-Intersection</v>
      </c>
      <c r="Y1005" t="s">
        <v>1811</v>
      </c>
      <c r="Z1005" t="str">
        <f t="shared" si="223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24"/>
        <v>40179</v>
      </c>
      <c r="D1006" s="4">
        <f t="shared" si="225"/>
        <v>0.67397260273972603</v>
      </c>
      <c r="E1006" s="3">
        <f t="shared" si="226"/>
        <v>2010</v>
      </c>
      <c r="F1006" s="3">
        <f t="shared" si="227"/>
        <v>9</v>
      </c>
      <c r="G1006" s="3">
        <f t="shared" si="228"/>
        <v>4</v>
      </c>
      <c r="H1006" s="3">
        <f t="shared" si="229"/>
        <v>14</v>
      </c>
      <c r="I1006" s="3">
        <f t="shared" si="230"/>
        <v>0</v>
      </c>
      <c r="J1006" s="3">
        <f t="shared" si="231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32"/>
        <v>YES</v>
      </c>
      <c r="Q1006" t="str">
        <f t="shared" si="233"/>
        <v>NO</v>
      </c>
      <c r="R1006" t="str">
        <f t="shared" si="234"/>
        <v>NO</v>
      </c>
      <c r="S1006">
        <v>730</v>
      </c>
      <c r="T1006" t="s">
        <v>203</v>
      </c>
      <c r="U1006" t="str">
        <f t="shared" si="221"/>
        <v>Memorial Dr</v>
      </c>
      <c r="W1006" t="str">
        <f t="shared" si="222"/>
        <v/>
      </c>
      <c r="X1006" t="str">
        <f>IF(ISBLANK(S1006),"Intersection","Non-Intersection")</f>
        <v>Non-Intersection</v>
      </c>
      <c r="Y1006" t="s">
        <v>236</v>
      </c>
      <c r="Z1006" t="str">
        <f t="shared" si="223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24"/>
        <v>40179</v>
      </c>
      <c r="D1007" s="4">
        <f t="shared" si="225"/>
        <v>0.67397260273972603</v>
      </c>
      <c r="E1007" s="3">
        <f t="shared" si="226"/>
        <v>2010</v>
      </c>
      <c r="F1007" s="3">
        <f t="shared" si="227"/>
        <v>9</v>
      </c>
      <c r="G1007" s="3">
        <f t="shared" si="228"/>
        <v>4</v>
      </c>
      <c r="H1007" s="3">
        <f t="shared" si="229"/>
        <v>7</v>
      </c>
      <c r="I1007" s="3">
        <f t="shared" si="230"/>
        <v>40</v>
      </c>
      <c r="J1007" s="3">
        <f t="shared" si="231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32"/>
        <v>YES</v>
      </c>
      <c r="Q1007" t="str">
        <f t="shared" si="233"/>
        <v>NO</v>
      </c>
      <c r="R1007" t="str">
        <f t="shared" si="234"/>
        <v>YES</v>
      </c>
      <c r="T1007" t="s">
        <v>19</v>
      </c>
      <c r="U1007" t="str">
        <f t="shared" si="221"/>
        <v>Cambridge St</v>
      </c>
      <c r="V1007" t="s">
        <v>685</v>
      </c>
      <c r="W1007" t="str">
        <f t="shared" si="222"/>
        <v>Warren St</v>
      </c>
      <c r="X1007" t="str">
        <f>IF(ISBLANK(S1007),"Intersection","Non-Intersection")</f>
        <v>Intersection</v>
      </c>
      <c r="Y1007" t="s">
        <v>1217</v>
      </c>
      <c r="Z1007" t="str">
        <f t="shared" si="223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24"/>
        <v>40179</v>
      </c>
      <c r="D1008" s="4">
        <f t="shared" si="225"/>
        <v>0.67945205479452053</v>
      </c>
      <c r="E1008" s="3">
        <f t="shared" si="226"/>
        <v>2010</v>
      </c>
      <c r="F1008" s="3">
        <f t="shared" si="227"/>
        <v>9</v>
      </c>
      <c r="G1008" s="3">
        <f t="shared" si="228"/>
        <v>6</v>
      </c>
      <c r="H1008" s="3">
        <f t="shared" si="229"/>
        <v>13</v>
      </c>
      <c r="I1008" s="3">
        <f t="shared" si="230"/>
        <v>25</v>
      </c>
      <c r="J1008" s="3">
        <f t="shared" si="231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32"/>
        <v>YES</v>
      </c>
      <c r="Q1008" t="str">
        <f t="shared" si="233"/>
        <v>NO</v>
      </c>
      <c r="R1008" t="str">
        <f t="shared" si="234"/>
        <v>NO</v>
      </c>
      <c r="T1008" t="s">
        <v>133</v>
      </c>
      <c r="U1008" t="str">
        <f t="shared" si="221"/>
        <v>Harvard St</v>
      </c>
      <c r="V1008" t="s">
        <v>567</v>
      </c>
      <c r="W1008" t="str">
        <f t="shared" si="222"/>
        <v>Davis St</v>
      </c>
      <c r="X1008" t="str">
        <f>IF(ISBLANK(S1008),"Intersection","Non-Intersection")</f>
        <v>Intersection</v>
      </c>
      <c r="Y1008" t="s">
        <v>1686</v>
      </c>
      <c r="Z1008" t="str">
        <f t="shared" si="223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24"/>
        <v>40179</v>
      </c>
      <c r="D1009" s="4">
        <f t="shared" si="225"/>
        <v>0.67945205479452053</v>
      </c>
      <c r="E1009" s="3">
        <f t="shared" si="226"/>
        <v>2010</v>
      </c>
      <c r="F1009" s="3">
        <f t="shared" si="227"/>
        <v>9</v>
      </c>
      <c r="G1009" s="3">
        <f t="shared" si="228"/>
        <v>6</v>
      </c>
      <c r="H1009" s="3">
        <f t="shared" si="229"/>
        <v>13</v>
      </c>
      <c r="I1009" s="3">
        <f t="shared" si="230"/>
        <v>44</v>
      </c>
      <c r="J1009" s="3">
        <f t="shared" si="231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32"/>
        <v>YES</v>
      </c>
      <c r="Q1009" t="str">
        <f t="shared" si="233"/>
        <v>NO</v>
      </c>
      <c r="R1009" t="str">
        <f t="shared" si="234"/>
        <v>YES</v>
      </c>
      <c r="S1009">
        <v>20</v>
      </c>
      <c r="T1009" t="s">
        <v>1813</v>
      </c>
      <c r="U1009" t="str">
        <f t="shared" si="221"/>
        <v>University Rd</v>
      </c>
      <c r="W1009" t="str">
        <f t="shared" si="222"/>
        <v/>
      </c>
      <c r="X1009" t="str">
        <f>IF(ISBLANK(S1009),"Intersection","Non-Intersection")</f>
        <v>Non-Intersection</v>
      </c>
      <c r="Y1009" t="s">
        <v>1814</v>
      </c>
      <c r="Z1009" t="str">
        <f t="shared" si="223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24"/>
        <v>40179</v>
      </c>
      <c r="D1010" s="4">
        <f t="shared" si="225"/>
        <v>0.67945205479452053</v>
      </c>
      <c r="E1010" s="3">
        <f t="shared" si="226"/>
        <v>2010</v>
      </c>
      <c r="F1010" s="3">
        <f t="shared" si="227"/>
        <v>9</v>
      </c>
      <c r="G1010" s="3">
        <f t="shared" si="228"/>
        <v>6</v>
      </c>
      <c r="H1010" s="3">
        <f t="shared" si="229"/>
        <v>18</v>
      </c>
      <c r="I1010" s="3">
        <f t="shared" si="230"/>
        <v>24</v>
      </c>
      <c r="J1010" s="3">
        <f t="shared" si="231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32"/>
        <v>YES</v>
      </c>
      <c r="Q1010" t="str">
        <f t="shared" si="233"/>
        <v>NO</v>
      </c>
      <c r="R1010" t="str">
        <f t="shared" si="234"/>
        <v>YES</v>
      </c>
      <c r="S1010">
        <v>1193</v>
      </c>
      <c r="T1010" t="s">
        <v>19</v>
      </c>
      <c r="U1010" t="str">
        <f t="shared" si="221"/>
        <v>Cambridge St</v>
      </c>
      <c r="W1010" t="str">
        <f t="shared" si="222"/>
        <v/>
      </c>
      <c r="X1010" t="str">
        <f>IF(ISBLANK(S1010),"Intersection","Non-Intersection")</f>
        <v>Non-Intersection</v>
      </c>
      <c r="Y1010" t="s">
        <v>1816</v>
      </c>
      <c r="Z1010" t="str">
        <f t="shared" si="223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24"/>
        <v>40179</v>
      </c>
      <c r="D1011" s="4">
        <f t="shared" si="225"/>
        <v>0.67945205479452053</v>
      </c>
      <c r="E1011" s="3">
        <f t="shared" si="226"/>
        <v>2010</v>
      </c>
      <c r="F1011" s="3">
        <f t="shared" si="227"/>
        <v>9</v>
      </c>
      <c r="G1011" s="3">
        <f t="shared" si="228"/>
        <v>6</v>
      </c>
      <c r="H1011" s="3">
        <f t="shared" si="229"/>
        <v>19</v>
      </c>
      <c r="I1011" s="3">
        <f t="shared" si="230"/>
        <v>9</v>
      </c>
      <c r="J1011" s="3">
        <f t="shared" si="231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32"/>
        <v>YES</v>
      </c>
      <c r="Q1011" t="str">
        <f t="shared" si="233"/>
        <v>NO</v>
      </c>
      <c r="R1011" t="str">
        <f t="shared" si="234"/>
        <v>NO</v>
      </c>
      <c r="T1011" t="s">
        <v>453</v>
      </c>
      <c r="U1011" t="str">
        <f t="shared" si="221"/>
        <v>Brookline St</v>
      </c>
      <c r="V1011" t="s">
        <v>69</v>
      </c>
      <c r="W1011" t="str">
        <f t="shared" si="222"/>
        <v>Henry St</v>
      </c>
      <c r="X1011" t="str">
        <f>IF(ISBLANK(S1011),"Intersection","Non-Intersection")</f>
        <v>Intersection</v>
      </c>
      <c r="Y1011" t="s">
        <v>1818</v>
      </c>
      <c r="Z1011" t="str">
        <f t="shared" si="223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24"/>
        <v>40179</v>
      </c>
      <c r="D1012" s="4">
        <f t="shared" si="225"/>
        <v>0.67945205479452053</v>
      </c>
      <c r="E1012" s="3">
        <f t="shared" si="226"/>
        <v>2010</v>
      </c>
      <c r="F1012" s="3">
        <f t="shared" si="227"/>
        <v>9</v>
      </c>
      <c r="G1012" s="3">
        <f t="shared" si="228"/>
        <v>6</v>
      </c>
      <c r="H1012" s="3">
        <f t="shared" si="229"/>
        <v>11</v>
      </c>
      <c r="I1012" s="3">
        <f t="shared" si="230"/>
        <v>29</v>
      </c>
      <c r="J1012" s="3">
        <f t="shared" si="231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32"/>
        <v>YES</v>
      </c>
      <c r="Q1012" t="str">
        <f t="shared" si="233"/>
        <v>NO</v>
      </c>
      <c r="R1012" t="str">
        <f t="shared" si="234"/>
        <v>NO</v>
      </c>
      <c r="S1012">
        <v>730</v>
      </c>
      <c r="T1012" t="s">
        <v>203</v>
      </c>
      <c r="U1012" t="str">
        <f t="shared" si="221"/>
        <v>Memorial Dr</v>
      </c>
      <c r="W1012" t="str">
        <f t="shared" si="222"/>
        <v/>
      </c>
      <c r="X1012" t="str">
        <f>IF(ISBLANK(S1012),"Intersection","Non-Intersection")</f>
        <v>Non-Intersection</v>
      </c>
      <c r="Y1012" t="s">
        <v>236</v>
      </c>
      <c r="Z1012" t="str">
        <f t="shared" si="223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24"/>
        <v>40179</v>
      </c>
      <c r="D1013" s="4">
        <f t="shared" si="225"/>
        <v>0.68219178082191778</v>
      </c>
      <c r="E1013" s="3">
        <f t="shared" si="226"/>
        <v>2010</v>
      </c>
      <c r="F1013" s="3">
        <f t="shared" si="227"/>
        <v>9</v>
      </c>
      <c r="G1013" s="3">
        <f t="shared" si="228"/>
        <v>7</v>
      </c>
      <c r="H1013" s="3">
        <f t="shared" si="229"/>
        <v>8</v>
      </c>
      <c r="I1013" s="3">
        <f t="shared" si="230"/>
        <v>45</v>
      </c>
      <c r="J1013" s="3">
        <f t="shared" si="231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32"/>
        <v>YES</v>
      </c>
      <c r="Q1013" t="str">
        <f t="shared" si="233"/>
        <v>NO</v>
      </c>
      <c r="R1013" t="str">
        <f t="shared" si="234"/>
        <v>NO</v>
      </c>
      <c r="T1013" t="s">
        <v>1088</v>
      </c>
      <c r="U1013" t="str">
        <f t="shared" si="221"/>
        <v>Temple St</v>
      </c>
      <c r="V1013" t="s">
        <v>14</v>
      </c>
      <c r="W1013" t="str">
        <f t="shared" si="222"/>
        <v>Massachusetts Ave</v>
      </c>
      <c r="X1013" t="str">
        <f>IF(ISBLANK(S1013),"Intersection","Non-Intersection")</f>
        <v>Intersection</v>
      </c>
      <c r="Y1013" t="s">
        <v>1820</v>
      </c>
      <c r="Z1013" t="str">
        <f t="shared" si="223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24"/>
        <v>40179</v>
      </c>
      <c r="D1014" s="4">
        <f t="shared" si="225"/>
        <v>0.68493150684931503</v>
      </c>
      <c r="E1014" s="3">
        <f t="shared" si="226"/>
        <v>2010</v>
      </c>
      <c r="F1014" s="3">
        <f t="shared" si="227"/>
        <v>9</v>
      </c>
      <c r="G1014" s="3">
        <f t="shared" si="228"/>
        <v>8</v>
      </c>
      <c r="H1014" s="3">
        <f t="shared" si="229"/>
        <v>7</v>
      </c>
      <c r="I1014" s="3">
        <f t="shared" si="230"/>
        <v>30</v>
      </c>
      <c r="J1014" s="3">
        <f t="shared" si="231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32"/>
        <v>YES</v>
      </c>
      <c r="Q1014" t="str">
        <f t="shared" si="233"/>
        <v>NO</v>
      </c>
      <c r="R1014" t="str">
        <f t="shared" si="234"/>
        <v>NO</v>
      </c>
      <c r="T1014" t="s">
        <v>745</v>
      </c>
      <c r="U1014" t="str">
        <f t="shared" si="221"/>
        <v>Norfolk St</v>
      </c>
      <c r="V1014" t="s">
        <v>74</v>
      </c>
      <c r="W1014" t="str">
        <f t="shared" si="222"/>
        <v>Hampshire St</v>
      </c>
      <c r="X1014" t="str">
        <f>IF(ISBLANK(S1014),"Intersection","Non-Intersection")</f>
        <v>Intersection</v>
      </c>
      <c r="Y1014" t="s">
        <v>1821</v>
      </c>
      <c r="Z1014" t="str">
        <f t="shared" si="223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24"/>
        <v>40179</v>
      </c>
      <c r="D1015" s="4">
        <f t="shared" si="225"/>
        <v>0.68493150684931503</v>
      </c>
      <c r="E1015" s="3">
        <f t="shared" si="226"/>
        <v>2010</v>
      </c>
      <c r="F1015" s="3">
        <f t="shared" si="227"/>
        <v>9</v>
      </c>
      <c r="G1015" s="3">
        <f t="shared" si="228"/>
        <v>8</v>
      </c>
      <c r="H1015" s="3">
        <f t="shared" si="229"/>
        <v>8</v>
      </c>
      <c r="I1015" s="3">
        <f t="shared" si="230"/>
        <v>15</v>
      </c>
      <c r="J1015" s="3">
        <f t="shared" si="231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32"/>
        <v>YES</v>
      </c>
      <c r="Q1015" t="str">
        <f t="shared" si="233"/>
        <v>NO</v>
      </c>
      <c r="R1015" t="str">
        <f t="shared" si="234"/>
        <v>NO</v>
      </c>
      <c r="T1015" t="s">
        <v>45</v>
      </c>
      <c r="U1015" t="str">
        <f t="shared" si="221"/>
        <v>Sherman St</v>
      </c>
      <c r="V1015" t="s">
        <v>1823</v>
      </c>
      <c r="W1015" t="str">
        <f t="shared" si="222"/>
        <v>Walden Square Rd</v>
      </c>
      <c r="X1015" t="str">
        <f>IF(ISBLANK(S1015),"Intersection","Non-Intersection")</f>
        <v>Intersection</v>
      </c>
      <c r="Y1015" t="s">
        <v>1824</v>
      </c>
      <c r="Z1015" t="str">
        <f t="shared" si="223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24"/>
        <v>40179</v>
      </c>
      <c r="D1016" s="4">
        <f t="shared" si="225"/>
        <v>0.68493150684931503</v>
      </c>
      <c r="E1016" s="3">
        <f t="shared" si="226"/>
        <v>2010</v>
      </c>
      <c r="F1016" s="3">
        <f t="shared" si="227"/>
        <v>9</v>
      </c>
      <c r="G1016" s="3">
        <f t="shared" si="228"/>
        <v>8</v>
      </c>
      <c r="H1016" s="3">
        <f t="shared" si="229"/>
        <v>14</v>
      </c>
      <c r="I1016" s="3">
        <f t="shared" si="230"/>
        <v>45</v>
      </c>
      <c r="J1016" s="3">
        <f t="shared" si="231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32"/>
        <v>YES</v>
      </c>
      <c r="Q1016" t="str">
        <f t="shared" si="233"/>
        <v>NO</v>
      </c>
      <c r="R1016" t="str">
        <f t="shared" si="234"/>
        <v>NO</v>
      </c>
      <c r="T1016" t="s">
        <v>105</v>
      </c>
      <c r="U1016" t="str">
        <f t="shared" si="221"/>
        <v>Broadway</v>
      </c>
      <c r="V1016" t="s">
        <v>971</v>
      </c>
      <c r="W1016" t="str">
        <f t="shared" si="222"/>
        <v>Ellsworth Ave</v>
      </c>
      <c r="X1016" t="str">
        <f>IF(ISBLANK(S1016),"Intersection","Non-Intersection")</f>
        <v>Intersection</v>
      </c>
      <c r="Y1016" t="s">
        <v>1826</v>
      </c>
      <c r="Z1016" t="str">
        <f t="shared" si="223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24"/>
        <v>40179</v>
      </c>
      <c r="D1017" s="4">
        <f t="shared" si="225"/>
        <v>0.68493150684931503</v>
      </c>
      <c r="E1017" s="3">
        <f t="shared" si="226"/>
        <v>2010</v>
      </c>
      <c r="F1017" s="3">
        <f t="shared" si="227"/>
        <v>9</v>
      </c>
      <c r="G1017" s="3">
        <f t="shared" si="228"/>
        <v>8</v>
      </c>
      <c r="H1017" s="3">
        <f t="shared" si="229"/>
        <v>17</v>
      </c>
      <c r="I1017" s="3">
        <f t="shared" si="230"/>
        <v>10</v>
      </c>
      <c r="J1017" s="3">
        <f t="shared" si="231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32"/>
        <v>YES</v>
      </c>
      <c r="Q1017" t="str">
        <f t="shared" si="233"/>
        <v>YES</v>
      </c>
      <c r="R1017" t="str">
        <f t="shared" si="234"/>
        <v>NO</v>
      </c>
      <c r="T1017" t="s">
        <v>14</v>
      </c>
      <c r="U1017" t="str">
        <f t="shared" si="221"/>
        <v>Massachusetts Ave</v>
      </c>
      <c r="V1017" t="s">
        <v>195</v>
      </c>
      <c r="W1017" t="str">
        <f t="shared" si="222"/>
        <v>Sidney St</v>
      </c>
      <c r="X1017" t="str">
        <f>IF(ISBLANK(S1017),"Intersection","Non-Intersection")</f>
        <v>Intersection</v>
      </c>
      <c r="Y1017" t="s">
        <v>196</v>
      </c>
      <c r="Z1017" t="str">
        <f t="shared" si="223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24"/>
        <v>40179</v>
      </c>
      <c r="D1018" s="4">
        <f t="shared" si="225"/>
        <v>0.68493150684931503</v>
      </c>
      <c r="E1018" s="3">
        <f t="shared" si="226"/>
        <v>2010</v>
      </c>
      <c r="F1018" s="3">
        <f t="shared" si="227"/>
        <v>9</v>
      </c>
      <c r="G1018" s="3">
        <f t="shared" si="228"/>
        <v>8</v>
      </c>
      <c r="H1018" s="3">
        <f t="shared" si="229"/>
        <v>18</v>
      </c>
      <c r="I1018" s="3">
        <f t="shared" si="230"/>
        <v>11</v>
      </c>
      <c r="J1018" s="3">
        <f t="shared" si="231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32"/>
        <v>YES</v>
      </c>
      <c r="Q1018" t="str">
        <f t="shared" si="233"/>
        <v>YES</v>
      </c>
      <c r="R1018" t="str">
        <f t="shared" si="234"/>
        <v>NO</v>
      </c>
      <c r="T1018" t="s">
        <v>19</v>
      </c>
      <c r="U1018" t="str">
        <f t="shared" si="221"/>
        <v>Cambridge St</v>
      </c>
      <c r="V1018" t="s">
        <v>134</v>
      </c>
      <c r="W1018" t="str">
        <f t="shared" si="222"/>
        <v>Quincy St</v>
      </c>
      <c r="X1018" t="str">
        <f>IF(ISBLANK(S1018),"Intersection","Non-Intersection")</f>
        <v>Intersection</v>
      </c>
      <c r="Y1018" t="s">
        <v>150</v>
      </c>
      <c r="Z1018" t="str">
        <f t="shared" si="223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24"/>
        <v>40179</v>
      </c>
      <c r="D1019" s="4">
        <f t="shared" si="225"/>
        <v>0.68493150684931503</v>
      </c>
      <c r="E1019" s="3">
        <f t="shared" si="226"/>
        <v>2010</v>
      </c>
      <c r="F1019" s="3">
        <f t="shared" si="227"/>
        <v>9</v>
      </c>
      <c r="G1019" s="3">
        <f t="shared" si="228"/>
        <v>8</v>
      </c>
      <c r="H1019" s="3">
        <f t="shared" si="229"/>
        <v>21</v>
      </c>
      <c r="I1019" s="3">
        <f t="shared" si="230"/>
        <v>0</v>
      </c>
      <c r="J1019" s="3">
        <f t="shared" si="231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32"/>
        <v>YES</v>
      </c>
      <c r="Q1019" t="str">
        <f t="shared" si="233"/>
        <v>NO</v>
      </c>
      <c r="R1019" t="str">
        <f t="shared" si="234"/>
        <v>NO</v>
      </c>
      <c r="S1019">
        <v>106</v>
      </c>
      <c r="T1019" t="s">
        <v>70</v>
      </c>
      <c r="U1019" t="str">
        <f t="shared" si="221"/>
        <v>Pearl St</v>
      </c>
      <c r="W1019" t="str">
        <f t="shared" si="222"/>
        <v/>
      </c>
      <c r="X1019" t="str">
        <f>IF(ISBLANK(S1019),"Intersection","Non-Intersection")</f>
        <v>Non-Intersection</v>
      </c>
      <c r="Y1019" t="s">
        <v>1828</v>
      </c>
      <c r="Z1019" t="str">
        <f t="shared" si="223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24"/>
        <v>40179</v>
      </c>
      <c r="D1020" s="4">
        <f t="shared" si="225"/>
        <v>0.68493150684931503</v>
      </c>
      <c r="E1020" s="3">
        <f t="shared" si="226"/>
        <v>2010</v>
      </c>
      <c r="F1020" s="3">
        <f t="shared" si="227"/>
        <v>9</v>
      </c>
      <c r="G1020" s="3">
        <f t="shared" si="228"/>
        <v>8</v>
      </c>
      <c r="H1020" s="3">
        <f t="shared" si="229"/>
        <v>10</v>
      </c>
      <c r="I1020" s="3">
        <f t="shared" si="230"/>
        <v>54</v>
      </c>
      <c r="J1020" s="3">
        <f t="shared" si="231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32"/>
        <v>YES</v>
      </c>
      <c r="Q1020" t="str">
        <f t="shared" si="233"/>
        <v>NO</v>
      </c>
      <c r="R1020" t="str">
        <f t="shared" si="234"/>
        <v>NO</v>
      </c>
      <c r="T1020" t="s">
        <v>14</v>
      </c>
      <c r="U1020" t="str">
        <f t="shared" si="221"/>
        <v>Massachusetts Ave</v>
      </c>
      <c r="V1020" t="s">
        <v>1830</v>
      </c>
      <c r="W1020" t="str">
        <f t="shared" si="222"/>
        <v>Gladstone St</v>
      </c>
      <c r="X1020" t="str">
        <f>IF(ISBLANK(S1020),"Intersection","Non-Intersection")</f>
        <v>Intersection</v>
      </c>
      <c r="Y1020" t="s">
        <v>1831</v>
      </c>
      <c r="Z1020" t="str">
        <f t="shared" si="223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24"/>
        <v>40179</v>
      </c>
      <c r="D1021" s="4">
        <f t="shared" si="225"/>
        <v>0.68767123287671228</v>
      </c>
      <c r="E1021" s="3">
        <f t="shared" si="226"/>
        <v>2010</v>
      </c>
      <c r="F1021" s="3">
        <f t="shared" si="227"/>
        <v>9</v>
      </c>
      <c r="G1021" s="3">
        <f t="shared" si="228"/>
        <v>9</v>
      </c>
      <c r="H1021" s="3">
        <f t="shared" si="229"/>
        <v>9</v>
      </c>
      <c r="I1021" s="3">
        <f t="shared" si="230"/>
        <v>59</v>
      </c>
      <c r="J1021" s="3">
        <f t="shared" si="231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32"/>
        <v>YES</v>
      </c>
      <c r="Q1021" t="str">
        <f t="shared" si="233"/>
        <v>NO</v>
      </c>
      <c r="R1021" t="str">
        <f t="shared" si="234"/>
        <v>NO</v>
      </c>
      <c r="S1021">
        <v>775</v>
      </c>
      <c r="T1021" t="s">
        <v>203</v>
      </c>
      <c r="U1021" t="str">
        <f t="shared" si="221"/>
        <v>Memorial Dr</v>
      </c>
      <c r="W1021" t="str">
        <f t="shared" si="222"/>
        <v/>
      </c>
      <c r="X1021" t="str">
        <f>IF(ISBLANK(S1021),"Intersection","Non-Intersection")</f>
        <v>Non-Intersection</v>
      </c>
      <c r="Y1021" t="s">
        <v>1833</v>
      </c>
      <c r="Z1021" t="str">
        <f t="shared" si="223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24"/>
        <v>40179</v>
      </c>
      <c r="D1022" s="4">
        <f t="shared" si="225"/>
        <v>0.68767123287671228</v>
      </c>
      <c r="E1022" s="3">
        <f t="shared" si="226"/>
        <v>2010</v>
      </c>
      <c r="F1022" s="3">
        <f t="shared" si="227"/>
        <v>9</v>
      </c>
      <c r="G1022" s="3">
        <f t="shared" si="228"/>
        <v>9</v>
      </c>
      <c r="H1022" s="3">
        <f t="shared" si="229"/>
        <v>12</v>
      </c>
      <c r="I1022" s="3">
        <f t="shared" si="230"/>
        <v>0</v>
      </c>
      <c r="J1022" s="3">
        <f t="shared" si="231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32"/>
        <v>YES</v>
      </c>
      <c r="Q1022" t="str">
        <f t="shared" si="233"/>
        <v>NO</v>
      </c>
      <c r="R1022" t="str">
        <f t="shared" si="234"/>
        <v>NO</v>
      </c>
      <c r="S1022">
        <v>325</v>
      </c>
      <c r="T1022" t="s">
        <v>133</v>
      </c>
      <c r="U1022" t="str">
        <f t="shared" si="221"/>
        <v>Harvard St</v>
      </c>
      <c r="W1022" t="str">
        <f t="shared" si="222"/>
        <v/>
      </c>
      <c r="X1022" t="str">
        <f>IF(ISBLANK(S1022),"Intersection","Non-Intersection")</f>
        <v>Non-Intersection</v>
      </c>
      <c r="Y1022" t="s">
        <v>1835</v>
      </c>
      <c r="Z1022" t="str">
        <f t="shared" si="223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24"/>
        <v>40179</v>
      </c>
      <c r="D1023" s="4">
        <f t="shared" si="225"/>
        <v>0.68767123287671228</v>
      </c>
      <c r="E1023" s="3">
        <f t="shared" si="226"/>
        <v>2010</v>
      </c>
      <c r="F1023" s="3">
        <f t="shared" si="227"/>
        <v>9</v>
      </c>
      <c r="G1023" s="3">
        <f t="shared" si="228"/>
        <v>9</v>
      </c>
      <c r="H1023" s="3">
        <f t="shared" si="229"/>
        <v>12</v>
      </c>
      <c r="I1023" s="3">
        <f t="shared" si="230"/>
        <v>59</v>
      </c>
      <c r="J1023" s="3">
        <f t="shared" si="231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32"/>
        <v>YES</v>
      </c>
      <c r="Q1023" t="str">
        <f t="shared" si="233"/>
        <v>NO</v>
      </c>
      <c r="R1023" t="str">
        <f t="shared" si="234"/>
        <v>NO</v>
      </c>
      <c r="T1023" t="s">
        <v>105</v>
      </c>
      <c r="U1023" t="str">
        <f t="shared" si="221"/>
        <v>Broadway</v>
      </c>
      <c r="V1023" t="s">
        <v>667</v>
      </c>
      <c r="W1023" t="str">
        <f t="shared" si="222"/>
        <v>Tremont St</v>
      </c>
      <c r="X1023" t="str">
        <f>IF(ISBLANK(S1023),"Intersection","Non-Intersection")</f>
        <v>Intersection</v>
      </c>
      <c r="Y1023" t="s">
        <v>1721</v>
      </c>
      <c r="Z1023" t="str">
        <f t="shared" si="223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24"/>
        <v>40179</v>
      </c>
      <c r="D1024" s="4">
        <f t="shared" si="225"/>
        <v>0.68767123287671228</v>
      </c>
      <c r="E1024" s="3">
        <f t="shared" si="226"/>
        <v>2010</v>
      </c>
      <c r="F1024" s="3">
        <f t="shared" si="227"/>
        <v>9</v>
      </c>
      <c r="G1024" s="3">
        <f t="shared" si="228"/>
        <v>9</v>
      </c>
      <c r="H1024" s="3">
        <f t="shared" si="229"/>
        <v>17</v>
      </c>
      <c r="I1024" s="3">
        <f t="shared" si="230"/>
        <v>0</v>
      </c>
      <c r="J1024" s="3">
        <f t="shared" si="231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32"/>
        <v>YES</v>
      </c>
      <c r="Q1024" t="str">
        <f t="shared" si="233"/>
        <v>NO</v>
      </c>
      <c r="R1024" t="str">
        <f t="shared" si="234"/>
        <v>NO</v>
      </c>
      <c r="S1024">
        <v>730</v>
      </c>
      <c r="T1024" t="s">
        <v>203</v>
      </c>
      <c r="U1024" t="str">
        <f t="shared" si="221"/>
        <v>Memorial Dr</v>
      </c>
      <c r="W1024" t="str">
        <f t="shared" si="222"/>
        <v/>
      </c>
      <c r="X1024" t="str">
        <f>IF(ISBLANK(S1024),"Intersection","Non-Intersection")</f>
        <v>Non-Intersection</v>
      </c>
      <c r="Y1024" t="s">
        <v>236</v>
      </c>
      <c r="Z1024" t="str">
        <f t="shared" si="223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24"/>
        <v>40179</v>
      </c>
      <c r="D1025" s="4">
        <f t="shared" si="225"/>
        <v>0.68767123287671228</v>
      </c>
      <c r="E1025" s="3">
        <f t="shared" si="226"/>
        <v>2010</v>
      </c>
      <c r="F1025" s="3">
        <f t="shared" si="227"/>
        <v>9</v>
      </c>
      <c r="G1025" s="3">
        <f t="shared" si="228"/>
        <v>9</v>
      </c>
      <c r="H1025" s="3">
        <f t="shared" si="229"/>
        <v>15</v>
      </c>
      <c r="I1025" s="3">
        <f t="shared" si="230"/>
        <v>59</v>
      </c>
      <c r="J1025" s="3">
        <f t="shared" si="231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32"/>
        <v>YES</v>
      </c>
      <c r="Q1025" t="str">
        <f t="shared" si="233"/>
        <v>NO</v>
      </c>
      <c r="R1025" t="str">
        <f t="shared" si="234"/>
        <v>NO</v>
      </c>
      <c r="S1025">
        <v>730</v>
      </c>
      <c r="T1025" t="s">
        <v>203</v>
      </c>
      <c r="U1025" t="str">
        <f t="shared" si="221"/>
        <v>Memorial Dr</v>
      </c>
      <c r="W1025" t="str">
        <f t="shared" si="222"/>
        <v/>
      </c>
      <c r="X1025" t="str">
        <f>IF(ISBLANK(S1025),"Intersection","Non-Intersection")</f>
        <v>Non-Intersection</v>
      </c>
      <c r="Y1025" t="s">
        <v>236</v>
      </c>
      <c r="Z1025" t="str">
        <f t="shared" si="223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24"/>
        <v>40179</v>
      </c>
      <c r="D1026" s="4">
        <f t="shared" si="225"/>
        <v>0.68767123287671228</v>
      </c>
      <c r="E1026" s="3">
        <f t="shared" si="226"/>
        <v>2010</v>
      </c>
      <c r="F1026" s="3">
        <f t="shared" si="227"/>
        <v>9</v>
      </c>
      <c r="G1026" s="3">
        <f t="shared" si="228"/>
        <v>9</v>
      </c>
      <c r="H1026" s="3">
        <f t="shared" si="229"/>
        <v>1</v>
      </c>
      <c r="I1026" s="3">
        <f t="shared" si="230"/>
        <v>34</v>
      </c>
      <c r="J1026" s="3">
        <f t="shared" si="231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32"/>
        <v>YES</v>
      </c>
      <c r="Q1026" t="str">
        <f t="shared" si="233"/>
        <v>NO</v>
      </c>
      <c r="R1026" t="str">
        <f t="shared" si="234"/>
        <v>NO</v>
      </c>
      <c r="T1026" t="s">
        <v>14</v>
      </c>
      <c r="U1026" t="str">
        <f t="shared" si="221"/>
        <v>Massachusetts Ave</v>
      </c>
      <c r="V1026" t="s">
        <v>634</v>
      </c>
      <c r="W1026" t="str">
        <f t="shared" si="222"/>
        <v>Chauncy St</v>
      </c>
      <c r="X1026" t="str">
        <f>IF(ISBLANK(S1026),"Intersection","Non-Intersection")</f>
        <v>Intersection</v>
      </c>
      <c r="Y1026" t="s">
        <v>1837</v>
      </c>
      <c r="Z1026" t="str">
        <f t="shared" si="223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24"/>
        <v>40179</v>
      </c>
      <c r="D1027" s="4">
        <f t="shared" si="225"/>
        <v>0.68767123287671228</v>
      </c>
      <c r="E1027" s="3">
        <f t="shared" si="226"/>
        <v>2010</v>
      </c>
      <c r="F1027" s="3">
        <f t="shared" si="227"/>
        <v>9</v>
      </c>
      <c r="G1027" s="3">
        <f t="shared" si="228"/>
        <v>9</v>
      </c>
      <c r="H1027" s="3">
        <f t="shared" si="229"/>
        <v>13</v>
      </c>
      <c r="I1027" s="3">
        <f t="shared" si="230"/>
        <v>34</v>
      </c>
      <c r="J1027" s="3">
        <f t="shared" si="231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32"/>
        <v>YES</v>
      </c>
      <c r="Q1027" t="str">
        <f t="shared" si="233"/>
        <v>NO</v>
      </c>
      <c r="R1027" t="str">
        <f t="shared" si="234"/>
        <v>NO</v>
      </c>
      <c r="T1027" t="s">
        <v>14</v>
      </c>
      <c r="U1027" t="str">
        <f t="shared" ref="U1027:U1090" si="235">TRIM(PROPER(T1027))</f>
        <v>Massachusetts Ave</v>
      </c>
      <c r="V1027" t="s">
        <v>634</v>
      </c>
      <c r="W1027" t="str">
        <f t="shared" ref="W1027:W1090" si="236">TRIM(PROPER(V1027))</f>
        <v>Chauncy St</v>
      </c>
      <c r="X1027" t="str">
        <f>IF(ISBLANK(S1027),"Intersection","Non-Intersection")</f>
        <v>Intersection</v>
      </c>
      <c r="Y1027" t="s">
        <v>1837</v>
      </c>
      <c r="Z1027" t="str">
        <f t="shared" ref="Z1027:Z1090" si="237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24"/>
        <v>40179</v>
      </c>
      <c r="D1028" s="4">
        <f t="shared" si="225"/>
        <v>0.69041095890410964</v>
      </c>
      <c r="E1028" s="3">
        <f t="shared" si="226"/>
        <v>2010</v>
      </c>
      <c r="F1028" s="3">
        <f t="shared" si="227"/>
        <v>9</v>
      </c>
      <c r="G1028" s="3">
        <f t="shared" si="228"/>
        <v>10</v>
      </c>
      <c r="H1028" s="3">
        <f t="shared" si="229"/>
        <v>10</v>
      </c>
      <c r="I1028" s="3">
        <f t="shared" si="230"/>
        <v>44</v>
      </c>
      <c r="J1028" s="3">
        <f t="shared" si="231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32"/>
        <v>YES</v>
      </c>
      <c r="Q1028" t="str">
        <f t="shared" si="233"/>
        <v>NO</v>
      </c>
      <c r="R1028" t="str">
        <f t="shared" si="234"/>
        <v>NO</v>
      </c>
      <c r="T1028" t="s">
        <v>104</v>
      </c>
      <c r="U1028" t="str">
        <f t="shared" si="235"/>
        <v>Inman St</v>
      </c>
      <c r="V1028" t="s">
        <v>316</v>
      </c>
      <c r="W1028" t="str">
        <f t="shared" si="236"/>
        <v>Bishop Allen Dr</v>
      </c>
      <c r="X1028" t="str">
        <f>IF(ISBLANK(S1028),"Intersection","Non-Intersection")</f>
        <v>Intersection</v>
      </c>
      <c r="Y1028" t="s">
        <v>1839</v>
      </c>
      <c r="Z1028" t="str">
        <f t="shared" si="237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24"/>
        <v>40179</v>
      </c>
      <c r="D1029" s="4">
        <f t="shared" si="225"/>
        <v>0.69315068493150689</v>
      </c>
      <c r="E1029" s="3">
        <f t="shared" si="226"/>
        <v>2010</v>
      </c>
      <c r="F1029" s="3">
        <f t="shared" si="227"/>
        <v>9</v>
      </c>
      <c r="G1029" s="3">
        <f t="shared" si="228"/>
        <v>11</v>
      </c>
      <c r="H1029" s="3">
        <f t="shared" si="229"/>
        <v>1</v>
      </c>
      <c r="I1029" s="3">
        <f t="shared" si="230"/>
        <v>47</v>
      </c>
      <c r="J1029" s="3">
        <f t="shared" si="231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32"/>
        <v>YES</v>
      </c>
      <c r="Q1029" t="str">
        <f t="shared" si="233"/>
        <v>NO</v>
      </c>
      <c r="R1029" t="str">
        <f t="shared" si="234"/>
        <v>YES</v>
      </c>
      <c r="S1029">
        <v>9</v>
      </c>
      <c r="T1029" t="s">
        <v>1841</v>
      </c>
      <c r="U1029" t="str">
        <f t="shared" si="235"/>
        <v>Linden St</v>
      </c>
      <c r="W1029" t="str">
        <f t="shared" si="236"/>
        <v/>
      </c>
      <c r="X1029" t="str">
        <f>IF(ISBLANK(S1029),"Intersection","Non-Intersection")</f>
        <v>Non-Intersection</v>
      </c>
      <c r="Y1029" t="s">
        <v>1842</v>
      </c>
      <c r="Z1029" t="str">
        <f t="shared" si="237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24"/>
        <v>40179</v>
      </c>
      <c r="D1030" s="4">
        <f t="shared" si="225"/>
        <v>0.69315068493150689</v>
      </c>
      <c r="E1030" s="3">
        <f t="shared" si="226"/>
        <v>2010</v>
      </c>
      <c r="F1030" s="3">
        <f t="shared" si="227"/>
        <v>9</v>
      </c>
      <c r="G1030" s="3">
        <f t="shared" si="228"/>
        <v>11</v>
      </c>
      <c r="H1030" s="3">
        <f t="shared" si="229"/>
        <v>13</v>
      </c>
      <c r="I1030" s="3">
        <f t="shared" si="230"/>
        <v>30</v>
      </c>
      <c r="J1030" s="3">
        <f t="shared" si="231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32"/>
        <v>YES</v>
      </c>
      <c r="Q1030" t="str">
        <f t="shared" si="233"/>
        <v>NO</v>
      </c>
      <c r="R1030" t="str">
        <f t="shared" si="234"/>
        <v>NO</v>
      </c>
      <c r="S1030">
        <v>306</v>
      </c>
      <c r="T1030" t="s">
        <v>142</v>
      </c>
      <c r="U1030" t="str">
        <f t="shared" si="235"/>
        <v>Huron Ave</v>
      </c>
      <c r="W1030" t="str">
        <f t="shared" si="236"/>
        <v/>
      </c>
      <c r="X1030" t="str">
        <f>IF(ISBLANK(S1030),"Intersection","Non-Intersection")</f>
        <v>Non-Intersection</v>
      </c>
      <c r="Y1030" t="s">
        <v>1844</v>
      </c>
      <c r="Z1030" t="str">
        <f t="shared" si="237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24"/>
        <v>40179</v>
      </c>
      <c r="D1031" s="4">
        <f t="shared" si="225"/>
        <v>0.69315068493150689</v>
      </c>
      <c r="E1031" s="3">
        <f t="shared" si="226"/>
        <v>2010</v>
      </c>
      <c r="F1031" s="3">
        <f t="shared" si="227"/>
        <v>9</v>
      </c>
      <c r="G1031" s="3">
        <f t="shared" si="228"/>
        <v>11</v>
      </c>
      <c r="H1031" s="3">
        <f t="shared" si="229"/>
        <v>18</v>
      </c>
      <c r="I1031" s="3">
        <f t="shared" si="230"/>
        <v>0</v>
      </c>
      <c r="J1031" s="3">
        <f t="shared" si="231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32"/>
        <v>YES</v>
      </c>
      <c r="Q1031" t="str">
        <f t="shared" si="233"/>
        <v>NO</v>
      </c>
      <c r="R1031" t="str">
        <f t="shared" si="234"/>
        <v>NO</v>
      </c>
      <c r="T1031" t="s">
        <v>37</v>
      </c>
      <c r="U1031" t="str">
        <f t="shared" si="235"/>
        <v>Magazine St</v>
      </c>
      <c r="V1031" t="s">
        <v>1612</v>
      </c>
      <c r="W1031" t="str">
        <f t="shared" si="236"/>
        <v>William St</v>
      </c>
      <c r="X1031" t="str">
        <f>IF(ISBLANK(S1031),"Intersection","Non-Intersection")</f>
        <v>Intersection</v>
      </c>
      <c r="Y1031" t="s">
        <v>1613</v>
      </c>
      <c r="Z1031" t="str">
        <f t="shared" si="237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24"/>
        <v>40179</v>
      </c>
      <c r="D1032" s="4">
        <f t="shared" si="225"/>
        <v>0.69589041095890414</v>
      </c>
      <c r="E1032" s="3">
        <f t="shared" si="226"/>
        <v>2010</v>
      </c>
      <c r="F1032" s="3">
        <f t="shared" si="227"/>
        <v>9</v>
      </c>
      <c r="G1032" s="3">
        <f t="shared" si="228"/>
        <v>12</v>
      </c>
      <c r="H1032" s="3">
        <f t="shared" si="229"/>
        <v>15</v>
      </c>
      <c r="I1032" s="3">
        <f t="shared" si="230"/>
        <v>18</v>
      </c>
      <c r="J1032" s="3">
        <f t="shared" si="231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32"/>
        <v>YES</v>
      </c>
      <c r="Q1032" t="str">
        <f t="shared" si="233"/>
        <v>YES</v>
      </c>
      <c r="R1032" t="str">
        <f t="shared" si="234"/>
        <v>NO</v>
      </c>
      <c r="T1032" t="s">
        <v>14</v>
      </c>
      <c r="U1032" t="str">
        <f t="shared" si="235"/>
        <v>Massachusetts Ave</v>
      </c>
      <c r="V1032" t="s">
        <v>1846</v>
      </c>
      <c r="W1032" t="str">
        <f t="shared" si="236"/>
        <v>Smart St</v>
      </c>
      <c r="X1032" t="str">
        <f>IF(ISBLANK(S1032),"Intersection","Non-Intersection")</f>
        <v>Intersection</v>
      </c>
      <c r="Y1032" t="s">
        <v>1847</v>
      </c>
      <c r="Z1032" t="str">
        <f t="shared" si="237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24"/>
        <v>40179</v>
      </c>
      <c r="D1033" s="4">
        <f t="shared" si="225"/>
        <v>0.69589041095890414</v>
      </c>
      <c r="E1033" s="3">
        <f t="shared" si="226"/>
        <v>2010</v>
      </c>
      <c r="F1033" s="3">
        <f t="shared" si="227"/>
        <v>9</v>
      </c>
      <c r="G1033" s="3">
        <f t="shared" si="228"/>
        <v>12</v>
      </c>
      <c r="H1033" s="3">
        <f t="shared" si="229"/>
        <v>11</v>
      </c>
      <c r="I1033" s="3">
        <f t="shared" si="230"/>
        <v>25</v>
      </c>
      <c r="J1033" s="3">
        <f t="shared" si="231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32"/>
        <v>YES</v>
      </c>
      <c r="Q1033" t="str">
        <f t="shared" si="233"/>
        <v>NO</v>
      </c>
      <c r="R1033" t="str">
        <f t="shared" si="234"/>
        <v>NO</v>
      </c>
      <c r="T1033" t="s">
        <v>202</v>
      </c>
      <c r="U1033" t="str">
        <f t="shared" si="235"/>
        <v>Vassar St</v>
      </c>
      <c r="V1033" t="s">
        <v>32</v>
      </c>
      <c r="W1033" t="str">
        <f t="shared" si="236"/>
        <v>Main St</v>
      </c>
      <c r="X1033" t="str">
        <f>IF(ISBLANK(S1033),"Intersection","Non-Intersection")</f>
        <v>Intersection</v>
      </c>
      <c r="Y1033" t="s">
        <v>624</v>
      </c>
      <c r="Z1033" t="str">
        <f t="shared" si="237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24"/>
        <v>40179</v>
      </c>
      <c r="D1034" s="4">
        <f t="shared" si="225"/>
        <v>0.69589041095890414</v>
      </c>
      <c r="E1034" s="3">
        <f t="shared" si="226"/>
        <v>2010</v>
      </c>
      <c r="F1034" s="3">
        <f t="shared" si="227"/>
        <v>9</v>
      </c>
      <c r="G1034" s="3">
        <f t="shared" si="228"/>
        <v>12</v>
      </c>
      <c r="H1034" s="3">
        <f t="shared" si="229"/>
        <v>15</v>
      </c>
      <c r="I1034" s="3">
        <f t="shared" si="230"/>
        <v>34</v>
      </c>
      <c r="J1034" s="3">
        <f t="shared" si="231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32"/>
        <v>YES</v>
      </c>
      <c r="Q1034" t="str">
        <f t="shared" si="233"/>
        <v>NO</v>
      </c>
      <c r="R1034" t="str">
        <f t="shared" si="234"/>
        <v>NO</v>
      </c>
      <c r="S1034">
        <v>1426</v>
      </c>
      <c r="T1034" t="s">
        <v>14</v>
      </c>
      <c r="U1034" t="str">
        <f t="shared" si="235"/>
        <v>Massachusetts Ave</v>
      </c>
      <c r="W1034" t="str">
        <f t="shared" si="236"/>
        <v/>
      </c>
      <c r="X1034" t="str">
        <f>IF(ISBLANK(S1034),"Intersection","Non-Intersection")</f>
        <v>Non-Intersection</v>
      </c>
      <c r="Y1034" t="s">
        <v>1849</v>
      </c>
      <c r="Z1034" t="str">
        <f t="shared" si="237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24"/>
        <v>40179</v>
      </c>
      <c r="D1035" s="4">
        <f t="shared" si="225"/>
        <v>0.69589041095890414</v>
      </c>
      <c r="E1035" s="3">
        <f t="shared" si="226"/>
        <v>2010</v>
      </c>
      <c r="F1035" s="3">
        <f t="shared" si="227"/>
        <v>9</v>
      </c>
      <c r="G1035" s="3">
        <f t="shared" si="228"/>
        <v>12</v>
      </c>
      <c r="H1035" s="3">
        <f t="shared" si="229"/>
        <v>17</v>
      </c>
      <c r="I1035" s="3">
        <f t="shared" si="230"/>
        <v>0</v>
      </c>
      <c r="J1035" s="3">
        <f t="shared" si="231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32"/>
        <v>YES</v>
      </c>
      <c r="Q1035" t="str">
        <f t="shared" si="233"/>
        <v>NO</v>
      </c>
      <c r="R1035" t="str">
        <f t="shared" si="234"/>
        <v>NO</v>
      </c>
      <c r="S1035">
        <v>79</v>
      </c>
      <c r="T1035" t="s">
        <v>326</v>
      </c>
      <c r="U1035" t="str">
        <f t="shared" si="235"/>
        <v>Jfk St</v>
      </c>
      <c r="W1035" t="str">
        <f t="shared" si="236"/>
        <v/>
      </c>
      <c r="X1035" t="str">
        <f>IF(ISBLANK(S1035),"Intersection","Non-Intersection")</f>
        <v>Non-Intersection</v>
      </c>
      <c r="Y1035" t="s">
        <v>1851</v>
      </c>
      <c r="Z1035" t="str">
        <f t="shared" si="237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24"/>
        <v>40179</v>
      </c>
      <c r="D1036" s="4">
        <f t="shared" si="225"/>
        <v>0.69863013698630139</v>
      </c>
      <c r="E1036" s="3">
        <f t="shared" si="226"/>
        <v>2010</v>
      </c>
      <c r="F1036" s="3">
        <f t="shared" si="227"/>
        <v>9</v>
      </c>
      <c r="G1036" s="3">
        <f t="shared" si="228"/>
        <v>13</v>
      </c>
      <c r="H1036" s="3">
        <f t="shared" si="229"/>
        <v>9</v>
      </c>
      <c r="I1036" s="3">
        <f t="shared" si="230"/>
        <v>59</v>
      </c>
      <c r="J1036" s="3">
        <f t="shared" si="231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32"/>
        <v>YES</v>
      </c>
      <c r="Q1036" t="str">
        <f t="shared" si="233"/>
        <v>NO</v>
      </c>
      <c r="R1036" t="str">
        <f t="shared" si="234"/>
        <v>NO</v>
      </c>
      <c r="S1036">
        <v>1</v>
      </c>
      <c r="T1036" t="s">
        <v>105</v>
      </c>
      <c r="U1036" t="str">
        <f t="shared" si="235"/>
        <v>Broadway</v>
      </c>
      <c r="V1036" t="s">
        <v>260</v>
      </c>
      <c r="W1036" t="str">
        <f t="shared" si="236"/>
        <v>Third St</v>
      </c>
      <c r="X1036" t="str">
        <f>IF(ISBLANK(S1036),"Intersection","Non-Intersection")</f>
        <v>Non-Intersection</v>
      </c>
      <c r="Y1036" t="s">
        <v>283</v>
      </c>
      <c r="Z1036" t="str">
        <f t="shared" si="237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24"/>
        <v>40179</v>
      </c>
      <c r="D1037" s="4">
        <f t="shared" si="225"/>
        <v>0.69863013698630139</v>
      </c>
      <c r="E1037" s="3">
        <f t="shared" si="226"/>
        <v>2010</v>
      </c>
      <c r="F1037" s="3">
        <f t="shared" si="227"/>
        <v>9</v>
      </c>
      <c r="G1037" s="3">
        <f t="shared" si="228"/>
        <v>13</v>
      </c>
      <c r="H1037" s="3">
        <f t="shared" si="229"/>
        <v>12</v>
      </c>
      <c r="I1037" s="3">
        <f t="shared" si="230"/>
        <v>14</v>
      </c>
      <c r="J1037" s="3">
        <f t="shared" si="231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32"/>
        <v>YES</v>
      </c>
      <c r="Q1037" t="str">
        <f t="shared" si="233"/>
        <v>NO</v>
      </c>
      <c r="R1037" t="str">
        <f t="shared" si="234"/>
        <v>NO</v>
      </c>
      <c r="T1037" t="s">
        <v>133</v>
      </c>
      <c r="U1037" t="str">
        <f t="shared" si="235"/>
        <v>Harvard St</v>
      </c>
      <c r="V1037" t="s">
        <v>1226</v>
      </c>
      <c r="W1037" t="str">
        <f t="shared" si="236"/>
        <v>Dana St</v>
      </c>
      <c r="X1037" t="str">
        <f>IF(ISBLANK(S1037),"Intersection","Non-Intersection")</f>
        <v>Intersection</v>
      </c>
      <c r="Y1037" t="s">
        <v>1853</v>
      </c>
      <c r="Z1037" t="str">
        <f t="shared" si="237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24"/>
        <v>40179</v>
      </c>
      <c r="D1038" s="4">
        <f t="shared" si="225"/>
        <v>0.69863013698630139</v>
      </c>
      <c r="E1038" s="3">
        <f t="shared" si="226"/>
        <v>2010</v>
      </c>
      <c r="F1038" s="3">
        <f t="shared" si="227"/>
        <v>9</v>
      </c>
      <c r="G1038" s="3">
        <f t="shared" si="228"/>
        <v>13</v>
      </c>
      <c r="H1038" s="3">
        <f t="shared" si="229"/>
        <v>17</v>
      </c>
      <c r="I1038" s="3">
        <f t="shared" si="230"/>
        <v>49</v>
      </c>
      <c r="J1038" s="3">
        <f t="shared" si="231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32"/>
        <v>NO</v>
      </c>
      <c r="Q1038" t="str">
        <f t="shared" si="233"/>
        <v>YES</v>
      </c>
      <c r="R1038" t="str">
        <f t="shared" si="234"/>
        <v>NO</v>
      </c>
      <c r="T1038" t="s">
        <v>105</v>
      </c>
      <c r="U1038" t="str">
        <f t="shared" si="235"/>
        <v>Broadway</v>
      </c>
      <c r="V1038" t="s">
        <v>396</v>
      </c>
      <c r="W1038" t="str">
        <f t="shared" si="236"/>
        <v>Prescott St</v>
      </c>
      <c r="X1038" t="str">
        <f>IF(ISBLANK(S1038),"Intersection","Non-Intersection")</f>
        <v>Intersection</v>
      </c>
      <c r="Y1038" t="s">
        <v>397</v>
      </c>
      <c r="Z1038" t="str">
        <f t="shared" si="237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24"/>
        <v>40179</v>
      </c>
      <c r="D1039" s="4">
        <f t="shared" si="225"/>
        <v>0.69863013698630139</v>
      </c>
      <c r="E1039" s="3">
        <f t="shared" si="226"/>
        <v>2010</v>
      </c>
      <c r="F1039" s="3">
        <f t="shared" si="227"/>
        <v>9</v>
      </c>
      <c r="G1039" s="3">
        <f t="shared" si="228"/>
        <v>13</v>
      </c>
      <c r="H1039" s="3">
        <f t="shared" si="229"/>
        <v>19</v>
      </c>
      <c r="I1039" s="3">
        <f t="shared" si="230"/>
        <v>11</v>
      </c>
      <c r="J1039" s="3">
        <f t="shared" si="231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32"/>
        <v>YES</v>
      </c>
      <c r="Q1039" t="str">
        <f t="shared" si="233"/>
        <v>NO</v>
      </c>
      <c r="R1039" t="str">
        <f t="shared" si="234"/>
        <v>YES</v>
      </c>
      <c r="S1039">
        <v>55</v>
      </c>
      <c r="T1039" t="s">
        <v>105</v>
      </c>
      <c r="U1039" t="str">
        <f t="shared" si="235"/>
        <v>Broadway</v>
      </c>
      <c r="W1039" t="str">
        <f t="shared" si="236"/>
        <v/>
      </c>
      <c r="X1039" t="str">
        <f>IF(ISBLANK(S1039),"Intersection","Non-Intersection")</f>
        <v>Non-Intersection</v>
      </c>
      <c r="Y1039" t="s">
        <v>590</v>
      </c>
      <c r="Z1039" t="str">
        <f t="shared" si="237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24"/>
        <v>40179</v>
      </c>
      <c r="D1040" s="4">
        <f t="shared" si="225"/>
        <v>0.69863013698630139</v>
      </c>
      <c r="E1040" s="3">
        <f t="shared" si="226"/>
        <v>2010</v>
      </c>
      <c r="F1040" s="3">
        <f t="shared" si="227"/>
        <v>9</v>
      </c>
      <c r="G1040" s="3">
        <f t="shared" si="228"/>
        <v>13</v>
      </c>
      <c r="H1040" s="3">
        <f t="shared" si="229"/>
        <v>13</v>
      </c>
      <c r="I1040" s="3">
        <f t="shared" si="230"/>
        <v>30</v>
      </c>
      <c r="J1040" s="3">
        <f t="shared" si="231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32"/>
        <v>YES</v>
      </c>
      <c r="Q1040" t="str">
        <f t="shared" si="233"/>
        <v>NO</v>
      </c>
      <c r="R1040" t="str">
        <f t="shared" si="234"/>
        <v>NO</v>
      </c>
      <c r="T1040" t="s">
        <v>690</v>
      </c>
      <c r="U1040" t="str">
        <f t="shared" si="235"/>
        <v>Evereteze Way</v>
      </c>
      <c r="V1040" t="s">
        <v>189</v>
      </c>
      <c r="W1040" t="str">
        <f t="shared" si="236"/>
        <v>Windsor St</v>
      </c>
      <c r="X1040" t="str">
        <f>IF(ISBLANK(S1040),"Intersection","Non-Intersection")</f>
        <v>Intersection</v>
      </c>
      <c r="Y1040" t="s">
        <v>1855</v>
      </c>
      <c r="Z1040" t="str">
        <f t="shared" si="237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38">EOMONTH(B1041,MONTH(B1041)*-1)+1</f>
        <v>40179</v>
      </c>
      <c r="D1041" s="4">
        <f t="shared" ref="D1041:D1100" si="239">YEARFRAC(C1041,B1041,1)</f>
        <v>0.69863013698630139</v>
      </c>
      <c r="E1041" s="3">
        <f t="shared" ref="E1041:E1100" si="240">YEAR(B1041)</f>
        <v>2010</v>
      </c>
      <c r="F1041" s="3">
        <f t="shared" ref="F1041:F1100" si="241">MONTH(B1041)</f>
        <v>9</v>
      </c>
      <c r="G1041" s="3">
        <f t="shared" ref="G1041:G1100" si="242">DAY(B1041)</f>
        <v>13</v>
      </c>
      <c r="H1041" s="3">
        <f t="shared" ref="H1041:H1100" si="243">HOUR(B1041)</f>
        <v>20</v>
      </c>
      <c r="I1041" s="3">
        <f t="shared" ref="I1041:I1100" si="244">MINUTE(B1041)</f>
        <v>39</v>
      </c>
      <c r="J1041" s="3">
        <f t="shared" ref="J1041:J1100" si="245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46">IF(OR(N1041="Auto",O1041="Auto"),"YES",IF(OR(N1041="Taxi",O1041="Taxi"),"YES",IF(OR(N1041="Van",O1041="Van"),"YES",IF(OR(N1041="Truck",O1041="Truck"),"YES","NO"))))</f>
        <v>YES</v>
      </c>
      <c r="Q1041" t="str">
        <f t="shared" ref="Q1041:Q1100" si="247">IF(OR(N1041="Bicycle",O1041="Bicycle"),"YES","NO")</f>
        <v>NO</v>
      </c>
      <c r="R1041" t="str">
        <f t="shared" ref="R1041:R1100" si="248">IF(OR(N1041="Pedestrian",O1041="Pedestrian"),"YES","NO")</f>
        <v>NO</v>
      </c>
      <c r="T1041" t="s">
        <v>14</v>
      </c>
      <c r="U1041" t="str">
        <f t="shared" si="235"/>
        <v>Massachusetts Ave</v>
      </c>
      <c r="V1041" t="s">
        <v>1182</v>
      </c>
      <c r="W1041" t="str">
        <f t="shared" si="236"/>
        <v>Amherst St</v>
      </c>
      <c r="X1041" t="str">
        <f>IF(ISBLANK(S1041),"Intersection","Non-Intersection")</f>
        <v>Intersection</v>
      </c>
      <c r="Y1041" t="s">
        <v>1240</v>
      </c>
      <c r="Z1041" t="str">
        <f t="shared" si="237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38"/>
        <v>40179</v>
      </c>
      <c r="D1042" s="4">
        <f t="shared" si="239"/>
        <v>0.69863013698630139</v>
      </c>
      <c r="E1042" s="3">
        <f t="shared" si="240"/>
        <v>2010</v>
      </c>
      <c r="F1042" s="3">
        <f t="shared" si="241"/>
        <v>9</v>
      </c>
      <c r="G1042" s="3">
        <f t="shared" si="242"/>
        <v>13</v>
      </c>
      <c r="H1042" s="3">
        <f t="shared" si="243"/>
        <v>15</v>
      </c>
      <c r="I1042" s="3">
        <f t="shared" si="244"/>
        <v>0</v>
      </c>
      <c r="J1042" s="3">
        <f t="shared" si="245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46"/>
        <v>YES</v>
      </c>
      <c r="Q1042" t="str">
        <f t="shared" si="247"/>
        <v>NO</v>
      </c>
      <c r="R1042" t="str">
        <f t="shared" si="248"/>
        <v>NO</v>
      </c>
      <c r="T1042" t="s">
        <v>198</v>
      </c>
      <c r="U1042" t="str">
        <f t="shared" si="235"/>
        <v>Mount Auburn St</v>
      </c>
      <c r="W1042" t="str">
        <f t="shared" si="236"/>
        <v/>
      </c>
      <c r="X1042" t="str">
        <f>IF(ISBLANK(S1042),"Intersection","Non-Intersection")</f>
        <v>Intersection</v>
      </c>
      <c r="Y1042" t="s">
        <v>441</v>
      </c>
      <c r="Z1042" t="str">
        <f t="shared" si="237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38"/>
        <v>40179</v>
      </c>
      <c r="D1043" s="4">
        <f t="shared" si="239"/>
        <v>0.69863013698630139</v>
      </c>
      <c r="E1043" s="3">
        <f t="shared" si="240"/>
        <v>2010</v>
      </c>
      <c r="F1043" s="3">
        <f t="shared" si="241"/>
        <v>9</v>
      </c>
      <c r="G1043" s="3">
        <f t="shared" si="242"/>
        <v>13</v>
      </c>
      <c r="H1043" s="3">
        <f t="shared" si="243"/>
        <v>14</v>
      </c>
      <c r="I1043" s="3">
        <f t="shared" si="244"/>
        <v>29</v>
      </c>
      <c r="J1043" s="3">
        <f t="shared" si="245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46"/>
        <v>YES</v>
      </c>
      <c r="Q1043" t="str">
        <f t="shared" si="247"/>
        <v>NO</v>
      </c>
      <c r="R1043" t="str">
        <f t="shared" si="248"/>
        <v>NO</v>
      </c>
      <c r="S1043">
        <v>243</v>
      </c>
      <c r="T1043" t="s">
        <v>74</v>
      </c>
      <c r="U1043" t="str">
        <f t="shared" si="235"/>
        <v>Hampshire St</v>
      </c>
      <c r="V1043" t="s">
        <v>19</v>
      </c>
      <c r="W1043" t="str">
        <f t="shared" si="236"/>
        <v>Cambridge St</v>
      </c>
      <c r="X1043" t="str">
        <f>IF(ISBLANK(S1043),"Intersection","Non-Intersection")</f>
        <v>Non-Intersection</v>
      </c>
      <c r="Y1043" t="s">
        <v>1857</v>
      </c>
      <c r="Z1043" t="str">
        <f t="shared" si="237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38"/>
        <v>40179</v>
      </c>
      <c r="D1044" s="4">
        <f t="shared" si="239"/>
        <v>0.70136986301369864</v>
      </c>
      <c r="E1044" s="3">
        <f t="shared" si="240"/>
        <v>2010</v>
      </c>
      <c r="F1044" s="3">
        <f t="shared" si="241"/>
        <v>9</v>
      </c>
      <c r="G1044" s="3">
        <f t="shared" si="242"/>
        <v>14</v>
      </c>
      <c r="H1044" s="3">
        <f t="shared" si="243"/>
        <v>12</v>
      </c>
      <c r="I1044" s="3">
        <f t="shared" si="244"/>
        <v>0</v>
      </c>
      <c r="J1044" s="3">
        <f t="shared" si="245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46"/>
        <v>YES</v>
      </c>
      <c r="Q1044" t="str">
        <f t="shared" si="247"/>
        <v>NO</v>
      </c>
      <c r="R1044" t="str">
        <f t="shared" si="248"/>
        <v>NO</v>
      </c>
      <c r="S1044">
        <v>100</v>
      </c>
      <c r="T1044" t="s">
        <v>1062</v>
      </c>
      <c r="U1044" t="str">
        <f t="shared" si="235"/>
        <v>Cambridgeside Pl</v>
      </c>
      <c r="W1044" t="str">
        <f t="shared" si="236"/>
        <v/>
      </c>
      <c r="X1044" t="str">
        <f>IF(ISBLANK(S1044),"Intersection","Non-Intersection")</f>
        <v>Non-Intersection</v>
      </c>
      <c r="Y1044" t="s">
        <v>1143</v>
      </c>
      <c r="Z1044" t="str">
        <f t="shared" si="237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38"/>
        <v>40179</v>
      </c>
      <c r="D1045" s="4">
        <f t="shared" si="239"/>
        <v>0.70136986301369864</v>
      </c>
      <c r="E1045" s="3">
        <f t="shared" si="240"/>
        <v>2010</v>
      </c>
      <c r="F1045" s="3">
        <f t="shared" si="241"/>
        <v>9</v>
      </c>
      <c r="G1045" s="3">
        <f t="shared" si="242"/>
        <v>14</v>
      </c>
      <c r="H1045" s="3">
        <f t="shared" si="243"/>
        <v>15</v>
      </c>
      <c r="I1045" s="3">
        <f t="shared" si="244"/>
        <v>59</v>
      </c>
      <c r="J1045" s="3">
        <f t="shared" si="245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46"/>
        <v>YES</v>
      </c>
      <c r="Q1045" t="str">
        <f t="shared" si="247"/>
        <v>YES</v>
      </c>
      <c r="R1045" t="str">
        <f t="shared" si="248"/>
        <v>NO</v>
      </c>
      <c r="T1045" t="s">
        <v>126</v>
      </c>
      <c r="U1045" t="str">
        <f t="shared" si="235"/>
        <v>Somerville Ave</v>
      </c>
      <c r="V1045" t="s">
        <v>14</v>
      </c>
      <c r="W1045" t="str">
        <f t="shared" si="236"/>
        <v>Massachusetts Ave</v>
      </c>
      <c r="X1045" t="str">
        <f>IF(ISBLANK(S1045),"Intersection","Non-Intersection")</f>
        <v>Intersection</v>
      </c>
      <c r="Y1045" t="s">
        <v>1859</v>
      </c>
      <c r="Z1045" t="str">
        <f t="shared" si="237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38"/>
        <v>40179</v>
      </c>
      <c r="D1046" s="4">
        <f t="shared" si="239"/>
        <v>0.70136986301369864</v>
      </c>
      <c r="E1046" s="3">
        <f t="shared" si="240"/>
        <v>2010</v>
      </c>
      <c r="F1046" s="3">
        <f t="shared" si="241"/>
        <v>9</v>
      </c>
      <c r="G1046" s="3">
        <f t="shared" si="242"/>
        <v>14</v>
      </c>
      <c r="H1046" s="3">
        <f t="shared" si="243"/>
        <v>17</v>
      </c>
      <c r="I1046" s="3">
        <f t="shared" si="244"/>
        <v>0</v>
      </c>
      <c r="J1046" s="3">
        <f t="shared" si="245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46"/>
        <v>YES</v>
      </c>
      <c r="Q1046" t="str">
        <f t="shared" si="247"/>
        <v>NO</v>
      </c>
      <c r="R1046" t="str">
        <f t="shared" si="248"/>
        <v>NO</v>
      </c>
      <c r="S1046">
        <v>343</v>
      </c>
      <c r="T1046" t="s">
        <v>27</v>
      </c>
      <c r="U1046" t="str">
        <f t="shared" si="235"/>
        <v>Western Ave</v>
      </c>
      <c r="V1046" t="s">
        <v>42</v>
      </c>
      <c r="W1046" t="str">
        <f t="shared" si="236"/>
        <v>Putnam Ave</v>
      </c>
      <c r="X1046" t="str">
        <f>IF(ISBLANK(S1046),"Intersection","Non-Intersection")</f>
        <v>Non-Intersection</v>
      </c>
      <c r="Y1046" t="s">
        <v>1860</v>
      </c>
      <c r="Z1046" t="str">
        <f t="shared" si="237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38"/>
        <v>40179</v>
      </c>
      <c r="D1047" s="4">
        <f t="shared" si="239"/>
        <v>0.70136986301369864</v>
      </c>
      <c r="E1047" s="3">
        <f t="shared" si="240"/>
        <v>2010</v>
      </c>
      <c r="F1047" s="3">
        <f t="shared" si="241"/>
        <v>9</v>
      </c>
      <c r="G1047" s="3">
        <f t="shared" si="242"/>
        <v>14</v>
      </c>
      <c r="H1047" s="3">
        <f t="shared" si="243"/>
        <v>18</v>
      </c>
      <c r="I1047" s="3">
        <f t="shared" si="244"/>
        <v>24</v>
      </c>
      <c r="J1047" s="3">
        <f t="shared" si="245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46"/>
        <v>YES</v>
      </c>
      <c r="Q1047" t="str">
        <f t="shared" si="247"/>
        <v>NO</v>
      </c>
      <c r="R1047" t="str">
        <f t="shared" si="248"/>
        <v>NO</v>
      </c>
      <c r="S1047">
        <v>29</v>
      </c>
      <c r="T1047" t="s">
        <v>166</v>
      </c>
      <c r="U1047" t="str">
        <f t="shared" si="235"/>
        <v>Oxford Ave</v>
      </c>
      <c r="W1047" t="str">
        <f t="shared" si="236"/>
        <v/>
      </c>
      <c r="X1047" t="str">
        <f>IF(ISBLANK(S1047),"Intersection","Non-Intersection")</f>
        <v>Non-Intersection</v>
      </c>
      <c r="Y1047" t="s">
        <v>1862</v>
      </c>
      <c r="Z1047" t="str">
        <f t="shared" si="237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38"/>
        <v>40179</v>
      </c>
      <c r="D1048" s="4">
        <f t="shared" si="239"/>
        <v>0.70136986301369864</v>
      </c>
      <c r="E1048" s="3">
        <f t="shared" si="240"/>
        <v>2010</v>
      </c>
      <c r="F1048" s="3">
        <f t="shared" si="241"/>
        <v>9</v>
      </c>
      <c r="G1048" s="3">
        <f t="shared" si="242"/>
        <v>14</v>
      </c>
      <c r="H1048" s="3">
        <f t="shared" si="243"/>
        <v>18</v>
      </c>
      <c r="I1048" s="3">
        <f t="shared" si="244"/>
        <v>11</v>
      </c>
      <c r="J1048" s="3">
        <f t="shared" si="245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46"/>
        <v>YES</v>
      </c>
      <c r="Q1048" t="str">
        <f t="shared" si="247"/>
        <v>NO</v>
      </c>
      <c r="R1048" t="str">
        <f t="shared" si="248"/>
        <v>NO</v>
      </c>
      <c r="S1048">
        <v>375</v>
      </c>
      <c r="T1048" t="s">
        <v>27</v>
      </c>
      <c r="U1048" t="str">
        <f t="shared" si="235"/>
        <v>Western Ave</v>
      </c>
      <c r="W1048" t="str">
        <f t="shared" si="236"/>
        <v/>
      </c>
      <c r="X1048" t="str">
        <f>IF(ISBLANK(S1048),"Intersection","Non-Intersection")</f>
        <v>Non-Intersection</v>
      </c>
      <c r="Y1048" t="s">
        <v>1864</v>
      </c>
      <c r="Z1048" t="str">
        <f t="shared" si="237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38"/>
        <v>40179</v>
      </c>
      <c r="D1049" s="4">
        <f t="shared" si="239"/>
        <v>0.70410958904109588</v>
      </c>
      <c r="E1049" s="3">
        <f t="shared" si="240"/>
        <v>2010</v>
      </c>
      <c r="F1049" s="3">
        <f t="shared" si="241"/>
        <v>9</v>
      </c>
      <c r="G1049" s="3">
        <f t="shared" si="242"/>
        <v>15</v>
      </c>
      <c r="H1049" s="3">
        <f t="shared" si="243"/>
        <v>1</v>
      </c>
      <c r="I1049" s="3">
        <f t="shared" si="244"/>
        <v>15</v>
      </c>
      <c r="J1049" s="3">
        <f t="shared" si="245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46"/>
        <v>YES</v>
      </c>
      <c r="Q1049" t="str">
        <f t="shared" si="247"/>
        <v>NO</v>
      </c>
      <c r="R1049" t="str">
        <f t="shared" si="248"/>
        <v>NO</v>
      </c>
      <c r="T1049" t="s">
        <v>14</v>
      </c>
      <c r="U1049" t="str">
        <f t="shared" si="235"/>
        <v>Massachusetts Ave</v>
      </c>
      <c r="V1049" t="s">
        <v>178</v>
      </c>
      <c r="W1049" t="str">
        <f t="shared" si="236"/>
        <v>Pleasant St</v>
      </c>
      <c r="X1049" t="str">
        <f>IF(ISBLANK(S1049),"Intersection","Non-Intersection")</f>
        <v>Intersection</v>
      </c>
      <c r="Y1049" t="s">
        <v>1866</v>
      </c>
      <c r="Z1049" t="str">
        <f t="shared" si="237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38"/>
        <v>40179</v>
      </c>
      <c r="D1050" s="4">
        <f t="shared" si="239"/>
        <v>0.70410958904109588</v>
      </c>
      <c r="E1050" s="3">
        <f t="shared" si="240"/>
        <v>2010</v>
      </c>
      <c r="F1050" s="3">
        <f t="shared" si="241"/>
        <v>9</v>
      </c>
      <c r="G1050" s="3">
        <f t="shared" si="242"/>
        <v>15</v>
      </c>
      <c r="H1050" s="3">
        <f t="shared" si="243"/>
        <v>11</v>
      </c>
      <c r="I1050" s="3">
        <f t="shared" si="244"/>
        <v>39</v>
      </c>
      <c r="J1050" s="3">
        <f t="shared" si="245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46"/>
        <v>YES</v>
      </c>
      <c r="Q1050" t="str">
        <f t="shared" si="247"/>
        <v>YES</v>
      </c>
      <c r="R1050" t="str">
        <f t="shared" si="248"/>
        <v>NO</v>
      </c>
      <c r="S1050">
        <v>738</v>
      </c>
      <c r="T1050" t="s">
        <v>14</v>
      </c>
      <c r="U1050" t="str">
        <f t="shared" si="235"/>
        <v>Massachusetts Ave</v>
      </c>
      <c r="W1050" t="str">
        <f t="shared" si="236"/>
        <v/>
      </c>
      <c r="X1050" t="str">
        <f>IF(ISBLANK(S1050),"Intersection","Non-Intersection")</f>
        <v>Non-Intersection</v>
      </c>
      <c r="Y1050" t="s">
        <v>1868</v>
      </c>
      <c r="Z1050" t="str">
        <f t="shared" si="237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38"/>
        <v>40179</v>
      </c>
      <c r="D1051" s="4">
        <f t="shared" si="239"/>
        <v>0.70410958904109588</v>
      </c>
      <c r="E1051" s="3">
        <f t="shared" si="240"/>
        <v>2010</v>
      </c>
      <c r="F1051" s="3">
        <f t="shared" si="241"/>
        <v>9</v>
      </c>
      <c r="G1051" s="3">
        <f t="shared" si="242"/>
        <v>15</v>
      </c>
      <c r="H1051" s="3">
        <f t="shared" si="243"/>
        <v>17</v>
      </c>
      <c r="I1051" s="3">
        <f t="shared" si="244"/>
        <v>19</v>
      </c>
      <c r="J1051" s="3">
        <f t="shared" si="245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46"/>
        <v>YES</v>
      </c>
      <c r="Q1051" t="str">
        <f t="shared" si="247"/>
        <v>NO</v>
      </c>
      <c r="R1051" t="str">
        <f t="shared" si="248"/>
        <v>NO</v>
      </c>
      <c r="T1051" t="s">
        <v>260</v>
      </c>
      <c r="U1051" t="str">
        <f t="shared" si="235"/>
        <v>Third St</v>
      </c>
      <c r="V1051" t="s">
        <v>1502</v>
      </c>
      <c r="W1051" t="str">
        <f t="shared" si="236"/>
        <v>Gore St</v>
      </c>
      <c r="X1051" t="str">
        <f>IF(ISBLANK(S1051),"Intersection","Non-Intersection")</f>
        <v>Intersection</v>
      </c>
      <c r="Y1051" t="s">
        <v>1503</v>
      </c>
      <c r="Z1051" t="str">
        <f t="shared" si="237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38"/>
        <v>40179</v>
      </c>
      <c r="D1052" s="4">
        <f t="shared" si="239"/>
        <v>0.70684931506849313</v>
      </c>
      <c r="E1052" s="3">
        <f t="shared" si="240"/>
        <v>2010</v>
      </c>
      <c r="F1052" s="3">
        <f t="shared" si="241"/>
        <v>9</v>
      </c>
      <c r="G1052" s="3">
        <f t="shared" si="242"/>
        <v>16</v>
      </c>
      <c r="H1052" s="3">
        <f t="shared" si="243"/>
        <v>18</v>
      </c>
      <c r="I1052" s="3">
        <f t="shared" si="244"/>
        <v>30</v>
      </c>
      <c r="J1052" s="3">
        <f t="shared" si="245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46"/>
        <v>NO</v>
      </c>
      <c r="Q1052" t="str">
        <f t="shared" si="247"/>
        <v>YES</v>
      </c>
      <c r="R1052" t="str">
        <f t="shared" si="248"/>
        <v>NO</v>
      </c>
      <c r="S1052">
        <v>120</v>
      </c>
      <c r="T1052" t="s">
        <v>74</v>
      </c>
      <c r="U1052" t="str">
        <f t="shared" si="235"/>
        <v>Hampshire St</v>
      </c>
      <c r="W1052" t="str">
        <f t="shared" si="236"/>
        <v/>
      </c>
      <c r="X1052" t="str">
        <f>IF(ISBLANK(S1052),"Intersection","Non-Intersection")</f>
        <v>Non-Intersection</v>
      </c>
      <c r="Y1052" t="s">
        <v>1870</v>
      </c>
      <c r="Z1052" t="str">
        <f t="shared" si="237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38"/>
        <v>40179</v>
      </c>
      <c r="D1053" s="4">
        <f t="shared" si="239"/>
        <v>0.70684931506849313</v>
      </c>
      <c r="E1053" s="3">
        <f t="shared" si="240"/>
        <v>2010</v>
      </c>
      <c r="F1053" s="3">
        <f t="shared" si="241"/>
        <v>9</v>
      </c>
      <c r="G1053" s="3">
        <f t="shared" si="242"/>
        <v>16</v>
      </c>
      <c r="H1053" s="3">
        <f t="shared" si="243"/>
        <v>9</v>
      </c>
      <c r="I1053" s="3">
        <f t="shared" si="244"/>
        <v>0</v>
      </c>
      <c r="J1053" s="3">
        <f t="shared" si="245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46"/>
        <v>YES</v>
      </c>
      <c r="Q1053" t="str">
        <f t="shared" si="247"/>
        <v>NO</v>
      </c>
      <c r="R1053" t="str">
        <f t="shared" si="248"/>
        <v>NO</v>
      </c>
      <c r="T1053" t="s">
        <v>252</v>
      </c>
      <c r="U1053" t="str">
        <f t="shared" si="235"/>
        <v>Walden St</v>
      </c>
      <c r="V1053" t="s">
        <v>155</v>
      </c>
      <c r="W1053" t="str">
        <f t="shared" si="236"/>
        <v>Richdale Ave</v>
      </c>
      <c r="X1053" t="str">
        <f>IF(ISBLANK(S1053),"Intersection","Non-Intersection")</f>
        <v>Intersection</v>
      </c>
      <c r="Y1053" t="s">
        <v>1763</v>
      </c>
      <c r="Z1053" t="str">
        <f t="shared" si="237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38"/>
        <v>40179</v>
      </c>
      <c r="D1054" s="4">
        <f t="shared" si="239"/>
        <v>0.70684931506849313</v>
      </c>
      <c r="E1054" s="3">
        <f t="shared" si="240"/>
        <v>2010</v>
      </c>
      <c r="F1054" s="3">
        <f t="shared" si="241"/>
        <v>9</v>
      </c>
      <c r="G1054" s="3">
        <f t="shared" si="242"/>
        <v>16</v>
      </c>
      <c r="H1054" s="3">
        <f t="shared" si="243"/>
        <v>9</v>
      </c>
      <c r="I1054" s="3">
        <f t="shared" si="244"/>
        <v>20</v>
      </c>
      <c r="J1054" s="3">
        <f t="shared" si="245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46"/>
        <v>YES</v>
      </c>
      <c r="Q1054" t="str">
        <f t="shared" si="247"/>
        <v>YES</v>
      </c>
      <c r="R1054" t="str">
        <f t="shared" si="248"/>
        <v>NO</v>
      </c>
      <c r="T1054" t="s">
        <v>74</v>
      </c>
      <c r="U1054" t="str">
        <f t="shared" si="235"/>
        <v>Hampshire St</v>
      </c>
      <c r="W1054" t="str">
        <f t="shared" si="236"/>
        <v/>
      </c>
      <c r="X1054" t="str">
        <f>IF(ISBLANK(S1054),"Intersection","Non-Intersection")</f>
        <v>Intersection</v>
      </c>
      <c r="Y1054" t="s">
        <v>1519</v>
      </c>
      <c r="Z1054" t="str">
        <f t="shared" si="237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38"/>
        <v>40179</v>
      </c>
      <c r="D1055" s="4">
        <f t="shared" si="239"/>
        <v>0.70684931506849313</v>
      </c>
      <c r="E1055" s="3">
        <f t="shared" si="240"/>
        <v>2010</v>
      </c>
      <c r="F1055" s="3">
        <f t="shared" si="241"/>
        <v>9</v>
      </c>
      <c r="G1055" s="3">
        <f t="shared" si="242"/>
        <v>16</v>
      </c>
      <c r="H1055" s="3">
        <f t="shared" si="243"/>
        <v>15</v>
      </c>
      <c r="I1055" s="3">
        <f t="shared" si="244"/>
        <v>0</v>
      </c>
      <c r="J1055" s="3">
        <f t="shared" si="245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46"/>
        <v>YES</v>
      </c>
      <c r="Q1055" t="str">
        <f t="shared" si="247"/>
        <v>NO</v>
      </c>
      <c r="R1055" t="str">
        <f t="shared" si="248"/>
        <v>NO</v>
      </c>
      <c r="T1055" t="s">
        <v>32</v>
      </c>
      <c r="U1055" t="str">
        <f t="shared" si="235"/>
        <v>Main St</v>
      </c>
      <c r="V1055" t="s">
        <v>203</v>
      </c>
      <c r="W1055" t="str">
        <f t="shared" si="236"/>
        <v>Memorial Dr</v>
      </c>
      <c r="X1055" t="str">
        <f>IF(ISBLANK(S1055),"Intersection","Non-Intersection")</f>
        <v>Intersection</v>
      </c>
      <c r="Y1055" t="s">
        <v>1872</v>
      </c>
      <c r="Z1055" t="str">
        <f t="shared" si="237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38"/>
        <v>40179</v>
      </c>
      <c r="D1056" s="4">
        <f t="shared" si="239"/>
        <v>0.70684931506849313</v>
      </c>
      <c r="E1056" s="3">
        <f t="shared" si="240"/>
        <v>2010</v>
      </c>
      <c r="F1056" s="3">
        <f t="shared" si="241"/>
        <v>9</v>
      </c>
      <c r="G1056" s="3">
        <f t="shared" si="242"/>
        <v>16</v>
      </c>
      <c r="H1056" s="3">
        <f t="shared" si="243"/>
        <v>18</v>
      </c>
      <c r="I1056" s="3">
        <f t="shared" si="244"/>
        <v>59</v>
      </c>
      <c r="J1056" s="3">
        <f t="shared" si="245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46"/>
        <v>YES</v>
      </c>
      <c r="Q1056" t="str">
        <f t="shared" si="247"/>
        <v>NO</v>
      </c>
      <c r="R1056" t="str">
        <f t="shared" si="248"/>
        <v>NO</v>
      </c>
      <c r="T1056" t="s">
        <v>195</v>
      </c>
      <c r="U1056" t="str">
        <f t="shared" si="235"/>
        <v>Sidney St</v>
      </c>
      <c r="V1056" t="s">
        <v>69</v>
      </c>
      <c r="W1056" t="str">
        <f t="shared" si="236"/>
        <v>Henry St</v>
      </c>
      <c r="X1056" t="str">
        <f>IF(ISBLANK(S1056),"Intersection","Non-Intersection")</f>
        <v>Intersection</v>
      </c>
      <c r="Y1056" t="s">
        <v>1874</v>
      </c>
      <c r="Z1056" t="str">
        <f t="shared" si="237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38"/>
        <v>40179</v>
      </c>
      <c r="D1057" s="4">
        <f t="shared" si="239"/>
        <v>0.70684931506849313</v>
      </c>
      <c r="E1057" s="3">
        <f t="shared" si="240"/>
        <v>2010</v>
      </c>
      <c r="F1057" s="3">
        <f t="shared" si="241"/>
        <v>9</v>
      </c>
      <c r="G1057" s="3">
        <f t="shared" si="242"/>
        <v>16</v>
      </c>
      <c r="H1057" s="3">
        <f t="shared" si="243"/>
        <v>20</v>
      </c>
      <c r="I1057" s="3">
        <f t="shared" si="244"/>
        <v>19</v>
      </c>
      <c r="J1057" s="3">
        <f t="shared" si="245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46"/>
        <v>YES</v>
      </c>
      <c r="Q1057" t="str">
        <f t="shared" si="247"/>
        <v>NO</v>
      </c>
      <c r="R1057" t="str">
        <f t="shared" si="248"/>
        <v>NO</v>
      </c>
      <c r="T1057" t="s">
        <v>209</v>
      </c>
      <c r="U1057" t="str">
        <f t="shared" si="235"/>
        <v>Binney St</v>
      </c>
      <c r="V1057" t="s">
        <v>147</v>
      </c>
      <c r="W1057" t="str">
        <f t="shared" si="236"/>
        <v>Sixth St</v>
      </c>
      <c r="X1057" t="str">
        <f>IF(ISBLANK(S1057),"Intersection","Non-Intersection")</f>
        <v>Intersection</v>
      </c>
      <c r="Y1057" t="s">
        <v>1876</v>
      </c>
      <c r="Z1057" t="str">
        <f t="shared" si="237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38"/>
        <v>40179</v>
      </c>
      <c r="D1058" s="4">
        <f t="shared" si="239"/>
        <v>0.70684931506849313</v>
      </c>
      <c r="E1058" s="3">
        <f t="shared" si="240"/>
        <v>2010</v>
      </c>
      <c r="F1058" s="3">
        <f t="shared" si="241"/>
        <v>9</v>
      </c>
      <c r="G1058" s="3">
        <f t="shared" si="242"/>
        <v>16</v>
      </c>
      <c r="H1058" s="3">
        <f t="shared" si="243"/>
        <v>20</v>
      </c>
      <c r="I1058" s="3">
        <f t="shared" si="244"/>
        <v>19</v>
      </c>
      <c r="J1058" s="3">
        <f t="shared" si="245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46"/>
        <v>YES</v>
      </c>
      <c r="Q1058" t="str">
        <f t="shared" si="247"/>
        <v>NO</v>
      </c>
      <c r="R1058" t="str">
        <f t="shared" si="248"/>
        <v>NO</v>
      </c>
      <c r="T1058" t="s">
        <v>690</v>
      </c>
      <c r="U1058" t="str">
        <f t="shared" si="235"/>
        <v>Evereteze Way</v>
      </c>
      <c r="V1058" t="s">
        <v>19</v>
      </c>
      <c r="W1058" t="str">
        <f t="shared" si="236"/>
        <v>Cambridge St</v>
      </c>
      <c r="X1058" t="str">
        <f>IF(ISBLANK(S1058),"Intersection","Non-Intersection")</f>
        <v>Intersection</v>
      </c>
      <c r="Y1058" t="s">
        <v>1878</v>
      </c>
      <c r="Z1058" t="str">
        <f t="shared" si="237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38"/>
        <v>40179</v>
      </c>
      <c r="D1059" s="4">
        <f t="shared" si="239"/>
        <v>0.70684931506849313</v>
      </c>
      <c r="E1059" s="3">
        <f t="shared" si="240"/>
        <v>2010</v>
      </c>
      <c r="F1059" s="3">
        <f t="shared" si="241"/>
        <v>9</v>
      </c>
      <c r="G1059" s="3">
        <f t="shared" si="242"/>
        <v>16</v>
      </c>
      <c r="H1059" s="3">
        <f t="shared" si="243"/>
        <v>15</v>
      </c>
      <c r="I1059" s="3">
        <f t="shared" si="244"/>
        <v>30</v>
      </c>
      <c r="J1059" s="3">
        <f t="shared" si="245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46"/>
        <v>YES</v>
      </c>
      <c r="Q1059" t="str">
        <f t="shared" si="247"/>
        <v>YES</v>
      </c>
      <c r="R1059" t="str">
        <f t="shared" si="248"/>
        <v>NO</v>
      </c>
      <c r="T1059" t="s">
        <v>14</v>
      </c>
      <c r="U1059" t="str">
        <f t="shared" si="235"/>
        <v>Massachusetts Ave</v>
      </c>
      <c r="V1059" t="s">
        <v>675</v>
      </c>
      <c r="W1059" t="str">
        <f t="shared" si="236"/>
        <v>Roseland St</v>
      </c>
      <c r="X1059" t="str">
        <f>IF(ISBLANK(S1059),"Intersection","Non-Intersection")</f>
        <v>Intersection</v>
      </c>
      <c r="Y1059" t="s">
        <v>1882</v>
      </c>
      <c r="Z1059" t="str">
        <f t="shared" si="237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38"/>
        <v>40179</v>
      </c>
      <c r="D1060" s="4">
        <f t="shared" si="239"/>
        <v>0.70684931506849313</v>
      </c>
      <c r="E1060" s="3">
        <f t="shared" si="240"/>
        <v>2010</v>
      </c>
      <c r="F1060" s="3">
        <f t="shared" si="241"/>
        <v>9</v>
      </c>
      <c r="G1060" s="3">
        <f t="shared" si="242"/>
        <v>16</v>
      </c>
      <c r="H1060" s="3">
        <f t="shared" si="243"/>
        <v>21</v>
      </c>
      <c r="I1060" s="3">
        <f t="shared" si="244"/>
        <v>30</v>
      </c>
      <c r="J1060" s="3">
        <f t="shared" si="245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46"/>
        <v>YES</v>
      </c>
      <c r="Q1060" t="str">
        <f t="shared" si="247"/>
        <v>NO</v>
      </c>
      <c r="R1060" t="str">
        <f t="shared" si="248"/>
        <v>NO</v>
      </c>
      <c r="S1060">
        <v>100</v>
      </c>
      <c r="T1060" t="s">
        <v>1062</v>
      </c>
      <c r="U1060" t="str">
        <f t="shared" si="235"/>
        <v>Cambridgeside Pl</v>
      </c>
      <c r="W1060" t="str">
        <f t="shared" si="236"/>
        <v/>
      </c>
      <c r="X1060" t="str">
        <f>IF(ISBLANK(S1060),"Intersection","Non-Intersection")</f>
        <v>Non-Intersection</v>
      </c>
      <c r="Y1060" t="s">
        <v>1143</v>
      </c>
      <c r="Z1060" t="str">
        <f t="shared" si="237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38"/>
        <v>40179</v>
      </c>
      <c r="D1061" s="4">
        <f t="shared" si="239"/>
        <v>0.70958904109589038</v>
      </c>
      <c r="E1061" s="3">
        <f t="shared" si="240"/>
        <v>2010</v>
      </c>
      <c r="F1061" s="3">
        <f t="shared" si="241"/>
        <v>9</v>
      </c>
      <c r="G1061" s="3">
        <f t="shared" si="242"/>
        <v>17</v>
      </c>
      <c r="H1061" s="3">
        <f t="shared" si="243"/>
        <v>11</v>
      </c>
      <c r="I1061" s="3">
        <f t="shared" si="244"/>
        <v>51</v>
      </c>
      <c r="J1061" s="3">
        <f t="shared" si="245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46"/>
        <v>YES</v>
      </c>
      <c r="Q1061" t="str">
        <f t="shared" si="247"/>
        <v>NO</v>
      </c>
      <c r="R1061" t="str">
        <f t="shared" si="248"/>
        <v>NO</v>
      </c>
      <c r="T1061" t="s">
        <v>41</v>
      </c>
      <c r="U1061" t="str">
        <f t="shared" si="235"/>
        <v>River St</v>
      </c>
      <c r="V1061" t="s">
        <v>42</v>
      </c>
      <c r="W1061" t="str">
        <f t="shared" si="236"/>
        <v>Putnam Ave</v>
      </c>
      <c r="X1061" t="str">
        <f>IF(ISBLANK(S1061),"Intersection","Non-Intersection")</f>
        <v>Intersection</v>
      </c>
      <c r="Y1061" t="s">
        <v>43</v>
      </c>
      <c r="Z1061" t="str">
        <f t="shared" si="237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38"/>
        <v>40179</v>
      </c>
      <c r="D1062" s="4">
        <f t="shared" si="239"/>
        <v>0.70958904109589038</v>
      </c>
      <c r="E1062" s="3">
        <f t="shared" si="240"/>
        <v>2010</v>
      </c>
      <c r="F1062" s="3">
        <f t="shared" si="241"/>
        <v>9</v>
      </c>
      <c r="G1062" s="3">
        <f t="shared" si="242"/>
        <v>17</v>
      </c>
      <c r="H1062" s="3">
        <f t="shared" si="243"/>
        <v>13</v>
      </c>
      <c r="I1062" s="3">
        <f t="shared" si="244"/>
        <v>30</v>
      </c>
      <c r="J1062" s="3">
        <f t="shared" si="245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46"/>
        <v>YES</v>
      </c>
      <c r="Q1062" t="str">
        <f t="shared" si="247"/>
        <v>NO</v>
      </c>
      <c r="R1062" t="str">
        <f t="shared" si="248"/>
        <v>NO</v>
      </c>
      <c r="S1062">
        <v>10</v>
      </c>
      <c r="T1062" t="s">
        <v>326</v>
      </c>
      <c r="U1062" t="str">
        <f t="shared" si="235"/>
        <v>Jfk St</v>
      </c>
      <c r="V1062" t="s">
        <v>199</v>
      </c>
      <c r="W1062" t="str">
        <f t="shared" si="236"/>
        <v>Brattle St</v>
      </c>
      <c r="X1062" t="str">
        <f>IF(ISBLANK(S1062),"Intersection","Non-Intersection")</f>
        <v>Non-Intersection</v>
      </c>
      <c r="Y1062" t="s">
        <v>1883</v>
      </c>
      <c r="Z1062" t="str">
        <f t="shared" si="237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38"/>
        <v>40179</v>
      </c>
      <c r="D1063" s="4">
        <f t="shared" si="239"/>
        <v>0.70958904109589038</v>
      </c>
      <c r="E1063" s="3">
        <f t="shared" si="240"/>
        <v>2010</v>
      </c>
      <c r="F1063" s="3">
        <f t="shared" si="241"/>
        <v>9</v>
      </c>
      <c r="G1063" s="3">
        <f t="shared" si="242"/>
        <v>17</v>
      </c>
      <c r="H1063" s="3">
        <f t="shared" si="243"/>
        <v>16</v>
      </c>
      <c r="I1063" s="3">
        <f t="shared" si="244"/>
        <v>30</v>
      </c>
      <c r="J1063" s="3">
        <f t="shared" si="245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46"/>
        <v>YES</v>
      </c>
      <c r="Q1063" t="str">
        <f t="shared" si="247"/>
        <v>NO</v>
      </c>
      <c r="R1063" t="str">
        <f t="shared" si="248"/>
        <v>NO</v>
      </c>
      <c r="S1063">
        <v>372</v>
      </c>
      <c r="T1063" t="s">
        <v>27</v>
      </c>
      <c r="U1063" t="str">
        <f t="shared" si="235"/>
        <v>Western Ave</v>
      </c>
      <c r="W1063" t="str">
        <f t="shared" si="236"/>
        <v/>
      </c>
      <c r="X1063" t="str">
        <f>IF(ISBLANK(S1063),"Intersection","Non-Intersection")</f>
        <v>Non-Intersection</v>
      </c>
      <c r="Y1063" t="s">
        <v>1885</v>
      </c>
      <c r="Z1063" t="str">
        <f t="shared" si="237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38"/>
        <v>40179</v>
      </c>
      <c r="D1064" s="4">
        <f t="shared" si="239"/>
        <v>0.70958904109589038</v>
      </c>
      <c r="E1064" s="3">
        <f t="shared" si="240"/>
        <v>2010</v>
      </c>
      <c r="F1064" s="3">
        <f t="shared" si="241"/>
        <v>9</v>
      </c>
      <c r="G1064" s="3">
        <f t="shared" si="242"/>
        <v>17</v>
      </c>
      <c r="H1064" s="3">
        <f t="shared" si="243"/>
        <v>17</v>
      </c>
      <c r="I1064" s="3">
        <f t="shared" si="244"/>
        <v>45</v>
      </c>
      <c r="J1064" s="3">
        <f t="shared" si="245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46"/>
        <v>YES</v>
      </c>
      <c r="Q1064" t="str">
        <f t="shared" si="247"/>
        <v>YES</v>
      </c>
      <c r="R1064" t="str">
        <f t="shared" si="248"/>
        <v>NO</v>
      </c>
      <c r="T1064" t="s">
        <v>14</v>
      </c>
      <c r="U1064" t="str">
        <f t="shared" si="235"/>
        <v>Massachusetts Ave</v>
      </c>
      <c r="V1064" t="s">
        <v>354</v>
      </c>
      <c r="W1064" t="str">
        <f t="shared" si="236"/>
        <v>Linnaean St</v>
      </c>
      <c r="X1064" t="str">
        <f>IF(ISBLANK(S1064),"Intersection","Non-Intersection")</f>
        <v>Intersection</v>
      </c>
      <c r="Y1064" t="s">
        <v>1234</v>
      </c>
      <c r="Z1064" t="str">
        <f t="shared" si="237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38"/>
        <v>40179</v>
      </c>
      <c r="D1065" s="4">
        <f t="shared" si="239"/>
        <v>0.70958904109589038</v>
      </c>
      <c r="E1065" s="3">
        <f t="shared" si="240"/>
        <v>2010</v>
      </c>
      <c r="F1065" s="3">
        <f t="shared" si="241"/>
        <v>9</v>
      </c>
      <c r="G1065" s="3">
        <f t="shared" si="242"/>
        <v>17</v>
      </c>
      <c r="H1065" s="3">
        <f t="shared" si="243"/>
        <v>17</v>
      </c>
      <c r="I1065" s="3">
        <f t="shared" si="244"/>
        <v>46</v>
      </c>
      <c r="J1065" s="3">
        <f t="shared" si="245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46"/>
        <v>YES</v>
      </c>
      <c r="Q1065" t="str">
        <f t="shared" si="247"/>
        <v>YES</v>
      </c>
      <c r="R1065" t="str">
        <f t="shared" si="248"/>
        <v>NO</v>
      </c>
      <c r="T1065" t="s">
        <v>14</v>
      </c>
      <c r="U1065" t="str">
        <f t="shared" si="235"/>
        <v>Massachusetts Ave</v>
      </c>
      <c r="V1065" t="s">
        <v>57</v>
      </c>
      <c r="W1065" t="str">
        <f t="shared" si="236"/>
        <v>Everett St</v>
      </c>
      <c r="X1065" t="str">
        <f>IF(ISBLANK(S1065),"Intersection","Non-Intersection")</f>
        <v>Intersection</v>
      </c>
      <c r="Y1065" t="s">
        <v>58</v>
      </c>
      <c r="Z1065" t="str">
        <f t="shared" si="237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38"/>
        <v>40179</v>
      </c>
      <c r="D1066" s="4">
        <f t="shared" si="239"/>
        <v>0.70958904109589038</v>
      </c>
      <c r="E1066" s="3">
        <f t="shared" si="240"/>
        <v>2010</v>
      </c>
      <c r="F1066" s="3">
        <f t="shared" si="241"/>
        <v>9</v>
      </c>
      <c r="G1066" s="3">
        <f t="shared" si="242"/>
        <v>17</v>
      </c>
      <c r="H1066" s="3">
        <f t="shared" si="243"/>
        <v>14</v>
      </c>
      <c r="I1066" s="3">
        <f t="shared" si="244"/>
        <v>0</v>
      </c>
      <c r="J1066" s="3">
        <f t="shared" si="245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46"/>
        <v>YES</v>
      </c>
      <c r="Q1066" t="str">
        <f t="shared" si="247"/>
        <v>NO</v>
      </c>
      <c r="R1066" t="str">
        <f t="shared" si="248"/>
        <v>NO</v>
      </c>
      <c r="S1066">
        <v>1</v>
      </c>
      <c r="T1066" t="s">
        <v>269</v>
      </c>
      <c r="U1066" t="str">
        <f t="shared" si="235"/>
        <v>Porter Sq</v>
      </c>
      <c r="W1066" t="str">
        <f t="shared" si="236"/>
        <v/>
      </c>
      <c r="X1066" t="str">
        <f>IF(ISBLANK(S1066),"Intersection","Non-Intersection")</f>
        <v>Non-Intersection</v>
      </c>
      <c r="Y1066" t="s">
        <v>359</v>
      </c>
      <c r="Z1066" t="str">
        <f t="shared" si="237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38"/>
        <v>40179</v>
      </c>
      <c r="D1067" s="4">
        <f t="shared" si="239"/>
        <v>0.71232876712328763</v>
      </c>
      <c r="E1067" s="3">
        <f t="shared" si="240"/>
        <v>2010</v>
      </c>
      <c r="F1067" s="3">
        <f t="shared" si="241"/>
        <v>9</v>
      </c>
      <c r="G1067" s="3">
        <f t="shared" si="242"/>
        <v>18</v>
      </c>
      <c r="H1067" s="3">
        <f t="shared" si="243"/>
        <v>10</v>
      </c>
      <c r="I1067" s="3">
        <f t="shared" si="244"/>
        <v>30</v>
      </c>
      <c r="J1067" s="3">
        <f t="shared" si="245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46"/>
        <v>YES</v>
      </c>
      <c r="Q1067" t="str">
        <f t="shared" si="247"/>
        <v>NO</v>
      </c>
      <c r="R1067" t="str">
        <f t="shared" si="248"/>
        <v>NO</v>
      </c>
      <c r="T1067" t="s">
        <v>342</v>
      </c>
      <c r="U1067" t="str">
        <f t="shared" si="235"/>
        <v>Prospect St</v>
      </c>
      <c r="V1067" t="s">
        <v>105</v>
      </c>
      <c r="W1067" t="str">
        <f t="shared" si="236"/>
        <v>Broadway</v>
      </c>
      <c r="X1067" t="str">
        <f>IF(ISBLANK(S1067),"Intersection","Non-Intersection")</f>
        <v>Intersection</v>
      </c>
      <c r="Y1067" t="s">
        <v>725</v>
      </c>
      <c r="Z1067" t="str">
        <f t="shared" si="237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38"/>
        <v>40179</v>
      </c>
      <c r="D1068" s="4">
        <f t="shared" si="239"/>
        <v>0.71232876712328763</v>
      </c>
      <c r="E1068" s="3">
        <f t="shared" si="240"/>
        <v>2010</v>
      </c>
      <c r="F1068" s="3">
        <f t="shared" si="241"/>
        <v>9</v>
      </c>
      <c r="G1068" s="3">
        <f t="shared" si="242"/>
        <v>18</v>
      </c>
      <c r="H1068" s="3">
        <f t="shared" si="243"/>
        <v>14</v>
      </c>
      <c r="I1068" s="3">
        <f t="shared" si="244"/>
        <v>15</v>
      </c>
      <c r="J1068" s="3">
        <f t="shared" si="245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46"/>
        <v>YES</v>
      </c>
      <c r="Q1068" t="str">
        <f t="shared" si="247"/>
        <v>NO</v>
      </c>
      <c r="R1068" t="str">
        <f t="shared" si="248"/>
        <v>NO</v>
      </c>
      <c r="T1068" t="s">
        <v>198</v>
      </c>
      <c r="U1068" t="str">
        <f t="shared" si="235"/>
        <v>Mount Auburn St</v>
      </c>
      <c r="V1068" t="s">
        <v>935</v>
      </c>
      <c r="W1068" t="str">
        <f t="shared" si="236"/>
        <v>Hawthorne St</v>
      </c>
      <c r="X1068" t="str">
        <f>IF(ISBLANK(S1068),"Intersection","Non-Intersection")</f>
        <v>Intersection</v>
      </c>
      <c r="Y1068" t="s">
        <v>1887</v>
      </c>
      <c r="Z1068" t="str">
        <f t="shared" si="237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38"/>
        <v>40179</v>
      </c>
      <c r="D1069" s="4">
        <f t="shared" si="239"/>
        <v>0.71232876712328763</v>
      </c>
      <c r="E1069" s="3">
        <f t="shared" si="240"/>
        <v>2010</v>
      </c>
      <c r="F1069" s="3">
        <f t="shared" si="241"/>
        <v>9</v>
      </c>
      <c r="G1069" s="3">
        <f t="shared" si="242"/>
        <v>18</v>
      </c>
      <c r="H1069" s="3">
        <f t="shared" si="243"/>
        <v>21</v>
      </c>
      <c r="I1069" s="3">
        <f t="shared" si="244"/>
        <v>10</v>
      </c>
      <c r="J1069" s="3">
        <f t="shared" si="245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46"/>
        <v>YES</v>
      </c>
      <c r="Q1069" t="str">
        <f t="shared" si="247"/>
        <v>NO</v>
      </c>
      <c r="R1069" t="str">
        <f t="shared" si="248"/>
        <v>NO</v>
      </c>
      <c r="S1069">
        <v>55</v>
      </c>
      <c r="T1069" t="s">
        <v>316</v>
      </c>
      <c r="U1069" t="str">
        <f t="shared" si="235"/>
        <v>Bishop Allen Dr</v>
      </c>
      <c r="W1069" t="str">
        <f t="shared" si="236"/>
        <v/>
      </c>
      <c r="X1069" t="str">
        <f>IF(ISBLANK(S1069),"Intersection","Non-Intersection")</f>
        <v>Non-Intersection</v>
      </c>
      <c r="Y1069" t="s">
        <v>1889</v>
      </c>
      <c r="Z1069" t="str">
        <f t="shared" si="237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38"/>
        <v>40179</v>
      </c>
      <c r="D1070" s="4">
        <f t="shared" si="239"/>
        <v>0.71232876712328763</v>
      </c>
      <c r="E1070" s="3">
        <f t="shared" si="240"/>
        <v>2010</v>
      </c>
      <c r="F1070" s="3">
        <f t="shared" si="241"/>
        <v>9</v>
      </c>
      <c r="G1070" s="3">
        <f t="shared" si="242"/>
        <v>18</v>
      </c>
      <c r="H1070" s="3">
        <f t="shared" si="243"/>
        <v>20</v>
      </c>
      <c r="I1070" s="3">
        <f t="shared" si="244"/>
        <v>25</v>
      </c>
      <c r="J1070" s="3">
        <f t="shared" si="245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46"/>
        <v>YES</v>
      </c>
      <c r="Q1070" t="str">
        <f t="shared" si="247"/>
        <v>YES</v>
      </c>
      <c r="R1070" t="str">
        <f t="shared" si="248"/>
        <v>NO</v>
      </c>
      <c r="T1070" t="s">
        <v>19</v>
      </c>
      <c r="U1070" t="str">
        <f t="shared" si="235"/>
        <v>Cambridge St</v>
      </c>
      <c r="V1070" t="s">
        <v>189</v>
      </c>
      <c r="W1070" t="str">
        <f t="shared" si="236"/>
        <v>Windsor St</v>
      </c>
      <c r="X1070" t="str">
        <f>IF(ISBLANK(S1070),"Intersection","Non-Intersection")</f>
        <v>Intersection</v>
      </c>
      <c r="Y1070" t="s">
        <v>244</v>
      </c>
      <c r="Z1070" t="str">
        <f t="shared" si="237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38"/>
        <v>40179</v>
      </c>
      <c r="D1071" s="4">
        <f t="shared" si="239"/>
        <v>0.71506849315068488</v>
      </c>
      <c r="E1071" s="3">
        <f t="shared" si="240"/>
        <v>2010</v>
      </c>
      <c r="F1071" s="3">
        <f t="shared" si="241"/>
        <v>9</v>
      </c>
      <c r="G1071" s="3">
        <f t="shared" si="242"/>
        <v>19</v>
      </c>
      <c r="H1071" s="3">
        <f t="shared" si="243"/>
        <v>13</v>
      </c>
      <c r="I1071" s="3">
        <f t="shared" si="244"/>
        <v>15</v>
      </c>
      <c r="J1071" s="3">
        <f t="shared" si="245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46"/>
        <v>YES</v>
      </c>
      <c r="Q1071" t="str">
        <f t="shared" si="247"/>
        <v>NO</v>
      </c>
      <c r="R1071" t="str">
        <f t="shared" si="248"/>
        <v>NO</v>
      </c>
      <c r="T1071" t="s">
        <v>316</v>
      </c>
      <c r="U1071" t="str">
        <f t="shared" si="235"/>
        <v>Bishop Allen Dr</v>
      </c>
      <c r="V1071" t="s">
        <v>745</v>
      </c>
      <c r="W1071" t="str">
        <f t="shared" si="236"/>
        <v>Norfolk St</v>
      </c>
      <c r="X1071" t="str">
        <f>IF(ISBLANK(S1071),"Intersection","Non-Intersection")</f>
        <v>Intersection</v>
      </c>
      <c r="Y1071" t="s">
        <v>1891</v>
      </c>
      <c r="Z1071" t="str">
        <f t="shared" si="237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38"/>
        <v>40179</v>
      </c>
      <c r="D1072" s="4">
        <f t="shared" si="239"/>
        <v>0.71506849315068488</v>
      </c>
      <c r="E1072" s="3">
        <f t="shared" si="240"/>
        <v>2010</v>
      </c>
      <c r="F1072" s="3">
        <f t="shared" si="241"/>
        <v>9</v>
      </c>
      <c r="G1072" s="3">
        <f t="shared" si="242"/>
        <v>19</v>
      </c>
      <c r="H1072" s="3">
        <f t="shared" si="243"/>
        <v>16</v>
      </c>
      <c r="I1072" s="3">
        <f t="shared" si="244"/>
        <v>30</v>
      </c>
      <c r="J1072" s="3">
        <f t="shared" si="245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46"/>
        <v>YES</v>
      </c>
      <c r="Q1072" t="str">
        <f t="shared" si="247"/>
        <v>NO</v>
      </c>
      <c r="R1072" t="str">
        <f t="shared" si="248"/>
        <v>NO</v>
      </c>
      <c r="S1072">
        <v>1426</v>
      </c>
      <c r="T1072" t="s">
        <v>14</v>
      </c>
      <c r="U1072" t="str">
        <f t="shared" si="235"/>
        <v>Massachusetts Ave</v>
      </c>
      <c r="W1072" t="str">
        <f t="shared" si="236"/>
        <v/>
      </c>
      <c r="X1072" t="str">
        <f>IF(ISBLANK(S1072),"Intersection","Non-Intersection")</f>
        <v>Non-Intersection</v>
      </c>
      <c r="Y1072" t="s">
        <v>1849</v>
      </c>
      <c r="Z1072" t="str">
        <f t="shared" si="237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38"/>
        <v>40179</v>
      </c>
      <c r="D1073" s="4">
        <f t="shared" si="239"/>
        <v>0.71506849315068488</v>
      </c>
      <c r="E1073" s="3">
        <f t="shared" si="240"/>
        <v>2010</v>
      </c>
      <c r="F1073" s="3">
        <f t="shared" si="241"/>
        <v>9</v>
      </c>
      <c r="G1073" s="3">
        <f t="shared" si="242"/>
        <v>19</v>
      </c>
      <c r="H1073" s="3">
        <f t="shared" si="243"/>
        <v>21</v>
      </c>
      <c r="I1073" s="3">
        <f t="shared" si="244"/>
        <v>56</v>
      </c>
      <c r="J1073" s="3">
        <f t="shared" si="245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46"/>
        <v>YES</v>
      </c>
      <c r="Q1073" t="str">
        <f t="shared" si="247"/>
        <v>NO</v>
      </c>
      <c r="R1073" t="str">
        <f t="shared" si="248"/>
        <v>NO</v>
      </c>
      <c r="S1073">
        <v>1</v>
      </c>
      <c r="T1073" t="s">
        <v>162</v>
      </c>
      <c r="U1073" t="str">
        <f t="shared" si="235"/>
        <v>Bennett St</v>
      </c>
      <c r="W1073" t="str">
        <f t="shared" si="236"/>
        <v/>
      </c>
      <c r="X1073" t="str">
        <f>IF(ISBLANK(S1073),"Intersection","Non-Intersection")</f>
        <v>Non-Intersection</v>
      </c>
      <c r="Y1073" t="s">
        <v>163</v>
      </c>
      <c r="Z1073" t="str">
        <f t="shared" si="237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38"/>
        <v>40179</v>
      </c>
      <c r="D1074" s="4">
        <f t="shared" si="239"/>
        <v>0.71780821917808224</v>
      </c>
      <c r="E1074" s="3">
        <f t="shared" si="240"/>
        <v>2010</v>
      </c>
      <c r="F1074" s="3">
        <f t="shared" si="241"/>
        <v>9</v>
      </c>
      <c r="G1074" s="3">
        <f t="shared" si="242"/>
        <v>20</v>
      </c>
      <c r="H1074" s="3">
        <f t="shared" si="243"/>
        <v>8</v>
      </c>
      <c r="I1074" s="3">
        <f t="shared" si="244"/>
        <v>4</v>
      </c>
      <c r="J1074" s="3">
        <f t="shared" si="245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46"/>
        <v>YES</v>
      </c>
      <c r="Q1074" t="str">
        <f t="shared" si="247"/>
        <v>YES</v>
      </c>
      <c r="R1074" t="str">
        <f t="shared" si="248"/>
        <v>NO</v>
      </c>
      <c r="S1074">
        <v>459</v>
      </c>
      <c r="T1074" t="s">
        <v>105</v>
      </c>
      <c r="U1074" t="str">
        <f t="shared" si="235"/>
        <v>Broadway</v>
      </c>
      <c r="W1074" t="str">
        <f t="shared" si="236"/>
        <v/>
      </c>
      <c r="X1074" t="str">
        <f>IF(ISBLANK(S1074),"Intersection","Non-Intersection")</f>
        <v>Non-Intersection</v>
      </c>
      <c r="Y1074" t="s">
        <v>1893</v>
      </c>
      <c r="Z1074" t="str">
        <f t="shared" si="237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38"/>
        <v>40179</v>
      </c>
      <c r="D1075" s="4">
        <f t="shared" si="239"/>
        <v>0.71780821917808224</v>
      </c>
      <c r="E1075" s="3">
        <f t="shared" si="240"/>
        <v>2010</v>
      </c>
      <c r="F1075" s="3">
        <f t="shared" si="241"/>
        <v>9</v>
      </c>
      <c r="G1075" s="3">
        <f t="shared" si="242"/>
        <v>20</v>
      </c>
      <c r="H1075" s="3">
        <f t="shared" si="243"/>
        <v>13</v>
      </c>
      <c r="I1075" s="3">
        <f t="shared" si="244"/>
        <v>50</v>
      </c>
      <c r="J1075" s="3">
        <f t="shared" si="245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46"/>
        <v>YES</v>
      </c>
      <c r="Q1075" t="str">
        <f t="shared" si="247"/>
        <v>YES</v>
      </c>
      <c r="R1075" t="str">
        <f t="shared" si="248"/>
        <v>NO</v>
      </c>
      <c r="T1075" t="s">
        <v>105</v>
      </c>
      <c r="U1075" t="str">
        <f t="shared" si="235"/>
        <v>Broadway</v>
      </c>
      <c r="V1075" t="s">
        <v>335</v>
      </c>
      <c r="W1075" t="str">
        <f t="shared" si="236"/>
        <v>Ware St</v>
      </c>
      <c r="X1075" t="str">
        <f>IF(ISBLANK(S1075),"Intersection","Non-Intersection")</f>
        <v>Intersection</v>
      </c>
      <c r="Y1075" t="s">
        <v>336</v>
      </c>
      <c r="Z1075" t="str">
        <f t="shared" si="237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38"/>
        <v>40179</v>
      </c>
      <c r="D1076" s="4">
        <f t="shared" si="239"/>
        <v>0.71780821917808224</v>
      </c>
      <c r="E1076" s="3">
        <f t="shared" si="240"/>
        <v>2010</v>
      </c>
      <c r="F1076" s="3">
        <f t="shared" si="241"/>
        <v>9</v>
      </c>
      <c r="G1076" s="3">
        <f t="shared" si="242"/>
        <v>20</v>
      </c>
      <c r="H1076" s="3">
        <f t="shared" si="243"/>
        <v>14</v>
      </c>
      <c r="I1076" s="3">
        <f t="shared" si="244"/>
        <v>29</v>
      </c>
      <c r="J1076" s="3">
        <f t="shared" si="245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46"/>
        <v>YES</v>
      </c>
      <c r="Q1076" t="str">
        <f t="shared" si="247"/>
        <v>NO</v>
      </c>
      <c r="R1076" t="str">
        <f t="shared" si="248"/>
        <v>NO</v>
      </c>
      <c r="S1076">
        <v>127</v>
      </c>
      <c r="T1076" t="s">
        <v>14</v>
      </c>
      <c r="U1076" t="str">
        <f t="shared" si="235"/>
        <v>Massachusetts Ave</v>
      </c>
      <c r="V1076" t="s">
        <v>202</v>
      </c>
      <c r="W1076" t="str">
        <f t="shared" si="236"/>
        <v>Vassar St</v>
      </c>
      <c r="X1076" t="str">
        <f>IF(ISBLANK(S1076),"Intersection","Non-Intersection")</f>
        <v>Non-Intersection</v>
      </c>
      <c r="Y1076" t="s">
        <v>1895</v>
      </c>
      <c r="Z1076" t="str">
        <f t="shared" si="237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38"/>
        <v>40179</v>
      </c>
      <c r="D1077" s="4">
        <f t="shared" si="239"/>
        <v>0.71780821917808224</v>
      </c>
      <c r="E1077" s="3">
        <f t="shared" si="240"/>
        <v>2010</v>
      </c>
      <c r="F1077" s="3">
        <f t="shared" si="241"/>
        <v>9</v>
      </c>
      <c r="G1077" s="3">
        <f t="shared" si="242"/>
        <v>20</v>
      </c>
      <c r="H1077" s="3">
        <f t="shared" si="243"/>
        <v>6</v>
      </c>
      <c r="I1077" s="3">
        <f t="shared" si="244"/>
        <v>10</v>
      </c>
      <c r="J1077" s="3">
        <f t="shared" si="245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46"/>
        <v>YES</v>
      </c>
      <c r="Q1077" t="str">
        <f t="shared" si="247"/>
        <v>NO</v>
      </c>
      <c r="R1077" t="str">
        <f t="shared" si="248"/>
        <v>NO</v>
      </c>
      <c r="T1077" t="s">
        <v>142</v>
      </c>
      <c r="U1077" t="str">
        <f t="shared" si="235"/>
        <v>Huron Ave</v>
      </c>
      <c r="V1077" t="s">
        <v>710</v>
      </c>
      <c r="W1077" t="str">
        <f t="shared" si="236"/>
        <v>Fresh Pond Pky</v>
      </c>
      <c r="X1077" t="str">
        <f>IF(ISBLANK(S1077),"Intersection","Non-Intersection")</f>
        <v>Intersection</v>
      </c>
      <c r="Y1077" t="s">
        <v>1897</v>
      </c>
      <c r="Z1077" t="str">
        <f t="shared" si="237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38"/>
        <v>40179</v>
      </c>
      <c r="D1078" s="4">
        <f t="shared" si="239"/>
        <v>0.71780821917808224</v>
      </c>
      <c r="E1078" s="3">
        <f t="shared" si="240"/>
        <v>2010</v>
      </c>
      <c r="F1078" s="3">
        <f t="shared" si="241"/>
        <v>9</v>
      </c>
      <c r="G1078" s="3">
        <f t="shared" si="242"/>
        <v>20</v>
      </c>
      <c r="H1078" s="3">
        <f t="shared" si="243"/>
        <v>16</v>
      </c>
      <c r="I1078" s="3">
        <f t="shared" si="244"/>
        <v>19</v>
      </c>
      <c r="J1078" s="3">
        <f t="shared" si="245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46"/>
        <v>YES</v>
      </c>
      <c r="Q1078" t="str">
        <f t="shared" si="247"/>
        <v>NO</v>
      </c>
      <c r="R1078" t="str">
        <f t="shared" si="248"/>
        <v>NO</v>
      </c>
      <c r="S1078">
        <v>173</v>
      </c>
      <c r="T1078" t="s">
        <v>186</v>
      </c>
      <c r="U1078" t="str">
        <f t="shared" si="235"/>
        <v>Concord Ave</v>
      </c>
      <c r="W1078" t="str">
        <f t="shared" si="236"/>
        <v/>
      </c>
      <c r="X1078" t="str">
        <f>IF(ISBLANK(S1078),"Intersection","Non-Intersection")</f>
        <v>Non-Intersection</v>
      </c>
      <c r="Y1078" t="s">
        <v>1899</v>
      </c>
      <c r="Z1078" t="str">
        <f t="shared" si="237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38"/>
        <v>40179</v>
      </c>
      <c r="D1079" s="4">
        <f t="shared" si="239"/>
        <v>0.72054794520547949</v>
      </c>
      <c r="E1079" s="3">
        <f t="shared" si="240"/>
        <v>2010</v>
      </c>
      <c r="F1079" s="3">
        <f t="shared" si="241"/>
        <v>9</v>
      </c>
      <c r="G1079" s="3">
        <f t="shared" si="242"/>
        <v>21</v>
      </c>
      <c r="H1079" s="3">
        <f t="shared" si="243"/>
        <v>11</v>
      </c>
      <c r="I1079" s="3">
        <f t="shared" si="244"/>
        <v>16</v>
      </c>
      <c r="J1079" s="3">
        <f t="shared" si="245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46"/>
        <v>YES</v>
      </c>
      <c r="Q1079" t="str">
        <f t="shared" si="247"/>
        <v>NO</v>
      </c>
      <c r="R1079" t="str">
        <f t="shared" si="248"/>
        <v>NO</v>
      </c>
      <c r="T1079" t="s">
        <v>37</v>
      </c>
      <c r="U1079" t="str">
        <f t="shared" si="235"/>
        <v>Magazine St</v>
      </c>
      <c r="V1079" t="s">
        <v>312</v>
      </c>
      <c r="W1079" t="str">
        <f t="shared" si="236"/>
        <v>Auburn St</v>
      </c>
      <c r="X1079" t="str">
        <f>IF(ISBLANK(S1079),"Intersection","Non-Intersection")</f>
        <v>Intersection</v>
      </c>
      <c r="Y1079" t="s">
        <v>313</v>
      </c>
      <c r="Z1079" t="str">
        <f t="shared" si="237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38"/>
        <v>40179</v>
      </c>
      <c r="D1080" s="4">
        <f t="shared" si="239"/>
        <v>0.72054794520547949</v>
      </c>
      <c r="E1080" s="3">
        <f t="shared" si="240"/>
        <v>2010</v>
      </c>
      <c r="F1080" s="3">
        <f t="shared" si="241"/>
        <v>9</v>
      </c>
      <c r="G1080" s="3">
        <f t="shared" si="242"/>
        <v>21</v>
      </c>
      <c r="H1080" s="3">
        <f t="shared" si="243"/>
        <v>16</v>
      </c>
      <c r="I1080" s="3">
        <f t="shared" si="244"/>
        <v>25</v>
      </c>
      <c r="J1080" s="3">
        <f t="shared" si="245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46"/>
        <v>YES</v>
      </c>
      <c r="Q1080" t="str">
        <f t="shared" si="247"/>
        <v>YES</v>
      </c>
      <c r="R1080" t="str">
        <f t="shared" si="248"/>
        <v>NO</v>
      </c>
      <c r="T1080" t="s">
        <v>14</v>
      </c>
      <c r="U1080" t="str">
        <f t="shared" si="235"/>
        <v>Massachusetts Ave</v>
      </c>
      <c r="V1080" t="s">
        <v>119</v>
      </c>
      <c r="W1080" t="str">
        <f t="shared" si="236"/>
        <v>Albany St</v>
      </c>
      <c r="X1080" t="str">
        <f>IF(ISBLANK(S1080),"Intersection","Non-Intersection")</f>
        <v>Intersection</v>
      </c>
      <c r="Y1080" t="s">
        <v>247</v>
      </c>
      <c r="Z1080" t="str">
        <f t="shared" si="237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38"/>
        <v>40179</v>
      </c>
      <c r="D1081" s="4">
        <f t="shared" si="239"/>
        <v>0.72054794520547949</v>
      </c>
      <c r="E1081" s="3">
        <f t="shared" si="240"/>
        <v>2010</v>
      </c>
      <c r="F1081" s="3">
        <f t="shared" si="241"/>
        <v>9</v>
      </c>
      <c r="G1081" s="3">
        <f t="shared" si="242"/>
        <v>21</v>
      </c>
      <c r="H1081" s="3">
        <f t="shared" si="243"/>
        <v>17</v>
      </c>
      <c r="I1081" s="3">
        <f t="shared" si="244"/>
        <v>19</v>
      </c>
      <c r="J1081" s="3">
        <f t="shared" si="245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46"/>
        <v>YES</v>
      </c>
      <c r="Q1081" t="str">
        <f t="shared" si="247"/>
        <v>NO</v>
      </c>
      <c r="R1081" t="str">
        <f t="shared" si="248"/>
        <v>NO</v>
      </c>
      <c r="S1081">
        <v>321</v>
      </c>
      <c r="T1081" t="s">
        <v>105</v>
      </c>
      <c r="U1081" t="str">
        <f t="shared" si="235"/>
        <v>Broadway</v>
      </c>
      <c r="W1081" t="str">
        <f t="shared" si="236"/>
        <v/>
      </c>
      <c r="X1081" t="str">
        <f>IF(ISBLANK(S1081),"Intersection","Non-Intersection")</f>
        <v>Non-Intersection</v>
      </c>
      <c r="Y1081" t="s">
        <v>1901</v>
      </c>
      <c r="Z1081" t="str">
        <f t="shared" si="237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38"/>
        <v>40179</v>
      </c>
      <c r="D1082" s="4">
        <f t="shared" si="239"/>
        <v>0.72054794520547949</v>
      </c>
      <c r="E1082" s="3">
        <f t="shared" si="240"/>
        <v>2010</v>
      </c>
      <c r="F1082" s="3">
        <f t="shared" si="241"/>
        <v>9</v>
      </c>
      <c r="G1082" s="3">
        <f t="shared" si="242"/>
        <v>21</v>
      </c>
      <c r="H1082" s="3">
        <f t="shared" si="243"/>
        <v>16</v>
      </c>
      <c r="I1082" s="3">
        <f t="shared" si="244"/>
        <v>30</v>
      </c>
      <c r="J1082" s="3">
        <f t="shared" si="245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46"/>
        <v>YES</v>
      </c>
      <c r="Q1082" t="str">
        <f t="shared" si="247"/>
        <v>NO</v>
      </c>
      <c r="R1082" t="str">
        <f t="shared" si="248"/>
        <v>NO</v>
      </c>
      <c r="T1082" t="s">
        <v>186</v>
      </c>
      <c r="U1082" t="str">
        <f t="shared" si="235"/>
        <v>Concord Ave</v>
      </c>
      <c r="V1082" t="s">
        <v>413</v>
      </c>
      <c r="W1082" t="str">
        <f t="shared" si="236"/>
        <v>Smith Pl</v>
      </c>
      <c r="X1082" t="str">
        <f>IF(ISBLANK(S1082),"Intersection","Non-Intersection")</f>
        <v>Intersection</v>
      </c>
      <c r="Y1082" t="s">
        <v>859</v>
      </c>
      <c r="Z1082" t="str">
        <f t="shared" si="237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38"/>
        <v>40179</v>
      </c>
      <c r="D1083" s="4">
        <f t="shared" si="239"/>
        <v>0.72054794520547949</v>
      </c>
      <c r="E1083" s="3">
        <f t="shared" si="240"/>
        <v>2010</v>
      </c>
      <c r="F1083" s="3">
        <f t="shared" si="241"/>
        <v>9</v>
      </c>
      <c r="G1083" s="3">
        <f t="shared" si="242"/>
        <v>21</v>
      </c>
      <c r="H1083" s="3">
        <f t="shared" si="243"/>
        <v>10</v>
      </c>
      <c r="I1083" s="3">
        <f t="shared" si="244"/>
        <v>30</v>
      </c>
      <c r="J1083" s="3">
        <f t="shared" si="245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46"/>
        <v>YES</v>
      </c>
      <c r="Q1083" t="str">
        <f t="shared" si="247"/>
        <v>NO</v>
      </c>
      <c r="R1083" t="str">
        <f t="shared" si="248"/>
        <v>NO</v>
      </c>
      <c r="S1083">
        <v>725</v>
      </c>
      <c r="T1083" t="s">
        <v>186</v>
      </c>
      <c r="U1083" t="str">
        <f t="shared" si="235"/>
        <v>Concord Ave</v>
      </c>
      <c r="W1083" t="str">
        <f t="shared" si="236"/>
        <v/>
      </c>
      <c r="X1083" t="str">
        <f>IF(ISBLANK(S1083),"Intersection","Non-Intersection")</f>
        <v>Non-Intersection</v>
      </c>
      <c r="Y1083" t="s">
        <v>617</v>
      </c>
      <c r="Z1083" t="str">
        <f t="shared" si="237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38"/>
        <v>40179</v>
      </c>
      <c r="D1084" s="4">
        <f t="shared" si="239"/>
        <v>0.72328767123287674</v>
      </c>
      <c r="E1084" s="3">
        <f t="shared" si="240"/>
        <v>2010</v>
      </c>
      <c r="F1084" s="3">
        <f t="shared" si="241"/>
        <v>9</v>
      </c>
      <c r="G1084" s="3">
        <f t="shared" si="242"/>
        <v>22</v>
      </c>
      <c r="H1084" s="3">
        <f t="shared" si="243"/>
        <v>7</v>
      </c>
      <c r="I1084" s="3">
        <f t="shared" si="244"/>
        <v>5</v>
      </c>
      <c r="J1084" s="3">
        <f t="shared" si="245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46"/>
        <v>YES</v>
      </c>
      <c r="Q1084" t="str">
        <f t="shared" si="247"/>
        <v>NO</v>
      </c>
      <c r="R1084" t="str">
        <f t="shared" si="248"/>
        <v>NO</v>
      </c>
      <c r="T1084" t="s">
        <v>105</v>
      </c>
      <c r="U1084" t="str">
        <f t="shared" si="235"/>
        <v>Broadway</v>
      </c>
      <c r="V1084" t="s">
        <v>342</v>
      </c>
      <c r="W1084" t="str">
        <f t="shared" si="236"/>
        <v>Prospect St</v>
      </c>
      <c r="X1084" t="str">
        <f>IF(ISBLANK(S1084),"Intersection","Non-Intersection")</f>
        <v>Intersection</v>
      </c>
      <c r="Y1084" t="s">
        <v>343</v>
      </c>
      <c r="Z1084" t="str">
        <f t="shared" si="237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38"/>
        <v>40179</v>
      </c>
      <c r="D1085" s="4">
        <f t="shared" si="239"/>
        <v>0.72328767123287674</v>
      </c>
      <c r="E1085" s="3">
        <f t="shared" si="240"/>
        <v>2010</v>
      </c>
      <c r="F1085" s="3">
        <f t="shared" si="241"/>
        <v>9</v>
      </c>
      <c r="G1085" s="3">
        <f t="shared" si="242"/>
        <v>22</v>
      </c>
      <c r="H1085" s="3">
        <f t="shared" si="243"/>
        <v>9</v>
      </c>
      <c r="I1085" s="3">
        <f t="shared" si="244"/>
        <v>0</v>
      </c>
      <c r="J1085" s="3">
        <f t="shared" si="245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46"/>
        <v>YES</v>
      </c>
      <c r="Q1085" t="str">
        <f t="shared" si="247"/>
        <v>NO</v>
      </c>
      <c r="R1085" t="str">
        <f t="shared" si="248"/>
        <v>NO</v>
      </c>
      <c r="T1085" t="s">
        <v>75</v>
      </c>
      <c r="U1085" t="str">
        <f t="shared" si="235"/>
        <v>Elm St</v>
      </c>
      <c r="V1085" t="s">
        <v>1903</v>
      </c>
      <c r="W1085" t="str">
        <f t="shared" si="236"/>
        <v>Lincoln St</v>
      </c>
      <c r="X1085" t="str">
        <f>IF(ISBLANK(S1085),"Intersection","Non-Intersection")</f>
        <v>Intersection</v>
      </c>
      <c r="Y1085" t="s">
        <v>1904</v>
      </c>
      <c r="Z1085" t="str">
        <f t="shared" si="237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38"/>
        <v>40179</v>
      </c>
      <c r="D1086" s="4">
        <f t="shared" si="239"/>
        <v>0.72328767123287674</v>
      </c>
      <c r="E1086" s="3">
        <f t="shared" si="240"/>
        <v>2010</v>
      </c>
      <c r="F1086" s="3">
        <f t="shared" si="241"/>
        <v>9</v>
      </c>
      <c r="G1086" s="3">
        <f t="shared" si="242"/>
        <v>22</v>
      </c>
      <c r="H1086" s="3">
        <f t="shared" si="243"/>
        <v>12</v>
      </c>
      <c r="I1086" s="3">
        <f t="shared" si="244"/>
        <v>14</v>
      </c>
      <c r="J1086" s="3">
        <f t="shared" si="245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46"/>
        <v>YES</v>
      </c>
      <c r="Q1086" t="str">
        <f t="shared" si="247"/>
        <v>NO</v>
      </c>
      <c r="R1086" t="str">
        <f t="shared" si="248"/>
        <v>NO</v>
      </c>
      <c r="T1086" t="s">
        <v>14</v>
      </c>
      <c r="U1086" t="str">
        <f t="shared" si="235"/>
        <v>Massachusetts Ave</v>
      </c>
      <c r="V1086" t="s">
        <v>354</v>
      </c>
      <c r="W1086" t="str">
        <f t="shared" si="236"/>
        <v>Linnaean St</v>
      </c>
      <c r="X1086" t="str">
        <f>IF(ISBLANK(S1086),"Intersection","Non-Intersection")</f>
        <v>Intersection</v>
      </c>
      <c r="Y1086" t="s">
        <v>1234</v>
      </c>
      <c r="Z1086" t="str">
        <f t="shared" si="237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38"/>
        <v>40179</v>
      </c>
      <c r="D1087" s="4">
        <f t="shared" si="239"/>
        <v>0.72328767123287674</v>
      </c>
      <c r="E1087" s="3">
        <f t="shared" si="240"/>
        <v>2010</v>
      </c>
      <c r="F1087" s="3">
        <f t="shared" si="241"/>
        <v>9</v>
      </c>
      <c r="G1087" s="3">
        <f t="shared" si="242"/>
        <v>22</v>
      </c>
      <c r="H1087" s="3">
        <f t="shared" si="243"/>
        <v>12</v>
      </c>
      <c r="I1087" s="3">
        <f t="shared" si="244"/>
        <v>55</v>
      </c>
      <c r="J1087" s="3">
        <f t="shared" si="245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46"/>
        <v>YES</v>
      </c>
      <c r="Q1087" t="str">
        <f t="shared" si="247"/>
        <v>NO</v>
      </c>
      <c r="R1087" t="str">
        <f t="shared" si="248"/>
        <v>NO</v>
      </c>
      <c r="T1087" t="s">
        <v>1906</v>
      </c>
      <c r="U1087" t="str">
        <f t="shared" si="235"/>
        <v>Holyoke St</v>
      </c>
      <c r="V1087" t="s">
        <v>14</v>
      </c>
      <c r="W1087" t="str">
        <f t="shared" si="236"/>
        <v>Massachusetts Ave</v>
      </c>
      <c r="X1087" t="str">
        <f>IF(ISBLANK(S1087),"Intersection","Non-Intersection")</f>
        <v>Intersection</v>
      </c>
      <c r="Y1087" t="s">
        <v>1907</v>
      </c>
      <c r="Z1087" t="str">
        <f t="shared" si="237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38"/>
        <v>40179</v>
      </c>
      <c r="D1088" s="4">
        <f t="shared" si="239"/>
        <v>0.72328767123287674</v>
      </c>
      <c r="E1088" s="3">
        <f t="shared" si="240"/>
        <v>2010</v>
      </c>
      <c r="F1088" s="3">
        <f t="shared" si="241"/>
        <v>9</v>
      </c>
      <c r="G1088" s="3">
        <f t="shared" si="242"/>
        <v>22</v>
      </c>
      <c r="H1088" s="3">
        <f t="shared" si="243"/>
        <v>20</v>
      </c>
      <c r="I1088" s="3">
        <f t="shared" si="244"/>
        <v>6</v>
      </c>
      <c r="J1088" s="3">
        <f t="shared" si="245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46"/>
        <v>YES</v>
      </c>
      <c r="Q1088" t="str">
        <f t="shared" si="247"/>
        <v>NO</v>
      </c>
      <c r="R1088" t="str">
        <f t="shared" si="248"/>
        <v>NO</v>
      </c>
      <c r="S1088">
        <v>92</v>
      </c>
      <c r="T1088" t="s">
        <v>41</v>
      </c>
      <c r="U1088" t="str">
        <f t="shared" si="235"/>
        <v>River St</v>
      </c>
      <c r="W1088" t="str">
        <f t="shared" si="236"/>
        <v/>
      </c>
      <c r="X1088" t="str">
        <f>IF(ISBLANK(S1088),"Intersection","Non-Intersection")</f>
        <v>Non-Intersection</v>
      </c>
      <c r="Y1088" t="s">
        <v>1909</v>
      </c>
      <c r="Z1088" t="str">
        <f t="shared" si="237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38"/>
        <v>40179</v>
      </c>
      <c r="D1089" s="4">
        <f t="shared" si="239"/>
        <v>0.72328767123287674</v>
      </c>
      <c r="E1089" s="3">
        <f t="shared" si="240"/>
        <v>2010</v>
      </c>
      <c r="F1089" s="3">
        <f t="shared" si="241"/>
        <v>9</v>
      </c>
      <c r="G1089" s="3">
        <f t="shared" si="242"/>
        <v>22</v>
      </c>
      <c r="H1089" s="3">
        <f t="shared" si="243"/>
        <v>17</v>
      </c>
      <c r="I1089" s="3">
        <f t="shared" si="244"/>
        <v>0</v>
      </c>
      <c r="J1089" s="3">
        <f t="shared" si="245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46"/>
        <v>YES</v>
      </c>
      <c r="Q1089" t="str">
        <f t="shared" si="247"/>
        <v>NO</v>
      </c>
      <c r="R1089" t="str">
        <f t="shared" si="248"/>
        <v>NO</v>
      </c>
      <c r="T1089" t="s">
        <v>1911</v>
      </c>
      <c r="U1089" t="str">
        <f t="shared" si="235"/>
        <v>Clay St</v>
      </c>
      <c r="V1089" t="s">
        <v>66</v>
      </c>
      <c r="W1089" t="str">
        <f t="shared" si="236"/>
        <v>Dudley St</v>
      </c>
      <c r="X1089" t="str">
        <f>IF(ISBLANK(S1089),"Intersection","Non-Intersection")</f>
        <v>Intersection</v>
      </c>
      <c r="Y1089" t="s">
        <v>1912</v>
      </c>
      <c r="Z1089" t="str">
        <f t="shared" si="237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38"/>
        <v>40179</v>
      </c>
      <c r="D1090" s="4">
        <f t="shared" si="239"/>
        <v>0.72328767123287674</v>
      </c>
      <c r="E1090" s="3">
        <f t="shared" si="240"/>
        <v>2010</v>
      </c>
      <c r="F1090" s="3">
        <f t="shared" si="241"/>
        <v>9</v>
      </c>
      <c r="G1090" s="3">
        <f t="shared" si="242"/>
        <v>22</v>
      </c>
      <c r="H1090" s="3">
        <f t="shared" si="243"/>
        <v>6</v>
      </c>
      <c r="I1090" s="3">
        <f t="shared" si="244"/>
        <v>30</v>
      </c>
      <c r="J1090" s="3">
        <f t="shared" si="245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46"/>
        <v>YES</v>
      </c>
      <c r="Q1090" t="str">
        <f t="shared" si="247"/>
        <v>NO</v>
      </c>
      <c r="R1090" t="str">
        <f t="shared" si="248"/>
        <v>NO</v>
      </c>
      <c r="S1090">
        <v>62</v>
      </c>
      <c r="T1090" t="s">
        <v>155</v>
      </c>
      <c r="U1090" t="str">
        <f t="shared" si="235"/>
        <v>Richdale Ave</v>
      </c>
      <c r="W1090" t="str">
        <f t="shared" si="236"/>
        <v/>
      </c>
      <c r="X1090" t="str">
        <f>IF(ISBLANK(S1090),"Intersection","Non-Intersection")</f>
        <v>Non-Intersection</v>
      </c>
      <c r="Y1090" t="s">
        <v>1914</v>
      </c>
      <c r="Z1090" t="str">
        <f t="shared" si="237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38"/>
        <v>40179</v>
      </c>
      <c r="D1091" s="4">
        <f t="shared" si="239"/>
        <v>0.72602739726027399</v>
      </c>
      <c r="E1091" s="3">
        <f t="shared" si="240"/>
        <v>2010</v>
      </c>
      <c r="F1091" s="3">
        <f t="shared" si="241"/>
        <v>9</v>
      </c>
      <c r="G1091" s="3">
        <f t="shared" si="242"/>
        <v>23</v>
      </c>
      <c r="H1091" s="3">
        <f t="shared" si="243"/>
        <v>9</v>
      </c>
      <c r="I1091" s="3">
        <f t="shared" si="244"/>
        <v>30</v>
      </c>
      <c r="J1091" s="3">
        <f t="shared" si="245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46"/>
        <v>YES</v>
      </c>
      <c r="Q1091" t="str">
        <f t="shared" si="247"/>
        <v>YES</v>
      </c>
      <c r="R1091" t="str">
        <f t="shared" si="248"/>
        <v>NO</v>
      </c>
      <c r="T1091" t="s">
        <v>134</v>
      </c>
      <c r="U1091" t="str">
        <f t="shared" ref="U1091:U1154" si="249">TRIM(PROPER(T1091))</f>
        <v>Quincy St</v>
      </c>
      <c r="V1091" t="s">
        <v>19</v>
      </c>
      <c r="W1091" t="str">
        <f t="shared" ref="W1091:W1154" si="250">TRIM(PROPER(V1091))</f>
        <v>Cambridge St</v>
      </c>
      <c r="X1091" t="str">
        <f>IF(ISBLANK(S1091),"Intersection","Non-Intersection")</f>
        <v>Intersection</v>
      </c>
      <c r="Y1091" t="s">
        <v>426</v>
      </c>
      <c r="Z1091" t="str">
        <f t="shared" ref="Z1091:Z1154" si="251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38"/>
        <v>40179</v>
      </c>
      <c r="D1092" s="4">
        <f t="shared" si="239"/>
        <v>0.72602739726027399</v>
      </c>
      <c r="E1092" s="3">
        <f t="shared" si="240"/>
        <v>2010</v>
      </c>
      <c r="F1092" s="3">
        <f t="shared" si="241"/>
        <v>9</v>
      </c>
      <c r="G1092" s="3">
        <f t="shared" si="242"/>
        <v>23</v>
      </c>
      <c r="H1092" s="3">
        <f t="shared" si="243"/>
        <v>9</v>
      </c>
      <c r="I1092" s="3">
        <f t="shared" si="244"/>
        <v>31</v>
      </c>
      <c r="J1092" s="3">
        <f t="shared" si="245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46"/>
        <v>YES</v>
      </c>
      <c r="Q1092" t="str">
        <f t="shared" si="247"/>
        <v>YES</v>
      </c>
      <c r="R1092" t="str">
        <f t="shared" si="248"/>
        <v>NO</v>
      </c>
      <c r="T1092" t="s">
        <v>326</v>
      </c>
      <c r="U1092" t="str">
        <f t="shared" si="249"/>
        <v>Jfk St</v>
      </c>
      <c r="V1092" t="s">
        <v>325</v>
      </c>
      <c r="W1092" t="str">
        <f t="shared" si="250"/>
        <v>Eliot St</v>
      </c>
      <c r="X1092" t="str">
        <f>IF(ISBLANK(S1092),"Intersection","Non-Intersection")</f>
        <v>Intersection</v>
      </c>
      <c r="Y1092" t="s">
        <v>1420</v>
      </c>
      <c r="Z1092" t="str">
        <f t="shared" si="251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38"/>
        <v>40179</v>
      </c>
      <c r="D1093" s="4">
        <f t="shared" si="239"/>
        <v>0.72602739726027399</v>
      </c>
      <c r="E1093" s="3">
        <f t="shared" si="240"/>
        <v>2010</v>
      </c>
      <c r="F1093" s="3">
        <f t="shared" si="241"/>
        <v>9</v>
      </c>
      <c r="G1093" s="3">
        <f t="shared" si="242"/>
        <v>23</v>
      </c>
      <c r="H1093" s="3">
        <f t="shared" si="243"/>
        <v>16</v>
      </c>
      <c r="I1093" s="3">
        <f t="shared" si="244"/>
        <v>27</v>
      </c>
      <c r="J1093" s="3">
        <f t="shared" si="245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46"/>
        <v>YES</v>
      </c>
      <c r="Q1093" t="str">
        <f t="shared" si="247"/>
        <v>NO</v>
      </c>
      <c r="R1093" t="str">
        <f t="shared" si="248"/>
        <v>YES</v>
      </c>
      <c r="T1093" t="s">
        <v>14</v>
      </c>
      <c r="U1093" t="str">
        <f t="shared" si="249"/>
        <v>Massachusetts Ave</v>
      </c>
      <c r="V1093" t="s">
        <v>1916</v>
      </c>
      <c r="W1093" t="str">
        <f t="shared" si="250"/>
        <v>Hadley St</v>
      </c>
      <c r="X1093" t="str">
        <f>IF(ISBLANK(S1093),"Intersection","Non-Intersection")</f>
        <v>Intersection</v>
      </c>
      <c r="Y1093" t="s">
        <v>1917</v>
      </c>
      <c r="Z1093" t="str">
        <f t="shared" si="251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38"/>
        <v>40179</v>
      </c>
      <c r="D1094" s="4">
        <f t="shared" si="239"/>
        <v>0.72602739726027399</v>
      </c>
      <c r="E1094" s="3">
        <f t="shared" si="240"/>
        <v>2010</v>
      </c>
      <c r="F1094" s="3">
        <f t="shared" si="241"/>
        <v>9</v>
      </c>
      <c r="G1094" s="3">
        <f t="shared" si="242"/>
        <v>23</v>
      </c>
      <c r="H1094" s="3">
        <f t="shared" si="243"/>
        <v>17</v>
      </c>
      <c r="I1094" s="3">
        <f t="shared" si="244"/>
        <v>6</v>
      </c>
      <c r="J1094" s="3">
        <f t="shared" si="245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46"/>
        <v>YES</v>
      </c>
      <c r="Q1094" t="str">
        <f t="shared" si="247"/>
        <v>NO</v>
      </c>
      <c r="R1094" t="str">
        <f t="shared" si="248"/>
        <v>YES</v>
      </c>
      <c r="T1094" t="s">
        <v>1024</v>
      </c>
      <c r="U1094" t="str">
        <f t="shared" si="249"/>
        <v>Kinnaird St</v>
      </c>
      <c r="V1094" t="s">
        <v>192</v>
      </c>
      <c r="W1094" t="str">
        <f t="shared" si="250"/>
        <v>Hancock St</v>
      </c>
      <c r="X1094" t="str">
        <f>IF(ISBLANK(S1094),"Intersection","Non-Intersection")</f>
        <v>Intersection</v>
      </c>
      <c r="Y1094" t="s">
        <v>1919</v>
      </c>
      <c r="Z1094" t="str">
        <f t="shared" si="251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38"/>
        <v>40179</v>
      </c>
      <c r="D1095" s="4">
        <f t="shared" si="239"/>
        <v>0.72602739726027399</v>
      </c>
      <c r="E1095" s="3">
        <f t="shared" si="240"/>
        <v>2010</v>
      </c>
      <c r="F1095" s="3">
        <f t="shared" si="241"/>
        <v>9</v>
      </c>
      <c r="G1095" s="3">
        <f t="shared" si="242"/>
        <v>23</v>
      </c>
      <c r="H1095" s="3">
        <f t="shared" si="243"/>
        <v>18</v>
      </c>
      <c r="I1095" s="3">
        <f t="shared" si="244"/>
        <v>0</v>
      </c>
      <c r="J1095" s="3">
        <f t="shared" si="245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46"/>
        <v>YES</v>
      </c>
      <c r="Q1095" t="str">
        <f t="shared" si="247"/>
        <v>YES</v>
      </c>
      <c r="R1095" t="str">
        <f t="shared" si="248"/>
        <v>NO</v>
      </c>
      <c r="T1095" t="s">
        <v>342</v>
      </c>
      <c r="U1095" t="str">
        <f t="shared" si="249"/>
        <v>Prospect St</v>
      </c>
      <c r="V1095" t="s">
        <v>74</v>
      </c>
      <c r="W1095" t="str">
        <f t="shared" si="250"/>
        <v>Hampshire St</v>
      </c>
      <c r="X1095" t="str">
        <f>IF(ISBLANK(S1095),"Intersection","Non-Intersection")</f>
        <v>Intersection</v>
      </c>
      <c r="Y1095" t="s">
        <v>964</v>
      </c>
      <c r="Z1095" t="str">
        <f t="shared" si="251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38"/>
        <v>40179</v>
      </c>
      <c r="D1096" s="4">
        <f t="shared" si="239"/>
        <v>0.72602739726027399</v>
      </c>
      <c r="E1096" s="3">
        <f t="shared" si="240"/>
        <v>2010</v>
      </c>
      <c r="F1096" s="3">
        <f t="shared" si="241"/>
        <v>9</v>
      </c>
      <c r="G1096" s="3">
        <f t="shared" si="242"/>
        <v>23</v>
      </c>
      <c r="H1096" s="3">
        <f t="shared" si="243"/>
        <v>22</v>
      </c>
      <c r="I1096" s="3">
        <f t="shared" si="244"/>
        <v>54</v>
      </c>
      <c r="J1096" s="3">
        <f t="shared" si="245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46"/>
        <v>YES</v>
      </c>
      <c r="Q1096" t="str">
        <f t="shared" si="247"/>
        <v>NO</v>
      </c>
      <c r="R1096" t="str">
        <f t="shared" si="248"/>
        <v>NO</v>
      </c>
      <c r="S1096">
        <v>178</v>
      </c>
      <c r="T1096" t="s">
        <v>155</v>
      </c>
      <c r="U1096" t="str">
        <f t="shared" si="249"/>
        <v>Richdale Ave</v>
      </c>
      <c r="W1096" t="str">
        <f t="shared" si="250"/>
        <v/>
      </c>
      <c r="X1096" t="str">
        <f>IF(ISBLANK(S1096),"Intersection","Non-Intersection")</f>
        <v>Non-Intersection</v>
      </c>
      <c r="Y1096" t="s">
        <v>1921</v>
      </c>
      <c r="Z1096" t="str">
        <f t="shared" si="251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38"/>
        <v>40179</v>
      </c>
      <c r="D1097" s="4">
        <f t="shared" si="239"/>
        <v>0.72876712328767124</v>
      </c>
      <c r="E1097" s="3">
        <f t="shared" si="240"/>
        <v>2010</v>
      </c>
      <c r="F1097" s="3">
        <f t="shared" si="241"/>
        <v>9</v>
      </c>
      <c r="G1097" s="3">
        <f t="shared" si="242"/>
        <v>24</v>
      </c>
      <c r="H1097" s="3">
        <f t="shared" si="243"/>
        <v>9</v>
      </c>
      <c r="I1097" s="3">
        <f t="shared" si="244"/>
        <v>0</v>
      </c>
      <c r="J1097" s="3">
        <f t="shared" si="245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46"/>
        <v>YES</v>
      </c>
      <c r="Q1097" t="str">
        <f t="shared" si="247"/>
        <v>YES</v>
      </c>
      <c r="R1097" t="str">
        <f t="shared" si="248"/>
        <v>NO</v>
      </c>
      <c r="T1097" t="s">
        <v>74</v>
      </c>
      <c r="U1097" t="str">
        <f t="shared" si="249"/>
        <v>Hampshire St</v>
      </c>
      <c r="V1097" t="s">
        <v>587</v>
      </c>
      <c r="W1097" t="str">
        <f t="shared" si="250"/>
        <v>Webster Ave</v>
      </c>
      <c r="X1097" t="str">
        <f>IF(ISBLANK(S1097),"Intersection","Non-Intersection")</f>
        <v>Intersection</v>
      </c>
      <c r="Y1097" t="s">
        <v>1923</v>
      </c>
      <c r="Z1097" t="str">
        <f t="shared" si="251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38"/>
        <v>40179</v>
      </c>
      <c r="D1098" s="4">
        <f t="shared" si="239"/>
        <v>0.72876712328767124</v>
      </c>
      <c r="E1098" s="3">
        <f t="shared" si="240"/>
        <v>2010</v>
      </c>
      <c r="F1098" s="3">
        <f t="shared" si="241"/>
        <v>9</v>
      </c>
      <c r="G1098" s="3">
        <f t="shared" si="242"/>
        <v>24</v>
      </c>
      <c r="H1098" s="3">
        <f t="shared" si="243"/>
        <v>15</v>
      </c>
      <c r="I1098" s="3">
        <f t="shared" si="244"/>
        <v>14</v>
      </c>
      <c r="J1098" s="3">
        <f t="shared" si="245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46"/>
        <v>YES</v>
      </c>
      <c r="Q1098" t="str">
        <f t="shared" si="247"/>
        <v>NO</v>
      </c>
      <c r="R1098" t="str">
        <f t="shared" si="248"/>
        <v>NO</v>
      </c>
      <c r="T1098" t="s">
        <v>133</v>
      </c>
      <c r="U1098" t="str">
        <f t="shared" si="249"/>
        <v>Harvard St</v>
      </c>
      <c r="V1098" t="s">
        <v>14</v>
      </c>
      <c r="W1098" t="str">
        <f t="shared" si="250"/>
        <v>Massachusetts Ave</v>
      </c>
      <c r="X1098" t="str">
        <f>IF(ISBLANK(S1098),"Intersection","Non-Intersection")</f>
        <v>Intersection</v>
      </c>
      <c r="Y1098" t="s">
        <v>1925</v>
      </c>
      <c r="Z1098" t="str">
        <f t="shared" si="251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38"/>
        <v>40179</v>
      </c>
      <c r="D1099" s="4">
        <f t="shared" si="239"/>
        <v>0.72876712328767124</v>
      </c>
      <c r="E1099" s="3">
        <f t="shared" si="240"/>
        <v>2010</v>
      </c>
      <c r="F1099" s="3">
        <f t="shared" si="241"/>
        <v>9</v>
      </c>
      <c r="G1099" s="3">
        <f t="shared" si="242"/>
        <v>24</v>
      </c>
      <c r="H1099" s="3">
        <f t="shared" si="243"/>
        <v>13</v>
      </c>
      <c r="I1099" s="3">
        <f t="shared" si="244"/>
        <v>44</v>
      </c>
      <c r="J1099" s="3">
        <f t="shared" si="245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46"/>
        <v>YES</v>
      </c>
      <c r="Q1099" t="str">
        <f t="shared" si="247"/>
        <v>YES</v>
      </c>
      <c r="R1099" t="str">
        <f t="shared" si="248"/>
        <v>NO</v>
      </c>
      <c r="T1099" t="s">
        <v>198</v>
      </c>
      <c r="U1099" t="str">
        <f t="shared" si="249"/>
        <v>Mount Auburn St</v>
      </c>
      <c r="V1099" t="s">
        <v>229</v>
      </c>
      <c r="W1099" t="str">
        <f t="shared" si="250"/>
        <v>Dewolfe St</v>
      </c>
      <c r="X1099" t="str">
        <f>IF(ISBLANK(S1099),"Intersection","Non-Intersection")</f>
        <v>Intersection</v>
      </c>
      <c r="Y1099" t="s">
        <v>1927</v>
      </c>
      <c r="Z1099" t="str">
        <f t="shared" si="251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38"/>
        <v>40179</v>
      </c>
      <c r="D1100" s="4">
        <f t="shared" si="239"/>
        <v>0.72876712328767124</v>
      </c>
      <c r="E1100" s="3">
        <f t="shared" si="240"/>
        <v>2010</v>
      </c>
      <c r="F1100" s="3">
        <f t="shared" si="241"/>
        <v>9</v>
      </c>
      <c r="G1100" s="3">
        <f t="shared" si="242"/>
        <v>24</v>
      </c>
      <c r="H1100" s="3">
        <f t="shared" si="243"/>
        <v>14</v>
      </c>
      <c r="I1100" s="3">
        <f t="shared" si="244"/>
        <v>41</v>
      </c>
      <c r="J1100" s="3">
        <f t="shared" si="245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46"/>
        <v>YES</v>
      </c>
      <c r="Q1100" t="str">
        <f t="shared" si="247"/>
        <v>YES</v>
      </c>
      <c r="R1100" t="str">
        <f t="shared" si="248"/>
        <v>NO</v>
      </c>
      <c r="S1100">
        <v>686</v>
      </c>
      <c r="T1100" t="s">
        <v>19</v>
      </c>
      <c r="U1100" t="str">
        <f t="shared" si="249"/>
        <v>Cambridge St</v>
      </c>
      <c r="W1100" t="str">
        <f t="shared" si="250"/>
        <v/>
      </c>
      <c r="X1100" t="str">
        <f>IF(ISBLANK(S1100),"Intersection","Non-Intersection")</f>
        <v>Non-Intersection</v>
      </c>
      <c r="Y1100" t="s">
        <v>1929</v>
      </c>
      <c r="Z1100" t="str">
        <f t="shared" si="251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52">EOMONTH(B1101,MONTH(B1101)*-1)+1</f>
        <v>40179</v>
      </c>
      <c r="D1101" s="4">
        <f t="shared" ref="D1101:D1162" si="253">YEARFRAC(C1101,B1101,1)</f>
        <v>0.72876712328767124</v>
      </c>
      <c r="E1101" s="3">
        <f t="shared" ref="E1101:E1162" si="254">YEAR(B1101)</f>
        <v>2010</v>
      </c>
      <c r="F1101" s="3">
        <f t="shared" ref="F1101:F1162" si="255">MONTH(B1101)</f>
        <v>9</v>
      </c>
      <c r="G1101" s="3">
        <f t="shared" ref="G1101:G1162" si="256">DAY(B1101)</f>
        <v>24</v>
      </c>
      <c r="H1101" s="3">
        <f t="shared" ref="H1101:H1162" si="257">HOUR(B1101)</f>
        <v>21</v>
      </c>
      <c r="I1101" s="3">
        <f t="shared" ref="I1101:I1162" si="258">MINUTE(B1101)</f>
        <v>14</v>
      </c>
      <c r="J1101" s="3">
        <f t="shared" ref="J1101:J1162" si="259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60">IF(OR(N1101="Auto",O1101="Auto"),"YES",IF(OR(N1101="Taxi",O1101="Taxi"),"YES",IF(OR(N1101="Van",O1101="Van"),"YES",IF(OR(N1101="Truck",O1101="Truck"),"YES","NO"))))</f>
        <v>YES</v>
      </c>
      <c r="Q1101" t="str">
        <f t="shared" ref="Q1101:Q1162" si="261">IF(OR(N1101="Bicycle",O1101="Bicycle"),"YES","NO")</f>
        <v>NO</v>
      </c>
      <c r="R1101" t="str">
        <f t="shared" ref="R1101:R1162" si="262">IF(OR(N1101="Pedestrian",O1101="Pedestrian"),"YES","NO")</f>
        <v>NO</v>
      </c>
      <c r="T1101" t="s">
        <v>42</v>
      </c>
      <c r="U1101" t="str">
        <f t="shared" si="249"/>
        <v>Putnam Ave</v>
      </c>
      <c r="V1101" t="s">
        <v>178</v>
      </c>
      <c r="W1101" t="str">
        <f t="shared" si="250"/>
        <v>Pleasant St</v>
      </c>
      <c r="X1101" t="str">
        <f>IF(ISBLANK(S1101),"Intersection","Non-Intersection")</f>
        <v>Intersection</v>
      </c>
      <c r="Y1101" t="s">
        <v>179</v>
      </c>
      <c r="Z1101" t="str">
        <f t="shared" si="251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52"/>
        <v>40179</v>
      </c>
      <c r="D1102" s="4">
        <f t="shared" si="253"/>
        <v>0.72876712328767124</v>
      </c>
      <c r="E1102" s="3">
        <f t="shared" si="254"/>
        <v>2010</v>
      </c>
      <c r="F1102" s="3">
        <f t="shared" si="255"/>
        <v>9</v>
      </c>
      <c r="G1102" s="3">
        <f t="shared" si="256"/>
        <v>24</v>
      </c>
      <c r="H1102" s="3">
        <f t="shared" si="257"/>
        <v>13</v>
      </c>
      <c r="I1102" s="3">
        <f t="shared" si="258"/>
        <v>28</v>
      </c>
      <c r="J1102" s="3">
        <f t="shared" si="259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60"/>
        <v>YES</v>
      </c>
      <c r="Q1102" t="str">
        <f t="shared" si="261"/>
        <v>NO</v>
      </c>
      <c r="R1102" t="str">
        <f t="shared" si="262"/>
        <v>NO</v>
      </c>
      <c r="T1102" t="s">
        <v>1332</v>
      </c>
      <c r="U1102" t="str">
        <f t="shared" si="249"/>
        <v>Porter Rd</v>
      </c>
      <c r="V1102" t="s">
        <v>14</v>
      </c>
      <c r="W1102" t="str">
        <f t="shared" si="250"/>
        <v>Massachusetts Ave</v>
      </c>
      <c r="X1102" t="str">
        <f>IF(ISBLANK(S1102),"Intersection","Non-Intersection")</f>
        <v>Intersection</v>
      </c>
      <c r="Y1102" t="s">
        <v>1931</v>
      </c>
      <c r="Z1102" t="str">
        <f t="shared" si="251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52"/>
        <v>40179</v>
      </c>
      <c r="D1103" s="4">
        <f t="shared" si="253"/>
        <v>0.72876712328767124</v>
      </c>
      <c r="E1103" s="3">
        <f t="shared" si="254"/>
        <v>2010</v>
      </c>
      <c r="F1103" s="3">
        <f t="shared" si="255"/>
        <v>9</v>
      </c>
      <c r="G1103" s="3">
        <f t="shared" si="256"/>
        <v>24</v>
      </c>
      <c r="H1103" s="3">
        <f t="shared" si="257"/>
        <v>9</v>
      </c>
      <c r="I1103" s="3">
        <f t="shared" si="258"/>
        <v>59</v>
      </c>
      <c r="J1103" s="3">
        <f t="shared" si="259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60"/>
        <v>YES</v>
      </c>
      <c r="Q1103" t="str">
        <f t="shared" si="261"/>
        <v>NO</v>
      </c>
      <c r="R1103" t="str">
        <f t="shared" si="262"/>
        <v>NO</v>
      </c>
      <c r="S1103">
        <v>247</v>
      </c>
      <c r="T1103" t="s">
        <v>70</v>
      </c>
      <c r="U1103" t="str">
        <f t="shared" si="249"/>
        <v>Pearl St</v>
      </c>
      <c r="W1103" t="str">
        <f t="shared" si="250"/>
        <v/>
      </c>
      <c r="X1103" t="str">
        <f>IF(ISBLANK(S1103),"Intersection","Non-Intersection")</f>
        <v>Non-Intersection</v>
      </c>
      <c r="Y1103" t="s">
        <v>1932</v>
      </c>
      <c r="Z1103" t="str">
        <f t="shared" si="251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52"/>
        <v>40179</v>
      </c>
      <c r="D1104" s="4">
        <f t="shared" si="253"/>
        <v>0.72876712328767124</v>
      </c>
      <c r="E1104" s="3">
        <f t="shared" si="254"/>
        <v>2010</v>
      </c>
      <c r="F1104" s="3">
        <f t="shared" si="255"/>
        <v>9</v>
      </c>
      <c r="G1104" s="3">
        <f t="shared" si="256"/>
        <v>24</v>
      </c>
      <c r="H1104" s="3">
        <f t="shared" si="257"/>
        <v>22</v>
      </c>
      <c r="I1104" s="3">
        <f t="shared" si="258"/>
        <v>45</v>
      </c>
      <c r="J1104" s="3">
        <f t="shared" si="259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60"/>
        <v>YES</v>
      </c>
      <c r="Q1104" t="str">
        <f t="shared" si="261"/>
        <v>NO</v>
      </c>
      <c r="R1104" t="str">
        <f t="shared" si="262"/>
        <v>NO</v>
      </c>
      <c r="T1104" t="s">
        <v>142</v>
      </c>
      <c r="U1104" t="str">
        <f t="shared" si="249"/>
        <v>Huron Ave</v>
      </c>
      <c r="V1104" t="s">
        <v>459</v>
      </c>
      <c r="W1104" t="str">
        <f t="shared" si="250"/>
        <v>Fayerweather St</v>
      </c>
      <c r="X1104" t="str">
        <f>IF(ISBLANK(S1104),"Intersection","Non-Intersection")</f>
        <v>Intersection</v>
      </c>
      <c r="Y1104" t="s">
        <v>460</v>
      </c>
      <c r="Z1104" t="str">
        <f t="shared" si="251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52"/>
        <v>40179</v>
      </c>
      <c r="D1105" s="4">
        <f t="shared" si="253"/>
        <v>0.73150684931506849</v>
      </c>
      <c r="E1105" s="3">
        <f t="shared" si="254"/>
        <v>2010</v>
      </c>
      <c r="F1105" s="3">
        <f t="shared" si="255"/>
        <v>9</v>
      </c>
      <c r="G1105" s="3">
        <f t="shared" si="256"/>
        <v>25</v>
      </c>
      <c r="H1105" s="3">
        <f t="shared" si="257"/>
        <v>12</v>
      </c>
      <c r="I1105" s="3">
        <f t="shared" si="258"/>
        <v>14</v>
      </c>
      <c r="J1105" s="3">
        <f t="shared" si="259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60"/>
        <v>YES</v>
      </c>
      <c r="Q1105" t="str">
        <f t="shared" si="261"/>
        <v>NO</v>
      </c>
      <c r="R1105" t="str">
        <f t="shared" si="262"/>
        <v>NO</v>
      </c>
      <c r="T1105" t="s">
        <v>185</v>
      </c>
      <c r="U1105" t="str">
        <f t="shared" si="249"/>
        <v>Garden St</v>
      </c>
      <c r="V1105" t="s">
        <v>142</v>
      </c>
      <c r="W1105" t="str">
        <f t="shared" si="250"/>
        <v>Huron Ave</v>
      </c>
      <c r="X1105" t="str">
        <f>IF(ISBLANK(S1105),"Intersection","Non-Intersection")</f>
        <v>Intersection</v>
      </c>
      <c r="Y1105" t="s">
        <v>890</v>
      </c>
      <c r="Z1105" t="str">
        <f t="shared" si="251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52"/>
        <v>40179</v>
      </c>
      <c r="D1106" s="4">
        <f t="shared" si="253"/>
        <v>0.73150684931506849</v>
      </c>
      <c r="E1106" s="3">
        <f t="shared" si="254"/>
        <v>2010</v>
      </c>
      <c r="F1106" s="3">
        <f t="shared" si="255"/>
        <v>9</v>
      </c>
      <c r="G1106" s="3">
        <f t="shared" si="256"/>
        <v>25</v>
      </c>
      <c r="H1106" s="3">
        <f t="shared" si="257"/>
        <v>15</v>
      </c>
      <c r="I1106" s="3">
        <f t="shared" si="258"/>
        <v>17</v>
      </c>
      <c r="J1106" s="3">
        <f t="shared" si="259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60"/>
        <v>YES</v>
      </c>
      <c r="Q1106" t="str">
        <f t="shared" si="261"/>
        <v>NO</v>
      </c>
      <c r="R1106" t="str">
        <f t="shared" si="262"/>
        <v>NO</v>
      </c>
      <c r="T1106" t="s">
        <v>124</v>
      </c>
      <c r="U1106" t="str">
        <f t="shared" si="249"/>
        <v>York St</v>
      </c>
      <c r="V1106" t="s">
        <v>1934</v>
      </c>
      <c r="W1106" t="str">
        <f t="shared" si="250"/>
        <v>Hamlin St</v>
      </c>
      <c r="X1106" t="str">
        <f>IF(ISBLANK(S1106),"Intersection","Non-Intersection")</f>
        <v>Intersection</v>
      </c>
      <c r="Y1106" t="s">
        <v>1935</v>
      </c>
      <c r="Z1106" t="str">
        <f t="shared" si="251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52"/>
        <v>40179</v>
      </c>
      <c r="D1107" s="4">
        <f t="shared" si="253"/>
        <v>0.73150684931506849</v>
      </c>
      <c r="E1107" s="3">
        <f t="shared" si="254"/>
        <v>2010</v>
      </c>
      <c r="F1107" s="3">
        <f t="shared" si="255"/>
        <v>9</v>
      </c>
      <c r="G1107" s="3">
        <f t="shared" si="256"/>
        <v>25</v>
      </c>
      <c r="H1107" s="3">
        <f t="shared" si="257"/>
        <v>21</v>
      </c>
      <c r="I1107" s="3">
        <f t="shared" si="258"/>
        <v>30</v>
      </c>
      <c r="J1107" s="3">
        <f t="shared" si="259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60"/>
        <v>YES</v>
      </c>
      <c r="Q1107" t="str">
        <f t="shared" si="261"/>
        <v>NO</v>
      </c>
      <c r="R1107" t="str">
        <f t="shared" si="262"/>
        <v>NO</v>
      </c>
      <c r="T1107" t="s">
        <v>1438</v>
      </c>
      <c r="U1107" t="str">
        <f t="shared" si="249"/>
        <v>Dunster St</v>
      </c>
      <c r="V1107" t="s">
        <v>198</v>
      </c>
      <c r="W1107" t="str">
        <f t="shared" si="250"/>
        <v>Mount Auburn St</v>
      </c>
      <c r="X1107" t="str">
        <f>IF(ISBLANK(S1107),"Intersection","Non-Intersection")</f>
        <v>Intersection</v>
      </c>
      <c r="Y1107" t="s">
        <v>1786</v>
      </c>
      <c r="Z1107" t="str">
        <f t="shared" si="251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52"/>
        <v>40179</v>
      </c>
      <c r="D1108" s="4">
        <f t="shared" si="253"/>
        <v>0.73424657534246573</v>
      </c>
      <c r="E1108" s="3">
        <f t="shared" si="254"/>
        <v>2010</v>
      </c>
      <c r="F1108" s="3">
        <f t="shared" si="255"/>
        <v>9</v>
      </c>
      <c r="G1108" s="3">
        <f t="shared" si="256"/>
        <v>26</v>
      </c>
      <c r="H1108" s="3">
        <f t="shared" si="257"/>
        <v>11</v>
      </c>
      <c r="I1108" s="3">
        <f t="shared" si="258"/>
        <v>45</v>
      </c>
      <c r="J1108" s="3">
        <f t="shared" si="259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60"/>
        <v>YES</v>
      </c>
      <c r="Q1108" t="str">
        <f t="shared" si="261"/>
        <v>NO</v>
      </c>
      <c r="R1108" t="str">
        <f t="shared" si="262"/>
        <v>NO</v>
      </c>
      <c r="S1108">
        <v>1868</v>
      </c>
      <c r="T1108" t="s">
        <v>14</v>
      </c>
      <c r="U1108" t="str">
        <f t="shared" si="249"/>
        <v>Massachusetts Ave</v>
      </c>
      <c r="W1108" t="str">
        <f t="shared" si="250"/>
        <v/>
      </c>
      <c r="X1108" t="str">
        <f>IF(ISBLANK(S1108),"Intersection","Non-Intersection")</f>
        <v>Non-Intersection</v>
      </c>
      <c r="Y1108" t="s">
        <v>1937</v>
      </c>
      <c r="Z1108" t="str">
        <f t="shared" si="251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52"/>
        <v>40179</v>
      </c>
      <c r="D1109" s="4">
        <f t="shared" si="253"/>
        <v>0.73698630136986298</v>
      </c>
      <c r="E1109" s="3">
        <f t="shared" si="254"/>
        <v>2010</v>
      </c>
      <c r="F1109" s="3">
        <f t="shared" si="255"/>
        <v>9</v>
      </c>
      <c r="G1109" s="3">
        <f t="shared" si="256"/>
        <v>27</v>
      </c>
      <c r="H1109" s="3">
        <f t="shared" si="257"/>
        <v>10</v>
      </c>
      <c r="I1109" s="3">
        <f t="shared" si="258"/>
        <v>14</v>
      </c>
      <c r="J1109" s="3">
        <f t="shared" si="259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60"/>
        <v>YES</v>
      </c>
      <c r="Q1109" t="str">
        <f t="shared" si="261"/>
        <v>NO</v>
      </c>
      <c r="R1109" t="str">
        <f t="shared" si="262"/>
        <v>NO</v>
      </c>
      <c r="S1109">
        <v>71</v>
      </c>
      <c r="T1109" t="s">
        <v>208</v>
      </c>
      <c r="U1109" t="str">
        <f t="shared" si="249"/>
        <v>Sparks St</v>
      </c>
      <c r="W1109" t="str">
        <f t="shared" si="250"/>
        <v/>
      </c>
      <c r="X1109" t="str">
        <f>IF(ISBLANK(S1109),"Intersection","Non-Intersection")</f>
        <v>Non-Intersection</v>
      </c>
      <c r="Y1109" t="s">
        <v>1939</v>
      </c>
      <c r="Z1109" t="str">
        <f t="shared" si="251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52"/>
        <v>40179</v>
      </c>
      <c r="D1110" s="4">
        <f t="shared" si="253"/>
        <v>0.73698630136986298</v>
      </c>
      <c r="E1110" s="3">
        <f t="shared" si="254"/>
        <v>2010</v>
      </c>
      <c r="F1110" s="3">
        <f t="shared" si="255"/>
        <v>9</v>
      </c>
      <c r="G1110" s="3">
        <f t="shared" si="256"/>
        <v>27</v>
      </c>
      <c r="H1110" s="3">
        <f t="shared" si="257"/>
        <v>9</v>
      </c>
      <c r="I1110" s="3">
        <f t="shared" si="258"/>
        <v>0</v>
      </c>
      <c r="J1110" s="3">
        <f t="shared" si="259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60"/>
        <v>NO</v>
      </c>
      <c r="Q1110" t="str">
        <f t="shared" si="261"/>
        <v>NO</v>
      </c>
      <c r="R1110" t="str">
        <f t="shared" si="262"/>
        <v>NO</v>
      </c>
      <c r="T1110" t="s">
        <v>186</v>
      </c>
      <c r="U1110" t="str">
        <f t="shared" si="249"/>
        <v>Concord Ave</v>
      </c>
      <c r="V1110" t="s">
        <v>252</v>
      </c>
      <c r="W1110" t="str">
        <f t="shared" si="250"/>
        <v>Walden St</v>
      </c>
      <c r="X1110" t="str">
        <f>IF(ISBLANK(S1110),"Intersection","Non-Intersection")</f>
        <v>Intersection</v>
      </c>
      <c r="Y1110" t="s">
        <v>1941</v>
      </c>
      <c r="Z1110" t="str">
        <f t="shared" si="251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52"/>
        <v>40179</v>
      </c>
      <c r="D1111" s="4">
        <f t="shared" si="253"/>
        <v>0.73698630136986298</v>
      </c>
      <c r="E1111" s="3">
        <f t="shared" si="254"/>
        <v>2010</v>
      </c>
      <c r="F1111" s="3">
        <f t="shared" si="255"/>
        <v>9</v>
      </c>
      <c r="G1111" s="3">
        <f t="shared" si="256"/>
        <v>27</v>
      </c>
      <c r="H1111" s="3">
        <f t="shared" si="257"/>
        <v>9</v>
      </c>
      <c r="I1111" s="3">
        <f t="shared" si="258"/>
        <v>0</v>
      </c>
      <c r="J1111" s="3">
        <f t="shared" si="259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60"/>
        <v>YES</v>
      </c>
      <c r="Q1111" t="str">
        <f t="shared" si="261"/>
        <v>NO</v>
      </c>
      <c r="R1111" t="str">
        <f t="shared" si="262"/>
        <v>NO</v>
      </c>
      <c r="U1111" t="str">
        <f t="shared" si="249"/>
        <v/>
      </c>
      <c r="W1111" t="str">
        <f t="shared" si="250"/>
        <v/>
      </c>
      <c r="X1111" t="str">
        <f>IF(ISBLANK(S1111),"Intersection","Non-Intersection")</f>
        <v>Intersection</v>
      </c>
      <c r="Y1111" t="s">
        <v>717</v>
      </c>
      <c r="Z1111" t="str">
        <f t="shared" si="251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52"/>
        <v>40179</v>
      </c>
      <c r="D1112" s="4">
        <f t="shared" si="253"/>
        <v>0.73698630136986298</v>
      </c>
      <c r="E1112" s="3">
        <f t="shared" si="254"/>
        <v>2010</v>
      </c>
      <c r="F1112" s="3">
        <f t="shared" si="255"/>
        <v>9</v>
      </c>
      <c r="G1112" s="3">
        <f t="shared" si="256"/>
        <v>27</v>
      </c>
      <c r="H1112" s="3">
        <f t="shared" si="257"/>
        <v>8</v>
      </c>
      <c r="I1112" s="3">
        <f t="shared" si="258"/>
        <v>15</v>
      </c>
      <c r="J1112" s="3">
        <f t="shared" si="259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60"/>
        <v>YES</v>
      </c>
      <c r="Q1112" t="str">
        <f t="shared" si="261"/>
        <v>NO</v>
      </c>
      <c r="R1112" t="str">
        <f t="shared" si="262"/>
        <v>NO</v>
      </c>
      <c r="S1112">
        <v>189</v>
      </c>
      <c r="T1112" t="s">
        <v>19</v>
      </c>
      <c r="U1112" t="str">
        <f t="shared" si="249"/>
        <v>Cambridge St</v>
      </c>
      <c r="W1112" t="str">
        <f t="shared" si="250"/>
        <v/>
      </c>
      <c r="X1112" t="str">
        <f>IF(ISBLANK(S1112),"Intersection","Non-Intersection")</f>
        <v>Non-Intersection</v>
      </c>
      <c r="Y1112" t="s">
        <v>1942</v>
      </c>
      <c r="Z1112" t="str">
        <f t="shared" si="251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52"/>
        <v>40179</v>
      </c>
      <c r="D1113" s="4">
        <f t="shared" si="253"/>
        <v>0.73972602739726023</v>
      </c>
      <c r="E1113" s="3">
        <f t="shared" si="254"/>
        <v>2010</v>
      </c>
      <c r="F1113" s="3">
        <f t="shared" si="255"/>
        <v>9</v>
      </c>
      <c r="G1113" s="3">
        <f t="shared" si="256"/>
        <v>28</v>
      </c>
      <c r="H1113" s="3">
        <f t="shared" si="257"/>
        <v>12</v>
      </c>
      <c r="I1113" s="3">
        <f t="shared" si="258"/>
        <v>20</v>
      </c>
      <c r="J1113" s="3">
        <f t="shared" si="259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60"/>
        <v>YES</v>
      </c>
      <c r="Q1113" t="str">
        <f t="shared" si="261"/>
        <v>NO</v>
      </c>
      <c r="R1113" t="str">
        <f t="shared" si="262"/>
        <v>NO</v>
      </c>
      <c r="T1113" t="s">
        <v>14</v>
      </c>
      <c r="U1113" t="str">
        <f t="shared" si="249"/>
        <v>Massachusetts Ave</v>
      </c>
      <c r="V1113" t="s">
        <v>745</v>
      </c>
      <c r="W1113" t="str">
        <f t="shared" si="250"/>
        <v>Norfolk St</v>
      </c>
      <c r="X1113" t="str">
        <f>IF(ISBLANK(S1113),"Intersection","Non-Intersection")</f>
        <v>Intersection</v>
      </c>
      <c r="Y1113" t="s">
        <v>873</v>
      </c>
      <c r="Z1113" t="str">
        <f t="shared" si="251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52"/>
        <v>40179</v>
      </c>
      <c r="D1114" s="4">
        <f t="shared" si="253"/>
        <v>0.73972602739726023</v>
      </c>
      <c r="E1114" s="3">
        <f t="shared" si="254"/>
        <v>2010</v>
      </c>
      <c r="F1114" s="3">
        <f t="shared" si="255"/>
        <v>9</v>
      </c>
      <c r="G1114" s="3">
        <f t="shared" si="256"/>
        <v>28</v>
      </c>
      <c r="H1114" s="3">
        <f t="shared" si="257"/>
        <v>12</v>
      </c>
      <c r="I1114" s="3">
        <f t="shared" si="258"/>
        <v>20</v>
      </c>
      <c r="J1114" s="3">
        <f t="shared" si="259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60"/>
        <v>YES</v>
      </c>
      <c r="Q1114" t="str">
        <f t="shared" si="261"/>
        <v>NO</v>
      </c>
      <c r="R1114" t="str">
        <f t="shared" si="262"/>
        <v>NO</v>
      </c>
      <c r="T1114" t="s">
        <v>14</v>
      </c>
      <c r="U1114" t="str">
        <f t="shared" si="249"/>
        <v>Massachusetts Ave</v>
      </c>
      <c r="V1114" t="s">
        <v>745</v>
      </c>
      <c r="W1114" t="str">
        <f t="shared" si="250"/>
        <v>Norfolk St</v>
      </c>
      <c r="X1114" t="str">
        <f>IF(ISBLANK(S1114),"Intersection","Non-Intersection")</f>
        <v>Intersection</v>
      </c>
      <c r="Y1114" t="s">
        <v>873</v>
      </c>
      <c r="Z1114" t="str">
        <f t="shared" si="251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52"/>
        <v>40179</v>
      </c>
      <c r="D1115" s="4">
        <f t="shared" si="253"/>
        <v>0.73972602739726023</v>
      </c>
      <c r="E1115" s="3">
        <f t="shared" si="254"/>
        <v>2010</v>
      </c>
      <c r="F1115" s="3">
        <f t="shared" si="255"/>
        <v>9</v>
      </c>
      <c r="G1115" s="3">
        <f t="shared" si="256"/>
        <v>28</v>
      </c>
      <c r="H1115" s="3">
        <f t="shared" si="257"/>
        <v>12</v>
      </c>
      <c r="I1115" s="3">
        <f t="shared" si="258"/>
        <v>30</v>
      </c>
      <c r="J1115" s="3">
        <f t="shared" si="259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60"/>
        <v>YES</v>
      </c>
      <c r="Q1115" t="str">
        <f t="shared" si="261"/>
        <v>NO</v>
      </c>
      <c r="R1115" t="str">
        <f t="shared" si="262"/>
        <v>NO</v>
      </c>
      <c r="T1115" t="s">
        <v>14</v>
      </c>
      <c r="U1115" t="str">
        <f t="shared" si="249"/>
        <v>Massachusetts Ave</v>
      </c>
      <c r="V1115" t="s">
        <v>1432</v>
      </c>
      <c r="W1115" t="str">
        <f t="shared" si="250"/>
        <v>Jarvis St</v>
      </c>
      <c r="X1115" t="str">
        <f>IF(ISBLANK(S1115),"Intersection","Non-Intersection")</f>
        <v>Intersection</v>
      </c>
      <c r="Y1115" t="s">
        <v>1433</v>
      </c>
      <c r="Z1115" t="str">
        <f t="shared" si="251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52"/>
        <v>40179</v>
      </c>
      <c r="D1116" s="4">
        <f t="shared" si="253"/>
        <v>0.73972602739726023</v>
      </c>
      <c r="E1116" s="3">
        <f t="shared" si="254"/>
        <v>2010</v>
      </c>
      <c r="F1116" s="3">
        <f t="shared" si="255"/>
        <v>9</v>
      </c>
      <c r="G1116" s="3">
        <f t="shared" si="256"/>
        <v>28</v>
      </c>
      <c r="H1116" s="3">
        <f t="shared" si="257"/>
        <v>13</v>
      </c>
      <c r="I1116" s="3">
        <f t="shared" si="258"/>
        <v>30</v>
      </c>
      <c r="J1116" s="3">
        <f t="shared" si="259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60"/>
        <v>YES</v>
      </c>
      <c r="Q1116" t="str">
        <f t="shared" si="261"/>
        <v>NO</v>
      </c>
      <c r="R1116" t="str">
        <f t="shared" si="262"/>
        <v>NO</v>
      </c>
      <c r="T1116" t="s">
        <v>27</v>
      </c>
      <c r="U1116" t="str">
        <f t="shared" si="249"/>
        <v>Western Ave</v>
      </c>
      <c r="V1116" t="s">
        <v>203</v>
      </c>
      <c r="W1116" t="str">
        <f t="shared" si="250"/>
        <v>Memorial Dr</v>
      </c>
      <c r="X1116" t="str">
        <f>IF(ISBLANK(S1116),"Intersection","Non-Intersection")</f>
        <v>Intersection</v>
      </c>
      <c r="Y1116" t="s">
        <v>1944</v>
      </c>
      <c r="Z1116" t="str">
        <f t="shared" si="251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52"/>
        <v>40179</v>
      </c>
      <c r="D1117" s="4">
        <f t="shared" si="253"/>
        <v>0.73972602739726023</v>
      </c>
      <c r="E1117" s="3">
        <f t="shared" si="254"/>
        <v>2010</v>
      </c>
      <c r="F1117" s="3">
        <f t="shared" si="255"/>
        <v>9</v>
      </c>
      <c r="G1117" s="3">
        <f t="shared" si="256"/>
        <v>28</v>
      </c>
      <c r="H1117" s="3">
        <f t="shared" si="257"/>
        <v>17</v>
      </c>
      <c r="I1117" s="3">
        <f t="shared" si="258"/>
        <v>20</v>
      </c>
      <c r="J1117" s="3">
        <f t="shared" si="259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60"/>
        <v>YES</v>
      </c>
      <c r="Q1117" t="str">
        <f t="shared" si="261"/>
        <v>NO</v>
      </c>
      <c r="R1117" t="str">
        <f t="shared" si="262"/>
        <v>NO</v>
      </c>
      <c r="T1117" t="s">
        <v>119</v>
      </c>
      <c r="U1117" t="str">
        <f t="shared" si="249"/>
        <v>Albany St</v>
      </c>
      <c r="V1117" t="s">
        <v>796</v>
      </c>
      <c r="W1117" t="str">
        <f t="shared" si="250"/>
        <v>Portland St</v>
      </c>
      <c r="X1117" t="str">
        <f>IF(ISBLANK(S1117),"Intersection","Non-Intersection")</f>
        <v>Intersection</v>
      </c>
      <c r="Y1117" t="s">
        <v>1946</v>
      </c>
      <c r="Z1117" t="str">
        <f t="shared" si="251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52"/>
        <v>40179</v>
      </c>
      <c r="D1118" s="4">
        <f t="shared" si="253"/>
        <v>0.73972602739726023</v>
      </c>
      <c r="E1118" s="3">
        <f t="shared" si="254"/>
        <v>2010</v>
      </c>
      <c r="F1118" s="3">
        <f t="shared" si="255"/>
        <v>9</v>
      </c>
      <c r="G1118" s="3">
        <f t="shared" si="256"/>
        <v>28</v>
      </c>
      <c r="H1118" s="3">
        <f t="shared" si="257"/>
        <v>17</v>
      </c>
      <c r="I1118" s="3">
        <f t="shared" si="258"/>
        <v>29</v>
      </c>
      <c r="J1118" s="3">
        <f t="shared" si="259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60"/>
        <v>YES</v>
      </c>
      <c r="Q1118" t="str">
        <f t="shared" si="261"/>
        <v>NO</v>
      </c>
      <c r="R1118" t="str">
        <f t="shared" si="262"/>
        <v>NO</v>
      </c>
      <c r="S1118">
        <v>5</v>
      </c>
      <c r="T1118" t="s">
        <v>219</v>
      </c>
      <c r="U1118" t="str">
        <f t="shared" si="249"/>
        <v>Sacramento St</v>
      </c>
      <c r="W1118" t="str">
        <f t="shared" si="250"/>
        <v/>
      </c>
      <c r="X1118" t="str">
        <f>IF(ISBLANK(S1118),"Intersection","Non-Intersection")</f>
        <v>Non-Intersection</v>
      </c>
      <c r="Y1118" t="s">
        <v>1948</v>
      </c>
      <c r="Z1118" t="str">
        <f t="shared" si="251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52"/>
        <v>40179</v>
      </c>
      <c r="D1119" s="4">
        <f t="shared" si="253"/>
        <v>0.73972602739726023</v>
      </c>
      <c r="E1119" s="3">
        <f t="shared" si="254"/>
        <v>2010</v>
      </c>
      <c r="F1119" s="3">
        <f t="shared" si="255"/>
        <v>9</v>
      </c>
      <c r="G1119" s="3">
        <f t="shared" si="256"/>
        <v>28</v>
      </c>
      <c r="H1119" s="3">
        <f t="shared" si="257"/>
        <v>19</v>
      </c>
      <c r="I1119" s="3">
        <f t="shared" si="258"/>
        <v>53</v>
      </c>
      <c r="J1119" s="3">
        <f t="shared" si="259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60"/>
        <v>YES</v>
      </c>
      <c r="Q1119" t="str">
        <f t="shared" si="261"/>
        <v>NO</v>
      </c>
      <c r="R1119" t="str">
        <f t="shared" si="262"/>
        <v>NO</v>
      </c>
      <c r="S1119">
        <v>60</v>
      </c>
      <c r="T1119" t="s">
        <v>316</v>
      </c>
      <c r="U1119" t="str">
        <f t="shared" si="249"/>
        <v>Bishop Allen Dr</v>
      </c>
      <c r="W1119" t="str">
        <f t="shared" si="250"/>
        <v/>
      </c>
      <c r="X1119" t="str">
        <f>IF(ISBLANK(S1119),"Intersection","Non-Intersection")</f>
        <v>Non-Intersection</v>
      </c>
      <c r="Y1119" t="s">
        <v>1950</v>
      </c>
      <c r="Z1119" t="str">
        <f t="shared" si="251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52"/>
        <v>40179</v>
      </c>
      <c r="D1120" s="4">
        <f t="shared" si="253"/>
        <v>0.73972602739726023</v>
      </c>
      <c r="E1120" s="3">
        <f t="shared" si="254"/>
        <v>2010</v>
      </c>
      <c r="F1120" s="3">
        <f t="shared" si="255"/>
        <v>9</v>
      </c>
      <c r="G1120" s="3">
        <f t="shared" si="256"/>
        <v>28</v>
      </c>
      <c r="H1120" s="3">
        <f t="shared" si="257"/>
        <v>22</v>
      </c>
      <c r="I1120" s="3">
        <f t="shared" si="258"/>
        <v>5</v>
      </c>
      <c r="J1120" s="3">
        <f t="shared" si="259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60"/>
        <v>YES</v>
      </c>
      <c r="Q1120" t="str">
        <f t="shared" si="261"/>
        <v>NO</v>
      </c>
      <c r="R1120" t="str">
        <f t="shared" si="262"/>
        <v>NO</v>
      </c>
      <c r="T1120" t="s">
        <v>14</v>
      </c>
      <c r="U1120" t="str">
        <f t="shared" si="249"/>
        <v>Massachusetts Ave</v>
      </c>
      <c r="V1120" t="s">
        <v>126</v>
      </c>
      <c r="W1120" t="str">
        <f t="shared" si="250"/>
        <v>Somerville Ave</v>
      </c>
      <c r="X1120" t="str">
        <f>IF(ISBLANK(S1120),"Intersection","Non-Intersection")</f>
        <v>Intersection</v>
      </c>
      <c r="Y1120" t="s">
        <v>127</v>
      </c>
      <c r="Z1120" t="str">
        <f t="shared" si="251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52"/>
        <v>40179</v>
      </c>
      <c r="D1121" s="4">
        <f t="shared" si="253"/>
        <v>0.73972602739726023</v>
      </c>
      <c r="E1121" s="3">
        <f t="shared" si="254"/>
        <v>2010</v>
      </c>
      <c r="F1121" s="3">
        <f t="shared" si="255"/>
        <v>9</v>
      </c>
      <c r="G1121" s="3">
        <f t="shared" si="256"/>
        <v>28</v>
      </c>
      <c r="H1121" s="3">
        <f t="shared" si="257"/>
        <v>17</v>
      </c>
      <c r="I1121" s="3">
        <f t="shared" si="258"/>
        <v>29</v>
      </c>
      <c r="J1121" s="3">
        <f t="shared" si="259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60"/>
        <v>YES</v>
      </c>
      <c r="Q1121" t="str">
        <f t="shared" si="261"/>
        <v>NO</v>
      </c>
      <c r="R1121" t="str">
        <f t="shared" si="262"/>
        <v>NO</v>
      </c>
      <c r="S1121" s="2">
        <v>42133</v>
      </c>
      <c r="T1121" t="s">
        <v>219</v>
      </c>
      <c r="U1121" t="str">
        <f t="shared" si="249"/>
        <v>Sacramento St</v>
      </c>
      <c r="W1121" t="str">
        <f t="shared" si="250"/>
        <v/>
      </c>
      <c r="X1121" t="str">
        <f>IF(ISBLANK(S1121),"Intersection","Non-Intersection")</f>
        <v>Non-Intersection</v>
      </c>
      <c r="Y1121" t="s">
        <v>1952</v>
      </c>
      <c r="Z1121" t="str">
        <f t="shared" si="251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52"/>
        <v>40179</v>
      </c>
      <c r="D1122" s="4">
        <f t="shared" si="253"/>
        <v>0.74246575342465748</v>
      </c>
      <c r="E1122" s="3">
        <f t="shared" si="254"/>
        <v>2010</v>
      </c>
      <c r="F1122" s="3">
        <f t="shared" si="255"/>
        <v>9</v>
      </c>
      <c r="G1122" s="3">
        <f t="shared" si="256"/>
        <v>29</v>
      </c>
      <c r="H1122" s="3">
        <f t="shared" si="257"/>
        <v>8</v>
      </c>
      <c r="I1122" s="3">
        <f t="shared" si="258"/>
        <v>39</v>
      </c>
      <c r="J1122" s="3">
        <f t="shared" si="259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60"/>
        <v>YES</v>
      </c>
      <c r="Q1122" t="str">
        <f t="shared" si="261"/>
        <v>NO</v>
      </c>
      <c r="R1122" t="str">
        <f t="shared" si="262"/>
        <v>NO</v>
      </c>
      <c r="T1122" t="s">
        <v>198</v>
      </c>
      <c r="U1122" t="str">
        <f t="shared" si="249"/>
        <v>Mount Auburn St</v>
      </c>
      <c r="V1122" t="s">
        <v>464</v>
      </c>
      <c r="W1122" t="str">
        <f t="shared" si="250"/>
        <v>Aberdeen Way</v>
      </c>
      <c r="X1122" t="str">
        <f>IF(ISBLANK(S1122),"Intersection","Non-Intersection")</f>
        <v>Intersection</v>
      </c>
      <c r="Y1122" t="s">
        <v>1666</v>
      </c>
      <c r="Z1122" t="str">
        <f t="shared" si="251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52"/>
        <v>40179</v>
      </c>
      <c r="D1123" s="4">
        <f t="shared" si="253"/>
        <v>0.74520547945205484</v>
      </c>
      <c r="E1123" s="3">
        <f t="shared" si="254"/>
        <v>2010</v>
      </c>
      <c r="F1123" s="3">
        <f t="shared" si="255"/>
        <v>9</v>
      </c>
      <c r="G1123" s="3">
        <f t="shared" si="256"/>
        <v>30</v>
      </c>
      <c r="H1123" s="3">
        <f t="shared" si="257"/>
        <v>16</v>
      </c>
      <c r="I1123" s="3">
        <f t="shared" si="258"/>
        <v>30</v>
      </c>
      <c r="J1123" s="3">
        <f t="shared" si="259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60"/>
        <v>YES</v>
      </c>
      <c r="Q1123" t="str">
        <f t="shared" si="261"/>
        <v>NO</v>
      </c>
      <c r="R1123" t="str">
        <f t="shared" si="262"/>
        <v>NO</v>
      </c>
      <c r="S1123">
        <v>1695</v>
      </c>
      <c r="T1123" t="s">
        <v>14</v>
      </c>
      <c r="U1123" t="str">
        <f t="shared" si="249"/>
        <v>Massachusetts Ave</v>
      </c>
      <c r="W1123" t="str">
        <f t="shared" si="250"/>
        <v/>
      </c>
      <c r="X1123" t="str">
        <f>IF(ISBLANK(S1123),"Intersection","Non-Intersection")</f>
        <v>Non-Intersection</v>
      </c>
      <c r="Y1123" t="s">
        <v>1954</v>
      </c>
      <c r="Z1123" t="str">
        <f t="shared" si="251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52"/>
        <v>40179</v>
      </c>
      <c r="D1124" s="4">
        <f t="shared" si="253"/>
        <v>0.74520547945205484</v>
      </c>
      <c r="E1124" s="3">
        <f t="shared" si="254"/>
        <v>2010</v>
      </c>
      <c r="F1124" s="3">
        <f t="shared" si="255"/>
        <v>9</v>
      </c>
      <c r="G1124" s="3">
        <f t="shared" si="256"/>
        <v>30</v>
      </c>
      <c r="H1124" s="3">
        <f t="shared" si="257"/>
        <v>17</v>
      </c>
      <c r="I1124" s="3">
        <f t="shared" si="258"/>
        <v>51</v>
      </c>
      <c r="J1124" s="3">
        <f t="shared" si="259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60"/>
        <v>YES</v>
      </c>
      <c r="Q1124" t="str">
        <f t="shared" si="261"/>
        <v>NO</v>
      </c>
      <c r="R1124" t="str">
        <f t="shared" si="262"/>
        <v>NO</v>
      </c>
      <c r="T1124" t="s">
        <v>27</v>
      </c>
      <c r="U1124" t="str">
        <f t="shared" si="249"/>
        <v>Western Ave</v>
      </c>
      <c r="V1124" t="s">
        <v>509</v>
      </c>
      <c r="W1124" t="str">
        <f t="shared" si="250"/>
        <v>Green St</v>
      </c>
      <c r="X1124" t="str">
        <f>IF(ISBLANK(S1124),"Intersection","Non-Intersection")</f>
        <v>Intersection</v>
      </c>
      <c r="Y1124" t="s">
        <v>571</v>
      </c>
      <c r="Z1124" t="str">
        <f t="shared" si="251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52"/>
        <v>40179</v>
      </c>
      <c r="D1125" s="4">
        <f t="shared" si="253"/>
        <v>0.74520547945205484</v>
      </c>
      <c r="E1125" s="3">
        <f t="shared" si="254"/>
        <v>2010</v>
      </c>
      <c r="F1125" s="3">
        <f t="shared" si="255"/>
        <v>9</v>
      </c>
      <c r="G1125" s="3">
        <f t="shared" si="256"/>
        <v>30</v>
      </c>
      <c r="H1125" s="3">
        <f t="shared" si="257"/>
        <v>21</v>
      </c>
      <c r="I1125" s="3">
        <f t="shared" si="258"/>
        <v>59</v>
      </c>
      <c r="J1125" s="3">
        <f t="shared" si="259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60"/>
        <v>YES</v>
      </c>
      <c r="Q1125" t="str">
        <f t="shared" si="261"/>
        <v>NO</v>
      </c>
      <c r="R1125" t="str">
        <f t="shared" si="262"/>
        <v>NO</v>
      </c>
      <c r="S1125">
        <v>70</v>
      </c>
      <c r="T1125" t="s">
        <v>745</v>
      </c>
      <c r="U1125" t="str">
        <f t="shared" si="249"/>
        <v>Norfolk St</v>
      </c>
      <c r="W1125" t="str">
        <f t="shared" si="250"/>
        <v/>
      </c>
      <c r="X1125" t="str">
        <f>IF(ISBLANK(S1125),"Intersection","Non-Intersection")</f>
        <v>Non-Intersection</v>
      </c>
      <c r="Y1125" t="s">
        <v>1956</v>
      </c>
      <c r="Z1125" t="str">
        <f t="shared" si="251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52"/>
        <v>40179</v>
      </c>
      <c r="D1126" s="4">
        <f t="shared" si="253"/>
        <v>0.74794520547945209</v>
      </c>
      <c r="E1126" s="3">
        <f t="shared" si="254"/>
        <v>2010</v>
      </c>
      <c r="F1126" s="3">
        <f t="shared" si="255"/>
        <v>10</v>
      </c>
      <c r="G1126" s="3">
        <f t="shared" si="256"/>
        <v>1</v>
      </c>
      <c r="H1126" s="3">
        <f t="shared" si="257"/>
        <v>6</v>
      </c>
      <c r="I1126" s="3">
        <f t="shared" si="258"/>
        <v>59</v>
      </c>
      <c r="J1126" s="3">
        <f t="shared" si="259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60"/>
        <v>YES</v>
      </c>
      <c r="Q1126" t="str">
        <f t="shared" si="261"/>
        <v>YES</v>
      </c>
      <c r="R1126" t="str">
        <f t="shared" si="262"/>
        <v>NO</v>
      </c>
      <c r="T1126" t="s">
        <v>19</v>
      </c>
      <c r="U1126" t="str">
        <f t="shared" si="249"/>
        <v>Cambridge St</v>
      </c>
      <c r="V1126" t="s">
        <v>803</v>
      </c>
      <c r="W1126" t="str">
        <f t="shared" si="250"/>
        <v>Line St</v>
      </c>
      <c r="X1126" t="str">
        <f>IF(ISBLANK(S1126),"Intersection","Non-Intersection")</f>
        <v>Intersection</v>
      </c>
      <c r="Y1126" t="s">
        <v>1561</v>
      </c>
      <c r="Z1126" t="str">
        <f t="shared" si="251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52"/>
        <v>40179</v>
      </c>
      <c r="D1127" s="4">
        <f t="shared" si="253"/>
        <v>0.74794520547945209</v>
      </c>
      <c r="E1127" s="3">
        <f t="shared" si="254"/>
        <v>2010</v>
      </c>
      <c r="F1127" s="3">
        <f t="shared" si="255"/>
        <v>10</v>
      </c>
      <c r="G1127" s="3">
        <f t="shared" si="256"/>
        <v>1</v>
      </c>
      <c r="H1127" s="3">
        <f t="shared" si="257"/>
        <v>15</v>
      </c>
      <c r="I1127" s="3">
        <f t="shared" si="258"/>
        <v>46</v>
      </c>
      <c r="J1127" s="3">
        <f t="shared" si="259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60"/>
        <v>YES</v>
      </c>
      <c r="Q1127" t="str">
        <f t="shared" si="261"/>
        <v>NO</v>
      </c>
      <c r="R1127" t="str">
        <f t="shared" si="262"/>
        <v>NO</v>
      </c>
      <c r="T1127" t="s">
        <v>209</v>
      </c>
      <c r="U1127" t="str">
        <f t="shared" si="249"/>
        <v>Binney St</v>
      </c>
      <c r="V1127" t="s">
        <v>147</v>
      </c>
      <c r="W1127" t="str">
        <f t="shared" si="250"/>
        <v>Sixth St</v>
      </c>
      <c r="X1127" t="str">
        <f>IF(ISBLANK(S1127),"Intersection","Non-Intersection")</f>
        <v>Intersection</v>
      </c>
      <c r="Y1127" t="s">
        <v>1876</v>
      </c>
      <c r="Z1127" t="str">
        <f t="shared" si="251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52"/>
        <v>40179</v>
      </c>
      <c r="D1128" s="4">
        <f t="shared" si="253"/>
        <v>0.74794520547945209</v>
      </c>
      <c r="E1128" s="3">
        <f t="shared" si="254"/>
        <v>2010</v>
      </c>
      <c r="F1128" s="3">
        <f t="shared" si="255"/>
        <v>10</v>
      </c>
      <c r="G1128" s="3">
        <f t="shared" si="256"/>
        <v>1</v>
      </c>
      <c r="H1128" s="3">
        <f t="shared" si="257"/>
        <v>12</v>
      </c>
      <c r="I1128" s="3">
        <f t="shared" si="258"/>
        <v>46</v>
      </c>
      <c r="J1128" s="3">
        <f t="shared" si="259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60"/>
        <v>YES</v>
      </c>
      <c r="Q1128" t="str">
        <f t="shared" si="261"/>
        <v>NO</v>
      </c>
      <c r="R1128" t="str">
        <f t="shared" si="262"/>
        <v>NO</v>
      </c>
      <c r="T1128" t="s">
        <v>14</v>
      </c>
      <c r="U1128" t="str">
        <f t="shared" si="249"/>
        <v>Massachusetts Ave</v>
      </c>
      <c r="V1128" t="s">
        <v>1958</v>
      </c>
      <c r="W1128" t="str">
        <f t="shared" si="250"/>
        <v>Porter Cir</v>
      </c>
      <c r="X1128" t="str">
        <f>IF(ISBLANK(S1128),"Intersection","Non-Intersection")</f>
        <v>Intersection</v>
      </c>
      <c r="Y1128" t="s">
        <v>1959</v>
      </c>
      <c r="Z1128" t="str">
        <f t="shared" si="251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52"/>
        <v>40179</v>
      </c>
      <c r="D1129" s="4">
        <f t="shared" si="253"/>
        <v>0.74794520547945209</v>
      </c>
      <c r="E1129" s="3">
        <f t="shared" si="254"/>
        <v>2010</v>
      </c>
      <c r="F1129" s="3">
        <f t="shared" si="255"/>
        <v>10</v>
      </c>
      <c r="G1129" s="3">
        <f t="shared" si="256"/>
        <v>1</v>
      </c>
      <c r="H1129" s="3">
        <f t="shared" si="257"/>
        <v>11</v>
      </c>
      <c r="I1129" s="3">
        <f t="shared" si="258"/>
        <v>29</v>
      </c>
      <c r="J1129" s="3">
        <f t="shared" si="259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60"/>
        <v>YES</v>
      </c>
      <c r="Q1129" t="str">
        <f t="shared" si="261"/>
        <v>NO</v>
      </c>
      <c r="R1129" t="str">
        <f t="shared" si="262"/>
        <v>NO</v>
      </c>
      <c r="T1129" t="s">
        <v>70</v>
      </c>
      <c r="U1129" t="str">
        <f t="shared" si="249"/>
        <v>Pearl St</v>
      </c>
      <c r="V1129" t="s">
        <v>108</v>
      </c>
      <c r="W1129" t="str">
        <f t="shared" si="250"/>
        <v>Franklin St</v>
      </c>
      <c r="X1129" t="str">
        <f>IF(ISBLANK(S1129),"Intersection","Non-Intersection")</f>
        <v>Intersection</v>
      </c>
      <c r="Y1129" t="s">
        <v>153</v>
      </c>
      <c r="Z1129" t="str">
        <f t="shared" si="251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52"/>
        <v>40179</v>
      </c>
      <c r="D1130" s="4">
        <f t="shared" si="253"/>
        <v>0.74794520547945209</v>
      </c>
      <c r="E1130" s="3">
        <f t="shared" si="254"/>
        <v>2010</v>
      </c>
      <c r="F1130" s="3">
        <f t="shared" si="255"/>
        <v>10</v>
      </c>
      <c r="G1130" s="3">
        <f t="shared" si="256"/>
        <v>1</v>
      </c>
      <c r="H1130" s="3">
        <f t="shared" si="257"/>
        <v>12</v>
      </c>
      <c r="I1130" s="3">
        <f t="shared" si="258"/>
        <v>56</v>
      </c>
      <c r="J1130" s="3">
        <f t="shared" si="259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60"/>
        <v>YES</v>
      </c>
      <c r="Q1130" t="str">
        <f t="shared" si="261"/>
        <v>NO</v>
      </c>
      <c r="R1130" t="str">
        <f t="shared" si="262"/>
        <v>YES</v>
      </c>
      <c r="T1130" t="s">
        <v>199</v>
      </c>
      <c r="U1130" t="str">
        <f t="shared" si="249"/>
        <v>Brattle St</v>
      </c>
      <c r="V1130" t="s">
        <v>1960</v>
      </c>
      <c r="W1130" t="str">
        <f t="shared" si="250"/>
        <v>Farwell Pl</v>
      </c>
      <c r="X1130" t="str">
        <f>IF(ISBLANK(S1130),"Intersection","Non-Intersection")</f>
        <v>Intersection</v>
      </c>
      <c r="Y1130" t="s">
        <v>1961</v>
      </c>
      <c r="Z1130" t="str">
        <f t="shared" si="251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52"/>
        <v>40179</v>
      </c>
      <c r="D1131" s="4">
        <f t="shared" si="253"/>
        <v>0.74794520547945209</v>
      </c>
      <c r="E1131" s="3">
        <f t="shared" si="254"/>
        <v>2010</v>
      </c>
      <c r="F1131" s="3">
        <f t="shared" si="255"/>
        <v>10</v>
      </c>
      <c r="G1131" s="3">
        <f t="shared" si="256"/>
        <v>1</v>
      </c>
      <c r="H1131" s="3">
        <f t="shared" si="257"/>
        <v>8</v>
      </c>
      <c r="I1131" s="3">
        <f t="shared" si="258"/>
        <v>45</v>
      </c>
      <c r="J1131" s="3">
        <f t="shared" si="259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60"/>
        <v>YES</v>
      </c>
      <c r="Q1131" t="str">
        <f t="shared" si="261"/>
        <v>NO</v>
      </c>
      <c r="R1131" t="str">
        <f t="shared" si="262"/>
        <v>NO</v>
      </c>
      <c r="T1131" t="s">
        <v>133</v>
      </c>
      <c r="U1131" t="str">
        <f t="shared" si="249"/>
        <v>Harvard St</v>
      </c>
      <c r="V1131" t="s">
        <v>498</v>
      </c>
      <c r="W1131" t="str">
        <f t="shared" si="250"/>
        <v>Ellery St</v>
      </c>
      <c r="X1131" t="str">
        <f>IF(ISBLANK(S1131),"Intersection","Non-Intersection")</f>
        <v>Intersection</v>
      </c>
      <c r="Y1131" t="s">
        <v>1963</v>
      </c>
      <c r="Z1131" t="str">
        <f t="shared" si="251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52"/>
        <v>40179</v>
      </c>
      <c r="D1132" s="4">
        <f t="shared" si="253"/>
        <v>0.74794520547945209</v>
      </c>
      <c r="E1132" s="3">
        <f t="shared" si="254"/>
        <v>2010</v>
      </c>
      <c r="F1132" s="3">
        <f t="shared" si="255"/>
        <v>10</v>
      </c>
      <c r="G1132" s="3">
        <f t="shared" si="256"/>
        <v>1</v>
      </c>
      <c r="H1132" s="3">
        <f t="shared" si="257"/>
        <v>16</v>
      </c>
      <c r="I1132" s="3">
        <f t="shared" si="258"/>
        <v>41</v>
      </c>
      <c r="J1132" s="3">
        <f t="shared" si="259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60"/>
        <v>YES</v>
      </c>
      <c r="Q1132" t="str">
        <f t="shared" si="261"/>
        <v>NO</v>
      </c>
      <c r="R1132" t="str">
        <f t="shared" si="262"/>
        <v>NO</v>
      </c>
      <c r="T1132" t="s">
        <v>14</v>
      </c>
      <c r="U1132" t="str">
        <f t="shared" si="249"/>
        <v>Massachusetts Ave</v>
      </c>
      <c r="V1132" t="s">
        <v>754</v>
      </c>
      <c r="W1132" t="str">
        <f t="shared" si="250"/>
        <v>Clarendon Ave</v>
      </c>
      <c r="X1132" t="str">
        <f>IF(ISBLANK(S1132),"Intersection","Non-Intersection")</f>
        <v>Intersection</v>
      </c>
      <c r="Y1132" t="s">
        <v>1965</v>
      </c>
      <c r="Z1132" t="str">
        <f t="shared" si="251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52"/>
        <v>40179</v>
      </c>
      <c r="D1133" s="4">
        <f t="shared" si="253"/>
        <v>0.74794520547945209</v>
      </c>
      <c r="E1133" s="3">
        <f t="shared" si="254"/>
        <v>2010</v>
      </c>
      <c r="F1133" s="3">
        <f t="shared" si="255"/>
        <v>10</v>
      </c>
      <c r="G1133" s="3">
        <f t="shared" si="256"/>
        <v>1</v>
      </c>
      <c r="H1133" s="3">
        <f t="shared" si="257"/>
        <v>18</v>
      </c>
      <c r="I1133" s="3">
        <f t="shared" si="258"/>
        <v>59</v>
      </c>
      <c r="J1133" s="3">
        <f t="shared" si="259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60"/>
        <v>YES</v>
      </c>
      <c r="Q1133" t="str">
        <f t="shared" si="261"/>
        <v>NO</v>
      </c>
      <c r="R1133" t="str">
        <f t="shared" si="262"/>
        <v>YES</v>
      </c>
      <c r="T1133" t="s">
        <v>14</v>
      </c>
      <c r="U1133" t="str">
        <f t="shared" si="249"/>
        <v>Massachusetts Ave</v>
      </c>
      <c r="V1133" t="s">
        <v>420</v>
      </c>
      <c r="W1133" t="str">
        <f t="shared" si="250"/>
        <v>Douglass St</v>
      </c>
      <c r="X1133" t="str">
        <f>IF(ISBLANK(S1133),"Intersection","Non-Intersection")</f>
        <v>Intersection</v>
      </c>
      <c r="Y1133" t="s">
        <v>421</v>
      </c>
      <c r="Z1133" t="str">
        <f t="shared" si="251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52"/>
        <v>40179</v>
      </c>
      <c r="D1134" s="4">
        <f t="shared" si="253"/>
        <v>0.74794520547945209</v>
      </c>
      <c r="E1134" s="3">
        <f t="shared" si="254"/>
        <v>2010</v>
      </c>
      <c r="F1134" s="3">
        <f t="shared" si="255"/>
        <v>10</v>
      </c>
      <c r="G1134" s="3">
        <f t="shared" si="256"/>
        <v>1</v>
      </c>
      <c r="H1134" s="3">
        <f t="shared" si="257"/>
        <v>19</v>
      </c>
      <c r="I1134" s="3">
        <f t="shared" si="258"/>
        <v>18</v>
      </c>
      <c r="J1134" s="3">
        <f t="shared" si="259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60"/>
        <v>YES</v>
      </c>
      <c r="Q1134" t="str">
        <f t="shared" si="261"/>
        <v>NO</v>
      </c>
      <c r="R1134" t="str">
        <f t="shared" si="262"/>
        <v>NO</v>
      </c>
      <c r="T1134" t="s">
        <v>19</v>
      </c>
      <c r="U1134" t="str">
        <f t="shared" si="249"/>
        <v>Cambridge St</v>
      </c>
      <c r="V1134" t="s">
        <v>134</v>
      </c>
      <c r="W1134" t="str">
        <f t="shared" si="250"/>
        <v>Quincy St</v>
      </c>
      <c r="X1134" t="str">
        <f>IF(ISBLANK(S1134),"Intersection","Non-Intersection")</f>
        <v>Intersection</v>
      </c>
      <c r="Y1134" t="s">
        <v>150</v>
      </c>
      <c r="Z1134" t="str">
        <f t="shared" si="251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52"/>
        <v>40179</v>
      </c>
      <c r="D1135" s="4">
        <f t="shared" si="253"/>
        <v>0.74794520547945209</v>
      </c>
      <c r="E1135" s="3">
        <f t="shared" si="254"/>
        <v>2010</v>
      </c>
      <c r="F1135" s="3">
        <f t="shared" si="255"/>
        <v>10</v>
      </c>
      <c r="G1135" s="3">
        <f t="shared" si="256"/>
        <v>1</v>
      </c>
      <c r="H1135" s="3">
        <f t="shared" si="257"/>
        <v>15</v>
      </c>
      <c r="I1135" s="3">
        <f t="shared" si="258"/>
        <v>30</v>
      </c>
      <c r="J1135" s="3">
        <f t="shared" si="259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60"/>
        <v>YES</v>
      </c>
      <c r="Q1135" t="str">
        <f t="shared" si="261"/>
        <v>NO</v>
      </c>
      <c r="R1135" t="str">
        <f t="shared" si="262"/>
        <v>NO</v>
      </c>
      <c r="T1135" t="s">
        <v>260</v>
      </c>
      <c r="U1135" t="str">
        <f t="shared" si="249"/>
        <v>Third St</v>
      </c>
      <c r="V1135" t="s">
        <v>146</v>
      </c>
      <c r="W1135" t="str">
        <f t="shared" si="250"/>
        <v>Spring St</v>
      </c>
      <c r="X1135" t="str">
        <f>IF(ISBLANK(S1135),"Intersection","Non-Intersection")</f>
        <v>Intersection</v>
      </c>
      <c r="Y1135" t="s">
        <v>544</v>
      </c>
      <c r="Z1135" t="str">
        <f t="shared" si="251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52"/>
        <v>40179</v>
      </c>
      <c r="D1136" s="4">
        <f t="shared" si="253"/>
        <v>0.75068493150684934</v>
      </c>
      <c r="E1136" s="3">
        <f t="shared" si="254"/>
        <v>2010</v>
      </c>
      <c r="F1136" s="3">
        <f t="shared" si="255"/>
        <v>10</v>
      </c>
      <c r="G1136" s="3">
        <f t="shared" si="256"/>
        <v>2</v>
      </c>
      <c r="H1136" s="3">
        <f t="shared" si="257"/>
        <v>12</v>
      </c>
      <c r="I1136" s="3">
        <f t="shared" si="258"/>
        <v>55</v>
      </c>
      <c r="J1136" s="3">
        <f t="shared" si="259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60"/>
        <v>YES</v>
      </c>
      <c r="Q1136" t="str">
        <f t="shared" si="261"/>
        <v>NO</v>
      </c>
      <c r="R1136" t="str">
        <f t="shared" si="262"/>
        <v>NO</v>
      </c>
      <c r="S1136">
        <v>284</v>
      </c>
      <c r="T1136" t="s">
        <v>189</v>
      </c>
      <c r="U1136" t="str">
        <f t="shared" si="249"/>
        <v>Windsor St</v>
      </c>
      <c r="W1136" t="str">
        <f t="shared" si="250"/>
        <v/>
      </c>
      <c r="X1136" t="str">
        <f>IF(ISBLANK(S1136),"Intersection","Non-Intersection")</f>
        <v>Non-Intersection</v>
      </c>
      <c r="Y1136" t="s">
        <v>1966</v>
      </c>
      <c r="Z1136" t="str">
        <f t="shared" si="251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52"/>
        <v>40179</v>
      </c>
      <c r="D1137" s="4">
        <f t="shared" si="253"/>
        <v>0.75068493150684934</v>
      </c>
      <c r="E1137" s="3">
        <f t="shared" si="254"/>
        <v>2010</v>
      </c>
      <c r="F1137" s="3">
        <f t="shared" si="255"/>
        <v>10</v>
      </c>
      <c r="G1137" s="3">
        <f t="shared" si="256"/>
        <v>2</v>
      </c>
      <c r="H1137" s="3">
        <f t="shared" si="257"/>
        <v>16</v>
      </c>
      <c r="I1137" s="3">
        <f t="shared" si="258"/>
        <v>43</v>
      </c>
      <c r="J1137" s="3">
        <f t="shared" si="259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60"/>
        <v>YES</v>
      </c>
      <c r="Q1137" t="str">
        <f t="shared" si="261"/>
        <v>NO</v>
      </c>
      <c r="R1137" t="str">
        <f t="shared" si="262"/>
        <v>NO</v>
      </c>
      <c r="T1137" t="s">
        <v>14</v>
      </c>
      <c r="U1137" t="str">
        <f t="shared" si="249"/>
        <v>Massachusetts Ave</v>
      </c>
      <c r="V1137" t="s">
        <v>977</v>
      </c>
      <c r="W1137" t="str">
        <f t="shared" si="250"/>
        <v>Russell St</v>
      </c>
      <c r="X1137" t="str">
        <f>IF(ISBLANK(S1137),"Intersection","Non-Intersection")</f>
        <v>Intersection</v>
      </c>
      <c r="Y1137" t="s">
        <v>978</v>
      </c>
      <c r="Z1137" t="str">
        <f t="shared" si="251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52"/>
        <v>40179</v>
      </c>
      <c r="D1138" s="4">
        <f t="shared" si="253"/>
        <v>0.75068493150684934</v>
      </c>
      <c r="E1138" s="3">
        <f t="shared" si="254"/>
        <v>2010</v>
      </c>
      <c r="F1138" s="3">
        <f t="shared" si="255"/>
        <v>10</v>
      </c>
      <c r="G1138" s="3">
        <f t="shared" si="256"/>
        <v>2</v>
      </c>
      <c r="H1138" s="3">
        <f t="shared" si="257"/>
        <v>15</v>
      </c>
      <c r="I1138" s="3">
        <f t="shared" si="258"/>
        <v>20</v>
      </c>
      <c r="J1138" s="3">
        <f t="shared" si="259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60"/>
        <v>YES</v>
      </c>
      <c r="Q1138" t="str">
        <f t="shared" si="261"/>
        <v>NO</v>
      </c>
      <c r="R1138" t="str">
        <f t="shared" si="262"/>
        <v>NO</v>
      </c>
      <c r="S1138">
        <v>1580</v>
      </c>
      <c r="T1138" t="s">
        <v>14</v>
      </c>
      <c r="U1138" t="str">
        <f t="shared" si="249"/>
        <v>Massachusetts Ave</v>
      </c>
      <c r="W1138" t="str">
        <f t="shared" si="250"/>
        <v/>
      </c>
      <c r="X1138" t="str">
        <f>IF(ISBLANK(S1138),"Intersection","Non-Intersection")</f>
        <v>Non-Intersection</v>
      </c>
      <c r="Y1138" t="s">
        <v>1968</v>
      </c>
      <c r="Z1138" t="str">
        <f t="shared" si="251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52"/>
        <v>40179</v>
      </c>
      <c r="D1139" s="4">
        <f t="shared" si="253"/>
        <v>0.75068493150684934</v>
      </c>
      <c r="E1139" s="3">
        <f t="shared" si="254"/>
        <v>2010</v>
      </c>
      <c r="F1139" s="3">
        <f t="shared" si="255"/>
        <v>10</v>
      </c>
      <c r="G1139" s="3">
        <f t="shared" si="256"/>
        <v>2</v>
      </c>
      <c r="H1139" s="3">
        <f t="shared" si="257"/>
        <v>12</v>
      </c>
      <c r="I1139" s="3">
        <f t="shared" si="258"/>
        <v>40</v>
      </c>
      <c r="J1139" s="3">
        <f t="shared" si="259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60"/>
        <v>YES</v>
      </c>
      <c r="Q1139" t="str">
        <f t="shared" si="261"/>
        <v>NO</v>
      </c>
      <c r="R1139" t="str">
        <f t="shared" si="262"/>
        <v>NO</v>
      </c>
      <c r="S1139">
        <v>87</v>
      </c>
      <c r="T1139" t="s">
        <v>667</v>
      </c>
      <c r="U1139" t="str">
        <f t="shared" si="249"/>
        <v>Tremont St</v>
      </c>
      <c r="W1139" t="str">
        <f t="shared" si="250"/>
        <v/>
      </c>
      <c r="X1139" t="str">
        <f>IF(ISBLANK(S1139),"Intersection","Non-Intersection")</f>
        <v>Non-Intersection</v>
      </c>
      <c r="Y1139" t="s">
        <v>1970</v>
      </c>
      <c r="Z1139" t="str">
        <f t="shared" si="251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52"/>
        <v>40179</v>
      </c>
      <c r="D1140" s="4">
        <f t="shared" si="253"/>
        <v>0.75068493150684934</v>
      </c>
      <c r="E1140" s="3">
        <f t="shared" si="254"/>
        <v>2010</v>
      </c>
      <c r="F1140" s="3">
        <f t="shared" si="255"/>
        <v>10</v>
      </c>
      <c r="G1140" s="3">
        <f t="shared" si="256"/>
        <v>2</v>
      </c>
      <c r="H1140" s="3">
        <f t="shared" si="257"/>
        <v>11</v>
      </c>
      <c r="I1140" s="3">
        <f t="shared" si="258"/>
        <v>15</v>
      </c>
      <c r="J1140" s="3">
        <f t="shared" si="259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60"/>
        <v>YES</v>
      </c>
      <c r="Q1140" t="str">
        <f t="shared" si="261"/>
        <v>NO</v>
      </c>
      <c r="R1140" t="str">
        <f t="shared" si="262"/>
        <v>NO</v>
      </c>
      <c r="S1140">
        <v>1426</v>
      </c>
      <c r="T1140" t="s">
        <v>19</v>
      </c>
      <c r="U1140" t="str">
        <f t="shared" si="249"/>
        <v>Cambridge St</v>
      </c>
      <c r="V1140" t="s">
        <v>1520</v>
      </c>
      <c r="W1140" t="str">
        <f t="shared" si="250"/>
        <v>Fayette St</v>
      </c>
      <c r="X1140" t="str">
        <f>IF(ISBLANK(S1140),"Intersection","Non-Intersection")</f>
        <v>Non-Intersection</v>
      </c>
      <c r="Y1140" t="s">
        <v>1972</v>
      </c>
      <c r="Z1140" t="str">
        <f t="shared" si="251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52"/>
        <v>40179</v>
      </c>
      <c r="D1141" s="4">
        <f t="shared" si="253"/>
        <v>0.75068493150684934</v>
      </c>
      <c r="E1141" s="3">
        <f t="shared" si="254"/>
        <v>2010</v>
      </c>
      <c r="F1141" s="3">
        <f t="shared" si="255"/>
        <v>10</v>
      </c>
      <c r="G1141" s="3">
        <f t="shared" si="256"/>
        <v>2</v>
      </c>
      <c r="H1141" s="3">
        <f t="shared" si="257"/>
        <v>9</v>
      </c>
      <c r="I1141" s="3">
        <f t="shared" si="258"/>
        <v>59</v>
      </c>
      <c r="J1141" s="3">
        <f t="shared" si="259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60"/>
        <v>YES</v>
      </c>
      <c r="Q1141" t="str">
        <f t="shared" si="261"/>
        <v>NO</v>
      </c>
      <c r="R1141" t="str">
        <f t="shared" si="262"/>
        <v>NO</v>
      </c>
      <c r="S1141">
        <v>117</v>
      </c>
      <c r="T1141" t="s">
        <v>261</v>
      </c>
      <c r="U1141" t="str">
        <f t="shared" si="249"/>
        <v>Otis St</v>
      </c>
      <c r="W1141" t="str">
        <f t="shared" si="250"/>
        <v/>
      </c>
      <c r="X1141" t="str">
        <f>IF(ISBLANK(S1141),"Intersection","Non-Intersection")</f>
        <v>Non-Intersection</v>
      </c>
      <c r="Y1141" t="s">
        <v>1974</v>
      </c>
      <c r="Z1141" t="str">
        <f t="shared" si="251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52"/>
        <v>40179</v>
      </c>
      <c r="D1142" s="4">
        <f t="shared" si="253"/>
        <v>0.75068493150684934</v>
      </c>
      <c r="E1142" s="3">
        <f t="shared" si="254"/>
        <v>2010</v>
      </c>
      <c r="F1142" s="3">
        <f t="shared" si="255"/>
        <v>10</v>
      </c>
      <c r="G1142" s="3">
        <f t="shared" si="256"/>
        <v>2</v>
      </c>
      <c r="H1142" s="3">
        <f t="shared" si="257"/>
        <v>11</v>
      </c>
      <c r="I1142" s="3">
        <f t="shared" si="258"/>
        <v>15</v>
      </c>
      <c r="J1142" s="3">
        <f t="shared" si="259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60"/>
        <v>YES</v>
      </c>
      <c r="Q1142" t="str">
        <f t="shared" si="261"/>
        <v>NO</v>
      </c>
      <c r="R1142" t="str">
        <f t="shared" si="262"/>
        <v>NO</v>
      </c>
      <c r="T1142" t="s">
        <v>487</v>
      </c>
      <c r="U1142" t="str">
        <f t="shared" si="249"/>
        <v>Beech St</v>
      </c>
      <c r="V1142" t="s">
        <v>1976</v>
      </c>
      <c r="W1142" t="str">
        <f t="shared" si="250"/>
        <v>Orchard St</v>
      </c>
      <c r="X1142" t="str">
        <f>IF(ISBLANK(S1142),"Intersection","Non-Intersection")</f>
        <v>Intersection</v>
      </c>
      <c r="Y1142" t="s">
        <v>1977</v>
      </c>
      <c r="Z1142" t="str">
        <f t="shared" si="251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52"/>
        <v>40179</v>
      </c>
      <c r="D1143" s="4">
        <f t="shared" si="253"/>
        <v>0.75068493150684934</v>
      </c>
      <c r="E1143" s="3">
        <f t="shared" si="254"/>
        <v>2010</v>
      </c>
      <c r="F1143" s="3">
        <f t="shared" si="255"/>
        <v>10</v>
      </c>
      <c r="G1143" s="3">
        <f t="shared" si="256"/>
        <v>2</v>
      </c>
      <c r="H1143" s="3">
        <f t="shared" si="257"/>
        <v>14</v>
      </c>
      <c r="I1143" s="3">
        <f t="shared" si="258"/>
        <v>33</v>
      </c>
      <c r="J1143" s="3">
        <f t="shared" si="259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60"/>
        <v>YES</v>
      </c>
      <c r="Q1143" t="str">
        <f t="shared" si="261"/>
        <v>NO</v>
      </c>
      <c r="R1143" t="str">
        <f t="shared" si="262"/>
        <v>NO</v>
      </c>
      <c r="T1143" t="s">
        <v>14</v>
      </c>
      <c r="U1143" t="str">
        <f t="shared" si="249"/>
        <v>Massachusetts Ave</v>
      </c>
      <c r="V1143" t="s">
        <v>354</v>
      </c>
      <c r="W1143" t="str">
        <f t="shared" si="250"/>
        <v>Linnaean St</v>
      </c>
      <c r="X1143" t="str">
        <f>IF(ISBLANK(S1143),"Intersection","Non-Intersection")</f>
        <v>Intersection</v>
      </c>
      <c r="Y1143" t="s">
        <v>1234</v>
      </c>
      <c r="Z1143" t="str">
        <f t="shared" si="251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52"/>
        <v>40179</v>
      </c>
      <c r="D1144" s="4">
        <f t="shared" si="253"/>
        <v>0.75342465753424659</v>
      </c>
      <c r="E1144" s="3">
        <f t="shared" si="254"/>
        <v>2010</v>
      </c>
      <c r="F1144" s="3">
        <f t="shared" si="255"/>
        <v>10</v>
      </c>
      <c r="G1144" s="3">
        <f t="shared" si="256"/>
        <v>3</v>
      </c>
      <c r="H1144" s="3">
        <f t="shared" si="257"/>
        <v>20</v>
      </c>
      <c r="I1144" s="3">
        <f t="shared" si="258"/>
        <v>45</v>
      </c>
      <c r="J1144" s="3">
        <f t="shared" si="259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60"/>
        <v>YES</v>
      </c>
      <c r="Q1144" t="str">
        <f t="shared" si="261"/>
        <v>NO</v>
      </c>
      <c r="R1144" t="str">
        <f t="shared" si="262"/>
        <v>NO</v>
      </c>
      <c r="S1144">
        <v>56</v>
      </c>
      <c r="T1144" t="s">
        <v>316</v>
      </c>
      <c r="U1144" t="str">
        <f t="shared" si="249"/>
        <v>Bishop Allen Dr</v>
      </c>
      <c r="W1144" t="str">
        <f t="shared" si="250"/>
        <v/>
      </c>
      <c r="X1144" t="str">
        <f>IF(ISBLANK(S1144),"Intersection","Non-Intersection")</f>
        <v>Non-Intersection</v>
      </c>
      <c r="Y1144" t="s">
        <v>1981</v>
      </c>
      <c r="Z1144" t="str">
        <f t="shared" si="251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52"/>
        <v>40179</v>
      </c>
      <c r="D1145" s="4">
        <f t="shared" si="253"/>
        <v>0.75342465753424659</v>
      </c>
      <c r="E1145" s="3">
        <f t="shared" si="254"/>
        <v>2010</v>
      </c>
      <c r="F1145" s="3">
        <f t="shared" si="255"/>
        <v>10</v>
      </c>
      <c r="G1145" s="3">
        <f t="shared" si="256"/>
        <v>3</v>
      </c>
      <c r="H1145" s="3">
        <f t="shared" si="257"/>
        <v>7</v>
      </c>
      <c r="I1145" s="3">
        <f t="shared" si="258"/>
        <v>9</v>
      </c>
      <c r="J1145" s="3">
        <f t="shared" si="259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60"/>
        <v>YES</v>
      </c>
      <c r="Q1145" t="str">
        <f t="shared" si="261"/>
        <v>YES</v>
      </c>
      <c r="R1145" t="str">
        <f t="shared" si="262"/>
        <v>NO</v>
      </c>
      <c r="S1145">
        <v>220</v>
      </c>
      <c r="T1145" t="s">
        <v>170</v>
      </c>
      <c r="U1145" t="str">
        <f t="shared" si="249"/>
        <v>Alewife Brook Pky</v>
      </c>
      <c r="W1145" t="str">
        <f t="shared" si="250"/>
        <v/>
      </c>
      <c r="X1145" t="str">
        <f>IF(ISBLANK(S1145),"Intersection","Non-Intersection")</f>
        <v>Non-Intersection</v>
      </c>
      <c r="Y1145" t="s">
        <v>1983</v>
      </c>
      <c r="Z1145" t="str">
        <f t="shared" si="251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52"/>
        <v>40179</v>
      </c>
      <c r="D1146" s="4">
        <f t="shared" si="253"/>
        <v>0.75616438356164384</v>
      </c>
      <c r="E1146" s="3">
        <f t="shared" si="254"/>
        <v>2010</v>
      </c>
      <c r="F1146" s="3">
        <f t="shared" si="255"/>
        <v>10</v>
      </c>
      <c r="G1146" s="3">
        <f t="shared" si="256"/>
        <v>4</v>
      </c>
      <c r="H1146" s="3">
        <f t="shared" si="257"/>
        <v>8</v>
      </c>
      <c r="I1146" s="3">
        <f t="shared" si="258"/>
        <v>29</v>
      </c>
      <c r="J1146" s="3">
        <f t="shared" si="259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60"/>
        <v>YES</v>
      </c>
      <c r="Q1146" t="str">
        <f t="shared" si="261"/>
        <v>NO</v>
      </c>
      <c r="R1146" t="str">
        <f t="shared" si="262"/>
        <v>NO</v>
      </c>
      <c r="T1146" t="s">
        <v>325</v>
      </c>
      <c r="U1146" t="str">
        <f t="shared" si="249"/>
        <v>Eliot St</v>
      </c>
      <c r="V1146" t="s">
        <v>326</v>
      </c>
      <c r="W1146" t="str">
        <f t="shared" si="250"/>
        <v>Jfk St</v>
      </c>
      <c r="X1146" t="str">
        <f>IF(ISBLANK(S1146),"Intersection","Non-Intersection")</f>
        <v>Intersection</v>
      </c>
      <c r="Y1146" t="s">
        <v>327</v>
      </c>
      <c r="Z1146" t="str">
        <f t="shared" si="251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52"/>
        <v>40179</v>
      </c>
      <c r="D1147" s="4">
        <f t="shared" si="253"/>
        <v>0.75616438356164384</v>
      </c>
      <c r="E1147" s="3">
        <f t="shared" si="254"/>
        <v>2010</v>
      </c>
      <c r="F1147" s="3">
        <f t="shared" si="255"/>
        <v>10</v>
      </c>
      <c r="G1147" s="3">
        <f t="shared" si="256"/>
        <v>4</v>
      </c>
      <c r="H1147" s="3">
        <f t="shared" si="257"/>
        <v>7</v>
      </c>
      <c r="I1147" s="3">
        <f t="shared" si="258"/>
        <v>54</v>
      </c>
      <c r="J1147" s="3">
        <f t="shared" si="259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60"/>
        <v>YES</v>
      </c>
      <c r="Q1147" t="str">
        <f t="shared" si="261"/>
        <v>NO</v>
      </c>
      <c r="R1147" t="str">
        <f t="shared" si="262"/>
        <v>NO</v>
      </c>
      <c r="T1147" t="s">
        <v>1985</v>
      </c>
      <c r="U1147" t="str">
        <f t="shared" si="249"/>
        <v>Kelley St</v>
      </c>
      <c r="V1147" t="s">
        <v>41</v>
      </c>
      <c r="W1147" t="str">
        <f t="shared" si="250"/>
        <v>River St</v>
      </c>
      <c r="X1147" t="str">
        <f>IF(ISBLANK(S1147),"Intersection","Non-Intersection")</f>
        <v>Intersection</v>
      </c>
      <c r="Y1147" t="s">
        <v>1986</v>
      </c>
      <c r="Z1147" t="str">
        <f t="shared" si="251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52"/>
        <v>40179</v>
      </c>
      <c r="D1148" s="4">
        <f t="shared" si="253"/>
        <v>0.75616438356164384</v>
      </c>
      <c r="E1148" s="3">
        <f t="shared" si="254"/>
        <v>2010</v>
      </c>
      <c r="F1148" s="3">
        <f t="shared" si="255"/>
        <v>10</v>
      </c>
      <c r="G1148" s="3">
        <f t="shared" si="256"/>
        <v>4</v>
      </c>
      <c r="H1148" s="3">
        <f t="shared" si="257"/>
        <v>9</v>
      </c>
      <c r="I1148" s="3">
        <f t="shared" si="258"/>
        <v>14</v>
      </c>
      <c r="J1148" s="3">
        <f t="shared" si="259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60"/>
        <v>YES</v>
      </c>
      <c r="Q1148" t="str">
        <f t="shared" si="261"/>
        <v>NO</v>
      </c>
      <c r="R1148" t="str">
        <f t="shared" si="262"/>
        <v>NO</v>
      </c>
      <c r="T1148" t="s">
        <v>202</v>
      </c>
      <c r="U1148" t="str">
        <f t="shared" si="249"/>
        <v>Vassar St</v>
      </c>
      <c r="V1148" t="s">
        <v>203</v>
      </c>
      <c r="W1148" t="str">
        <f t="shared" si="250"/>
        <v>Memorial Dr</v>
      </c>
      <c r="X1148" t="str">
        <f>IF(ISBLANK(S1148),"Intersection","Non-Intersection")</f>
        <v>Intersection</v>
      </c>
      <c r="Y1148" t="s">
        <v>1988</v>
      </c>
      <c r="Z1148" t="str">
        <f t="shared" si="251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52"/>
        <v>40179</v>
      </c>
      <c r="D1149" s="4">
        <f t="shared" si="253"/>
        <v>0.75616438356164384</v>
      </c>
      <c r="E1149" s="3">
        <f t="shared" si="254"/>
        <v>2010</v>
      </c>
      <c r="F1149" s="3">
        <f t="shared" si="255"/>
        <v>10</v>
      </c>
      <c r="G1149" s="3">
        <f t="shared" si="256"/>
        <v>4</v>
      </c>
      <c r="H1149" s="3">
        <f t="shared" si="257"/>
        <v>10</v>
      </c>
      <c r="I1149" s="3">
        <f t="shared" si="258"/>
        <v>50</v>
      </c>
      <c r="J1149" s="3">
        <f t="shared" si="259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60"/>
        <v>YES</v>
      </c>
      <c r="Q1149" t="str">
        <f t="shared" si="261"/>
        <v>YES</v>
      </c>
      <c r="R1149" t="str">
        <f t="shared" si="262"/>
        <v>NO</v>
      </c>
      <c r="T1149" t="s">
        <v>19</v>
      </c>
      <c r="U1149" t="str">
        <f t="shared" si="249"/>
        <v>Cambridge St</v>
      </c>
      <c r="V1149" t="s">
        <v>685</v>
      </c>
      <c r="W1149" t="str">
        <f t="shared" si="250"/>
        <v>Warren St</v>
      </c>
      <c r="X1149" t="str">
        <f>IF(ISBLANK(S1149),"Intersection","Non-Intersection")</f>
        <v>Intersection</v>
      </c>
      <c r="Y1149" t="s">
        <v>1217</v>
      </c>
      <c r="Z1149" t="str">
        <f t="shared" si="251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52"/>
        <v>40179</v>
      </c>
      <c r="D1150" s="4">
        <f t="shared" si="253"/>
        <v>0.75616438356164384</v>
      </c>
      <c r="E1150" s="3">
        <f t="shared" si="254"/>
        <v>2010</v>
      </c>
      <c r="F1150" s="3">
        <f t="shared" si="255"/>
        <v>10</v>
      </c>
      <c r="G1150" s="3">
        <f t="shared" si="256"/>
        <v>4</v>
      </c>
      <c r="H1150" s="3">
        <f t="shared" si="257"/>
        <v>14</v>
      </c>
      <c r="I1150" s="3">
        <f t="shared" si="258"/>
        <v>0</v>
      </c>
      <c r="J1150" s="3">
        <f t="shared" si="259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60"/>
        <v>YES</v>
      </c>
      <c r="Q1150" t="str">
        <f t="shared" si="261"/>
        <v>YES</v>
      </c>
      <c r="R1150" t="str">
        <f t="shared" si="262"/>
        <v>NO</v>
      </c>
      <c r="T1150" t="s">
        <v>487</v>
      </c>
      <c r="U1150" t="str">
        <f t="shared" si="249"/>
        <v>Beech St</v>
      </c>
      <c r="V1150" t="s">
        <v>75</v>
      </c>
      <c r="W1150" t="str">
        <f t="shared" si="250"/>
        <v>Elm St</v>
      </c>
      <c r="X1150" t="str">
        <f>IF(ISBLANK(S1150),"Intersection","Non-Intersection")</f>
        <v>Intersection</v>
      </c>
      <c r="Y1150" t="s">
        <v>1989</v>
      </c>
      <c r="Z1150" t="str">
        <f t="shared" si="251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52"/>
        <v>40179</v>
      </c>
      <c r="D1151" s="4">
        <f t="shared" si="253"/>
        <v>0.75616438356164384</v>
      </c>
      <c r="E1151" s="3">
        <f t="shared" si="254"/>
        <v>2010</v>
      </c>
      <c r="F1151" s="3">
        <f t="shared" si="255"/>
        <v>10</v>
      </c>
      <c r="G1151" s="3">
        <f t="shared" si="256"/>
        <v>4</v>
      </c>
      <c r="H1151" s="3">
        <f t="shared" si="257"/>
        <v>17</v>
      </c>
      <c r="I1151" s="3">
        <f t="shared" si="258"/>
        <v>0</v>
      </c>
      <c r="J1151" s="3">
        <f t="shared" si="259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60"/>
        <v>YES</v>
      </c>
      <c r="Q1151" t="str">
        <f t="shared" si="261"/>
        <v>NO</v>
      </c>
      <c r="R1151" t="str">
        <f t="shared" si="262"/>
        <v>NO</v>
      </c>
      <c r="T1151" t="s">
        <v>105</v>
      </c>
      <c r="U1151" t="str">
        <f t="shared" si="249"/>
        <v>Broadway</v>
      </c>
      <c r="V1151" t="s">
        <v>209</v>
      </c>
      <c r="W1151" t="str">
        <f t="shared" si="250"/>
        <v>Binney St</v>
      </c>
      <c r="X1151" t="str">
        <f>IF(ISBLANK(S1151),"Intersection","Non-Intersection")</f>
        <v>Intersection</v>
      </c>
      <c r="Y1151" t="s">
        <v>1387</v>
      </c>
      <c r="Z1151" t="str">
        <f t="shared" si="251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52"/>
        <v>40179</v>
      </c>
      <c r="D1152" s="4">
        <f t="shared" si="253"/>
        <v>0.75616438356164384</v>
      </c>
      <c r="E1152" s="3">
        <f t="shared" si="254"/>
        <v>2010</v>
      </c>
      <c r="F1152" s="3">
        <f t="shared" si="255"/>
        <v>10</v>
      </c>
      <c r="G1152" s="3">
        <f t="shared" si="256"/>
        <v>4</v>
      </c>
      <c r="H1152" s="3">
        <f t="shared" si="257"/>
        <v>17</v>
      </c>
      <c r="I1152" s="3">
        <f t="shared" si="258"/>
        <v>16</v>
      </c>
      <c r="J1152" s="3">
        <f t="shared" si="259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60"/>
        <v>YES</v>
      </c>
      <c r="Q1152" t="str">
        <f t="shared" si="261"/>
        <v>NO</v>
      </c>
      <c r="R1152" t="str">
        <f t="shared" si="262"/>
        <v>NO</v>
      </c>
      <c r="T1152" t="s">
        <v>14</v>
      </c>
      <c r="U1152" t="str">
        <f t="shared" si="249"/>
        <v>Massachusetts Ave</v>
      </c>
      <c r="V1152" t="s">
        <v>178</v>
      </c>
      <c r="W1152" t="str">
        <f t="shared" si="250"/>
        <v>Pleasant St</v>
      </c>
      <c r="X1152" t="str">
        <f>IF(ISBLANK(S1152),"Intersection","Non-Intersection")</f>
        <v>Intersection</v>
      </c>
      <c r="Y1152" t="s">
        <v>1866</v>
      </c>
      <c r="Z1152" t="str">
        <f t="shared" si="251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52"/>
        <v>40179</v>
      </c>
      <c r="D1153" s="4">
        <f t="shared" si="253"/>
        <v>0.75616438356164384</v>
      </c>
      <c r="E1153" s="3">
        <f t="shared" si="254"/>
        <v>2010</v>
      </c>
      <c r="F1153" s="3">
        <f t="shared" si="255"/>
        <v>10</v>
      </c>
      <c r="G1153" s="3">
        <f t="shared" si="256"/>
        <v>4</v>
      </c>
      <c r="H1153" s="3">
        <f t="shared" si="257"/>
        <v>0</v>
      </c>
      <c r="I1153" s="3">
        <f t="shared" si="258"/>
        <v>53</v>
      </c>
      <c r="J1153" s="3">
        <f t="shared" si="259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60"/>
        <v>YES</v>
      </c>
      <c r="Q1153" t="str">
        <f t="shared" si="261"/>
        <v>NO</v>
      </c>
      <c r="R1153" t="str">
        <f t="shared" si="262"/>
        <v>NO</v>
      </c>
      <c r="T1153" t="s">
        <v>15</v>
      </c>
      <c r="U1153" t="str">
        <f t="shared" si="249"/>
        <v>Rindge Ave</v>
      </c>
      <c r="V1153" t="s">
        <v>1991</v>
      </c>
      <c r="W1153" t="str">
        <f t="shared" si="250"/>
        <v>Jackson Pl</v>
      </c>
      <c r="X1153" t="str">
        <f>IF(ISBLANK(S1153),"Intersection","Non-Intersection")</f>
        <v>Intersection</v>
      </c>
      <c r="Y1153" t="s">
        <v>1992</v>
      </c>
      <c r="Z1153" t="str">
        <f t="shared" si="251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52"/>
        <v>40179</v>
      </c>
      <c r="D1154" s="4">
        <f t="shared" si="253"/>
        <v>0.75890410958904109</v>
      </c>
      <c r="E1154" s="3">
        <f t="shared" si="254"/>
        <v>2010</v>
      </c>
      <c r="F1154" s="3">
        <f t="shared" si="255"/>
        <v>10</v>
      </c>
      <c r="G1154" s="3">
        <f t="shared" si="256"/>
        <v>5</v>
      </c>
      <c r="H1154" s="3">
        <f t="shared" si="257"/>
        <v>12</v>
      </c>
      <c r="I1154" s="3">
        <f t="shared" si="258"/>
        <v>30</v>
      </c>
      <c r="J1154" s="3">
        <f t="shared" si="259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60"/>
        <v>YES</v>
      </c>
      <c r="Q1154" t="str">
        <f t="shared" si="261"/>
        <v>NO</v>
      </c>
      <c r="R1154" t="str">
        <f t="shared" si="262"/>
        <v>YES</v>
      </c>
      <c r="S1154" t="s">
        <v>1994</v>
      </c>
      <c r="T1154" t="s">
        <v>14</v>
      </c>
      <c r="U1154" t="str">
        <f t="shared" si="249"/>
        <v>Massachusetts Ave</v>
      </c>
      <c r="W1154" t="str">
        <f t="shared" si="250"/>
        <v/>
      </c>
      <c r="X1154" t="str">
        <f>IF(ISBLANK(S1154),"Intersection","Non-Intersection")</f>
        <v>Non-Intersection</v>
      </c>
      <c r="Y1154" t="s">
        <v>1995</v>
      </c>
      <c r="Z1154" t="str">
        <f t="shared" si="251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52"/>
        <v>40179</v>
      </c>
      <c r="D1155" s="4">
        <f t="shared" si="253"/>
        <v>0.75890410958904109</v>
      </c>
      <c r="E1155" s="3">
        <f t="shared" si="254"/>
        <v>2010</v>
      </c>
      <c r="F1155" s="3">
        <f t="shared" si="255"/>
        <v>10</v>
      </c>
      <c r="G1155" s="3">
        <f t="shared" si="256"/>
        <v>5</v>
      </c>
      <c r="H1155" s="3">
        <f t="shared" si="257"/>
        <v>14</v>
      </c>
      <c r="I1155" s="3">
        <f t="shared" si="258"/>
        <v>15</v>
      </c>
      <c r="J1155" s="3">
        <f t="shared" si="259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60"/>
        <v>YES</v>
      </c>
      <c r="Q1155" t="str">
        <f t="shared" si="261"/>
        <v>NO</v>
      </c>
      <c r="R1155" t="str">
        <f t="shared" si="262"/>
        <v>NO</v>
      </c>
      <c r="T1155" t="s">
        <v>1997</v>
      </c>
      <c r="U1155" t="str">
        <f t="shared" ref="U1155:U1218" si="263">TRIM(PROPER(T1155))</f>
        <v>Central Sq</v>
      </c>
      <c r="W1155" t="str">
        <f t="shared" ref="W1155:W1218" si="264">TRIM(PROPER(V1155))</f>
        <v/>
      </c>
      <c r="X1155" t="str">
        <f>IF(ISBLANK(S1155),"Intersection","Non-Intersection")</f>
        <v>Intersection</v>
      </c>
      <c r="Y1155" t="s">
        <v>1998</v>
      </c>
      <c r="Z1155" t="str">
        <f t="shared" ref="Z1155:Z1218" si="265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52"/>
        <v>40179</v>
      </c>
      <c r="D1156" s="4">
        <f t="shared" si="253"/>
        <v>0.75890410958904109</v>
      </c>
      <c r="E1156" s="3">
        <f t="shared" si="254"/>
        <v>2010</v>
      </c>
      <c r="F1156" s="3">
        <f t="shared" si="255"/>
        <v>10</v>
      </c>
      <c r="G1156" s="3">
        <f t="shared" si="256"/>
        <v>5</v>
      </c>
      <c r="H1156" s="3">
        <f t="shared" si="257"/>
        <v>17</v>
      </c>
      <c r="I1156" s="3">
        <f t="shared" si="258"/>
        <v>16</v>
      </c>
      <c r="J1156" s="3">
        <f t="shared" si="259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60"/>
        <v>YES</v>
      </c>
      <c r="Q1156" t="str">
        <f t="shared" si="261"/>
        <v>NO</v>
      </c>
      <c r="R1156" t="str">
        <f t="shared" si="262"/>
        <v>YES</v>
      </c>
      <c r="T1156" t="s">
        <v>296</v>
      </c>
      <c r="U1156" t="str">
        <f t="shared" si="263"/>
        <v>Mason St</v>
      </c>
      <c r="V1156" t="s">
        <v>399</v>
      </c>
      <c r="W1156" t="str">
        <f t="shared" si="264"/>
        <v>Phillips Pl</v>
      </c>
      <c r="X1156" t="str">
        <f>IF(ISBLANK(S1156),"Intersection","Non-Intersection")</f>
        <v>Intersection</v>
      </c>
      <c r="Y1156" t="s">
        <v>400</v>
      </c>
      <c r="Z1156" t="str">
        <f t="shared" si="265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52"/>
        <v>40179</v>
      </c>
      <c r="D1157" s="4">
        <f t="shared" si="253"/>
        <v>0.75890410958904109</v>
      </c>
      <c r="E1157" s="3">
        <f t="shared" si="254"/>
        <v>2010</v>
      </c>
      <c r="F1157" s="3">
        <f t="shared" si="255"/>
        <v>10</v>
      </c>
      <c r="G1157" s="3">
        <f t="shared" si="256"/>
        <v>5</v>
      </c>
      <c r="H1157" s="3">
        <f t="shared" si="257"/>
        <v>19</v>
      </c>
      <c r="I1157" s="3">
        <f t="shared" si="258"/>
        <v>8</v>
      </c>
      <c r="J1157" s="3">
        <f t="shared" si="259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60"/>
        <v>YES</v>
      </c>
      <c r="Q1157" t="str">
        <f t="shared" si="261"/>
        <v>NO</v>
      </c>
      <c r="R1157" t="str">
        <f t="shared" si="262"/>
        <v>NO</v>
      </c>
      <c r="T1157" t="s">
        <v>41</v>
      </c>
      <c r="U1157" t="str">
        <f t="shared" si="263"/>
        <v>River St</v>
      </c>
      <c r="V1157" t="s">
        <v>509</v>
      </c>
      <c r="W1157" t="str">
        <f t="shared" si="264"/>
        <v>Green St</v>
      </c>
      <c r="X1157" t="str">
        <f>IF(ISBLANK(S1157),"Intersection","Non-Intersection")</f>
        <v>Intersection</v>
      </c>
      <c r="Y1157" t="s">
        <v>1999</v>
      </c>
      <c r="Z1157" t="str">
        <f t="shared" si="265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52"/>
        <v>40179</v>
      </c>
      <c r="D1158" s="4">
        <f t="shared" si="253"/>
        <v>0.75890410958904109</v>
      </c>
      <c r="E1158" s="3">
        <f t="shared" si="254"/>
        <v>2010</v>
      </c>
      <c r="F1158" s="3">
        <f t="shared" si="255"/>
        <v>10</v>
      </c>
      <c r="G1158" s="3">
        <f t="shared" si="256"/>
        <v>5</v>
      </c>
      <c r="H1158" s="3">
        <f t="shared" si="257"/>
        <v>8</v>
      </c>
      <c r="I1158" s="3">
        <f t="shared" si="258"/>
        <v>25</v>
      </c>
      <c r="J1158" s="3">
        <f t="shared" si="259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60"/>
        <v>YES</v>
      </c>
      <c r="Q1158" t="str">
        <f t="shared" si="261"/>
        <v>NO</v>
      </c>
      <c r="R1158" t="str">
        <f t="shared" si="262"/>
        <v>NO</v>
      </c>
      <c r="S1158">
        <v>1520</v>
      </c>
      <c r="T1158" t="s">
        <v>14</v>
      </c>
      <c r="U1158" t="str">
        <f t="shared" si="263"/>
        <v>Massachusetts Ave</v>
      </c>
      <c r="V1158" t="s">
        <v>185</v>
      </c>
      <c r="W1158" t="str">
        <f t="shared" si="264"/>
        <v>Garden St</v>
      </c>
      <c r="X1158" t="str">
        <f>IF(ISBLANK(S1158),"Intersection","Non-Intersection")</f>
        <v>Non-Intersection</v>
      </c>
      <c r="Y1158" t="s">
        <v>2001</v>
      </c>
      <c r="Z1158" t="str">
        <f t="shared" si="265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52"/>
        <v>40179</v>
      </c>
      <c r="D1159" s="4">
        <f t="shared" si="253"/>
        <v>0.75890410958904109</v>
      </c>
      <c r="E1159" s="3">
        <f t="shared" si="254"/>
        <v>2010</v>
      </c>
      <c r="F1159" s="3">
        <f t="shared" si="255"/>
        <v>10</v>
      </c>
      <c r="G1159" s="3">
        <f t="shared" si="256"/>
        <v>5</v>
      </c>
      <c r="H1159" s="3">
        <f t="shared" si="257"/>
        <v>16</v>
      </c>
      <c r="I1159" s="3">
        <f t="shared" si="258"/>
        <v>9</v>
      </c>
      <c r="J1159" s="3">
        <f t="shared" si="259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60"/>
        <v>YES</v>
      </c>
      <c r="Q1159" t="str">
        <f t="shared" si="261"/>
        <v>NO</v>
      </c>
      <c r="R1159" t="str">
        <f t="shared" si="262"/>
        <v>NO</v>
      </c>
      <c r="T1159" t="s">
        <v>19</v>
      </c>
      <c r="U1159" t="str">
        <f t="shared" si="263"/>
        <v>Cambridge St</v>
      </c>
      <c r="V1159" t="s">
        <v>685</v>
      </c>
      <c r="W1159" t="str">
        <f t="shared" si="264"/>
        <v>Warren St</v>
      </c>
      <c r="X1159" t="str">
        <f>IF(ISBLANK(S1159),"Intersection","Non-Intersection")</f>
        <v>Intersection</v>
      </c>
      <c r="Y1159" t="s">
        <v>1217</v>
      </c>
      <c r="Z1159" t="str">
        <f t="shared" si="265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52"/>
        <v>40179</v>
      </c>
      <c r="D1160" s="4">
        <f t="shared" si="253"/>
        <v>0.75890410958904109</v>
      </c>
      <c r="E1160" s="3">
        <f t="shared" si="254"/>
        <v>2010</v>
      </c>
      <c r="F1160" s="3">
        <f t="shared" si="255"/>
        <v>10</v>
      </c>
      <c r="G1160" s="3">
        <f t="shared" si="256"/>
        <v>5</v>
      </c>
      <c r="H1160" s="3">
        <f t="shared" si="257"/>
        <v>8</v>
      </c>
      <c r="I1160" s="3">
        <f t="shared" si="258"/>
        <v>39</v>
      </c>
      <c r="J1160" s="3">
        <f t="shared" si="259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60"/>
        <v>YES</v>
      </c>
      <c r="Q1160" t="str">
        <f t="shared" si="261"/>
        <v>NO</v>
      </c>
      <c r="R1160" t="str">
        <f t="shared" si="262"/>
        <v>NO</v>
      </c>
      <c r="S1160">
        <v>28</v>
      </c>
      <c r="T1160" t="s">
        <v>1612</v>
      </c>
      <c r="U1160" t="str">
        <f t="shared" si="263"/>
        <v>William St</v>
      </c>
      <c r="W1160" t="str">
        <f t="shared" si="264"/>
        <v/>
      </c>
      <c r="X1160" t="str">
        <f>IF(ISBLANK(S1160),"Intersection","Non-Intersection")</f>
        <v>Non-Intersection</v>
      </c>
      <c r="Y1160" t="s">
        <v>2002</v>
      </c>
      <c r="Z1160" t="str">
        <f t="shared" si="265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52"/>
        <v>40179</v>
      </c>
      <c r="D1161" s="4">
        <f t="shared" si="253"/>
        <v>0.75890410958904109</v>
      </c>
      <c r="E1161" s="3">
        <f t="shared" si="254"/>
        <v>2010</v>
      </c>
      <c r="F1161" s="3">
        <f t="shared" si="255"/>
        <v>10</v>
      </c>
      <c r="G1161" s="3">
        <f t="shared" si="256"/>
        <v>5</v>
      </c>
      <c r="H1161" s="3">
        <f t="shared" si="257"/>
        <v>23</v>
      </c>
      <c r="I1161" s="3">
        <f t="shared" si="258"/>
        <v>0</v>
      </c>
      <c r="J1161" s="3">
        <f t="shared" si="259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60"/>
        <v>YES</v>
      </c>
      <c r="Q1161" t="str">
        <f t="shared" si="261"/>
        <v>NO</v>
      </c>
      <c r="R1161" t="str">
        <f t="shared" si="262"/>
        <v>NO</v>
      </c>
      <c r="T1161" t="s">
        <v>634</v>
      </c>
      <c r="U1161" t="str">
        <f t="shared" si="263"/>
        <v>Chauncy St</v>
      </c>
      <c r="V1161" t="s">
        <v>185</v>
      </c>
      <c r="W1161" t="str">
        <f t="shared" si="264"/>
        <v>Garden St</v>
      </c>
      <c r="X1161" t="str">
        <f>IF(ISBLANK(S1161),"Intersection","Non-Intersection")</f>
        <v>Intersection</v>
      </c>
      <c r="Y1161" t="s">
        <v>2004</v>
      </c>
      <c r="Z1161" t="str">
        <f t="shared" si="265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52"/>
        <v>40179</v>
      </c>
      <c r="D1162" s="4">
        <f t="shared" si="253"/>
        <v>0.75890410958904109</v>
      </c>
      <c r="E1162" s="3">
        <f t="shared" si="254"/>
        <v>2010</v>
      </c>
      <c r="F1162" s="3">
        <f t="shared" si="255"/>
        <v>10</v>
      </c>
      <c r="G1162" s="3">
        <f t="shared" si="256"/>
        <v>5</v>
      </c>
      <c r="H1162" s="3">
        <f t="shared" si="257"/>
        <v>17</v>
      </c>
      <c r="I1162" s="3">
        <f t="shared" si="258"/>
        <v>26</v>
      </c>
      <c r="J1162" s="3">
        <f t="shared" si="259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60"/>
        <v>YES</v>
      </c>
      <c r="Q1162" t="str">
        <f t="shared" si="261"/>
        <v>NO</v>
      </c>
      <c r="R1162" t="str">
        <f t="shared" si="262"/>
        <v>NO</v>
      </c>
      <c r="T1162" t="s">
        <v>74</v>
      </c>
      <c r="U1162" t="str">
        <f t="shared" si="263"/>
        <v>Hampshire St</v>
      </c>
      <c r="V1162" t="s">
        <v>745</v>
      </c>
      <c r="W1162" t="str">
        <f t="shared" si="264"/>
        <v>Norfolk St</v>
      </c>
      <c r="X1162" t="str">
        <f>IF(ISBLANK(S1162),"Intersection","Non-Intersection")</f>
        <v>Intersection</v>
      </c>
      <c r="Y1162" t="s">
        <v>2006</v>
      </c>
      <c r="Z1162" t="str">
        <f t="shared" si="265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66">EOMONTH(B1163,MONTH(B1163)*-1)+1</f>
        <v>40179</v>
      </c>
      <c r="D1163" s="4">
        <f t="shared" ref="D1163:D1222" si="267">YEARFRAC(C1163,B1163,1)</f>
        <v>0.76164383561643834</v>
      </c>
      <c r="E1163" s="3">
        <f t="shared" ref="E1163:E1222" si="268">YEAR(B1163)</f>
        <v>2010</v>
      </c>
      <c r="F1163" s="3">
        <f t="shared" ref="F1163:F1222" si="269">MONTH(B1163)</f>
        <v>10</v>
      </c>
      <c r="G1163" s="3">
        <f t="shared" ref="G1163:G1222" si="270">DAY(B1163)</f>
        <v>6</v>
      </c>
      <c r="H1163" s="3">
        <f t="shared" ref="H1163:H1222" si="271">HOUR(B1163)</f>
        <v>9</v>
      </c>
      <c r="I1163" s="3">
        <f t="shared" ref="I1163:I1222" si="272">MINUTE(B1163)</f>
        <v>0</v>
      </c>
      <c r="J1163" s="3">
        <f t="shared" ref="J1163:J1222" si="273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74">IF(OR(N1163="Auto",O1163="Auto"),"YES",IF(OR(N1163="Taxi",O1163="Taxi"),"YES",IF(OR(N1163="Van",O1163="Van"),"YES",IF(OR(N1163="Truck",O1163="Truck"),"YES","NO"))))</f>
        <v>YES</v>
      </c>
      <c r="Q1163" t="str">
        <f t="shared" ref="Q1163:Q1222" si="275">IF(OR(N1163="Bicycle",O1163="Bicycle"),"YES","NO")</f>
        <v>NO</v>
      </c>
      <c r="R1163" t="str">
        <f t="shared" ref="R1163:R1222" si="276">IF(OR(N1163="Pedestrian",O1163="Pedestrian"),"YES","NO")</f>
        <v>NO</v>
      </c>
      <c r="S1163">
        <v>177</v>
      </c>
      <c r="T1163" t="s">
        <v>37</v>
      </c>
      <c r="U1163" t="str">
        <f t="shared" si="263"/>
        <v>Magazine St</v>
      </c>
      <c r="V1163" t="s">
        <v>2007</v>
      </c>
      <c r="W1163" t="str">
        <f t="shared" si="264"/>
        <v>Glenwood Ave</v>
      </c>
      <c r="X1163" t="str">
        <f>IF(ISBLANK(S1163),"Intersection","Non-Intersection")</f>
        <v>Non-Intersection</v>
      </c>
      <c r="Y1163" t="s">
        <v>2008</v>
      </c>
      <c r="Z1163" t="str">
        <f t="shared" si="265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66"/>
        <v>40179</v>
      </c>
      <c r="D1164" s="4">
        <f t="shared" si="267"/>
        <v>0.76164383561643834</v>
      </c>
      <c r="E1164" s="3">
        <f t="shared" si="268"/>
        <v>2010</v>
      </c>
      <c r="F1164" s="3">
        <f t="shared" si="269"/>
        <v>10</v>
      </c>
      <c r="G1164" s="3">
        <f t="shared" si="270"/>
        <v>6</v>
      </c>
      <c r="H1164" s="3">
        <f t="shared" si="271"/>
        <v>9</v>
      </c>
      <c r="I1164" s="3">
        <f t="shared" si="272"/>
        <v>46</v>
      </c>
      <c r="J1164" s="3">
        <f t="shared" si="273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74"/>
        <v>YES</v>
      </c>
      <c r="Q1164" t="str">
        <f t="shared" si="275"/>
        <v>NO</v>
      </c>
      <c r="R1164" t="str">
        <f t="shared" si="276"/>
        <v>NO</v>
      </c>
      <c r="S1164">
        <v>160</v>
      </c>
      <c r="T1164" t="s">
        <v>178</v>
      </c>
      <c r="U1164" t="str">
        <f t="shared" si="263"/>
        <v>Pleasant St</v>
      </c>
      <c r="W1164" t="str">
        <f t="shared" si="264"/>
        <v/>
      </c>
      <c r="X1164" t="str">
        <f>IF(ISBLANK(S1164),"Intersection","Non-Intersection")</f>
        <v>Non-Intersection</v>
      </c>
      <c r="Y1164" t="s">
        <v>2010</v>
      </c>
      <c r="Z1164" t="str">
        <f t="shared" si="265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66"/>
        <v>40179</v>
      </c>
      <c r="D1165" s="4">
        <f t="shared" si="267"/>
        <v>0.76164383561643834</v>
      </c>
      <c r="E1165" s="3">
        <f t="shared" si="268"/>
        <v>2010</v>
      </c>
      <c r="F1165" s="3">
        <f t="shared" si="269"/>
        <v>10</v>
      </c>
      <c r="G1165" s="3">
        <f t="shared" si="270"/>
        <v>6</v>
      </c>
      <c r="H1165" s="3">
        <f t="shared" si="271"/>
        <v>18</v>
      </c>
      <c r="I1165" s="3">
        <f t="shared" si="272"/>
        <v>29</v>
      </c>
      <c r="J1165" s="3">
        <f t="shared" si="273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74"/>
        <v>YES</v>
      </c>
      <c r="Q1165" t="str">
        <f t="shared" si="275"/>
        <v>YES</v>
      </c>
      <c r="R1165" t="str">
        <f t="shared" si="276"/>
        <v>NO</v>
      </c>
      <c r="T1165" t="s">
        <v>14</v>
      </c>
      <c r="U1165" t="str">
        <f t="shared" si="263"/>
        <v>Massachusetts Ave</v>
      </c>
      <c r="V1165" t="s">
        <v>2012</v>
      </c>
      <c r="W1165" t="str">
        <f t="shared" si="264"/>
        <v>Mellen St</v>
      </c>
      <c r="X1165" t="str">
        <f>IF(ISBLANK(S1165),"Intersection","Non-Intersection")</f>
        <v>Intersection</v>
      </c>
      <c r="Y1165" t="s">
        <v>2013</v>
      </c>
      <c r="Z1165" t="str">
        <f t="shared" si="265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66"/>
        <v>40179</v>
      </c>
      <c r="D1166" s="4">
        <f t="shared" si="267"/>
        <v>0.76164383561643834</v>
      </c>
      <c r="E1166" s="3">
        <f t="shared" si="268"/>
        <v>2010</v>
      </c>
      <c r="F1166" s="3">
        <f t="shared" si="269"/>
        <v>10</v>
      </c>
      <c r="G1166" s="3">
        <f t="shared" si="270"/>
        <v>6</v>
      </c>
      <c r="H1166" s="3">
        <f t="shared" si="271"/>
        <v>18</v>
      </c>
      <c r="I1166" s="3">
        <f t="shared" si="272"/>
        <v>4</v>
      </c>
      <c r="J1166" s="3">
        <f t="shared" si="273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74"/>
        <v>YES</v>
      </c>
      <c r="Q1166" t="str">
        <f t="shared" si="275"/>
        <v>NO</v>
      </c>
      <c r="R1166" t="str">
        <f t="shared" si="276"/>
        <v>NO</v>
      </c>
      <c r="T1166" t="s">
        <v>166</v>
      </c>
      <c r="U1166" t="str">
        <f t="shared" si="263"/>
        <v>Oxford Ave</v>
      </c>
      <c r="V1166" t="s">
        <v>219</v>
      </c>
      <c r="W1166" t="str">
        <f t="shared" si="264"/>
        <v>Sacramento St</v>
      </c>
      <c r="X1166" t="str">
        <f>IF(ISBLANK(S1166),"Intersection","Non-Intersection")</f>
        <v>Intersection</v>
      </c>
      <c r="Y1166" t="s">
        <v>2015</v>
      </c>
      <c r="Z1166" t="str">
        <f t="shared" si="265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66"/>
        <v>40179</v>
      </c>
      <c r="D1167" s="4">
        <f t="shared" si="267"/>
        <v>0.76164383561643834</v>
      </c>
      <c r="E1167" s="3">
        <f t="shared" si="268"/>
        <v>2010</v>
      </c>
      <c r="F1167" s="3">
        <f t="shared" si="269"/>
        <v>10</v>
      </c>
      <c r="G1167" s="3">
        <f t="shared" si="270"/>
        <v>6</v>
      </c>
      <c r="H1167" s="3">
        <f t="shared" si="271"/>
        <v>20</v>
      </c>
      <c r="I1167" s="3">
        <f t="shared" si="272"/>
        <v>58</v>
      </c>
      <c r="J1167" s="3">
        <f t="shared" si="273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74"/>
        <v>YES</v>
      </c>
      <c r="Q1167" t="str">
        <f t="shared" si="275"/>
        <v>NO</v>
      </c>
      <c r="R1167" t="str">
        <f t="shared" si="276"/>
        <v>YES</v>
      </c>
      <c r="S1167">
        <v>3</v>
      </c>
      <c r="T1167" t="s">
        <v>1492</v>
      </c>
      <c r="U1167" t="str">
        <f t="shared" si="263"/>
        <v>Exeter Park</v>
      </c>
      <c r="W1167" t="str">
        <f t="shared" si="264"/>
        <v/>
      </c>
      <c r="X1167" t="str">
        <f>IF(ISBLANK(S1167),"Intersection","Non-Intersection")</f>
        <v>Non-Intersection</v>
      </c>
      <c r="Y1167" t="s">
        <v>2017</v>
      </c>
      <c r="Z1167" t="str">
        <f t="shared" si="265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66"/>
        <v>40179</v>
      </c>
      <c r="D1168" s="4">
        <f t="shared" si="267"/>
        <v>0.76164383561643834</v>
      </c>
      <c r="E1168" s="3">
        <f t="shared" si="268"/>
        <v>2010</v>
      </c>
      <c r="F1168" s="3">
        <f t="shared" si="269"/>
        <v>10</v>
      </c>
      <c r="G1168" s="3">
        <f t="shared" si="270"/>
        <v>6</v>
      </c>
      <c r="H1168" s="3">
        <f t="shared" si="271"/>
        <v>15</v>
      </c>
      <c r="I1168" s="3">
        <f t="shared" si="272"/>
        <v>40</v>
      </c>
      <c r="J1168" s="3">
        <f t="shared" si="273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74"/>
        <v>YES</v>
      </c>
      <c r="Q1168" t="str">
        <f t="shared" si="275"/>
        <v>NO</v>
      </c>
      <c r="R1168" t="str">
        <f t="shared" si="276"/>
        <v>NO</v>
      </c>
      <c r="T1168" t="s">
        <v>198</v>
      </c>
      <c r="U1168" t="str">
        <f t="shared" si="263"/>
        <v>Mount Auburn St</v>
      </c>
      <c r="V1168" t="s">
        <v>24</v>
      </c>
      <c r="W1168" t="str">
        <f t="shared" si="264"/>
        <v>Coolidge Ave</v>
      </c>
      <c r="X1168" t="str">
        <f>IF(ISBLANK(S1168),"Intersection","Non-Intersection")</f>
        <v>Intersection</v>
      </c>
      <c r="Y1168" t="s">
        <v>2019</v>
      </c>
      <c r="Z1168" t="str">
        <f t="shared" si="265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66"/>
        <v>40179</v>
      </c>
      <c r="D1169" s="4">
        <f t="shared" si="267"/>
        <v>0.76438356164383559</v>
      </c>
      <c r="E1169" s="3">
        <f t="shared" si="268"/>
        <v>2010</v>
      </c>
      <c r="F1169" s="3">
        <f t="shared" si="269"/>
        <v>10</v>
      </c>
      <c r="G1169" s="3">
        <f t="shared" si="270"/>
        <v>7</v>
      </c>
      <c r="H1169" s="3">
        <f t="shared" si="271"/>
        <v>7</v>
      </c>
      <c r="I1169" s="3">
        <f t="shared" si="272"/>
        <v>50</v>
      </c>
      <c r="J1169" s="3">
        <f t="shared" si="273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74"/>
        <v>YES</v>
      </c>
      <c r="Q1169" t="str">
        <f t="shared" si="275"/>
        <v>NO</v>
      </c>
      <c r="R1169" t="str">
        <f t="shared" si="276"/>
        <v>NO</v>
      </c>
      <c r="T1169" t="s">
        <v>2021</v>
      </c>
      <c r="U1169" t="str">
        <f t="shared" si="263"/>
        <v>Marney St</v>
      </c>
      <c r="V1169" t="s">
        <v>611</v>
      </c>
      <c r="W1169" t="str">
        <f t="shared" si="264"/>
        <v>Berkshire St</v>
      </c>
      <c r="X1169" t="str">
        <f>IF(ISBLANK(S1169),"Intersection","Non-Intersection")</f>
        <v>Intersection</v>
      </c>
      <c r="Y1169" t="s">
        <v>2022</v>
      </c>
      <c r="Z1169" t="str">
        <f t="shared" si="265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66"/>
        <v>40179</v>
      </c>
      <c r="D1170" s="4">
        <f t="shared" si="267"/>
        <v>0.76438356164383559</v>
      </c>
      <c r="E1170" s="3">
        <f t="shared" si="268"/>
        <v>2010</v>
      </c>
      <c r="F1170" s="3">
        <f t="shared" si="269"/>
        <v>10</v>
      </c>
      <c r="G1170" s="3">
        <f t="shared" si="270"/>
        <v>7</v>
      </c>
      <c r="H1170" s="3">
        <f t="shared" si="271"/>
        <v>9</v>
      </c>
      <c r="I1170" s="3">
        <f t="shared" si="272"/>
        <v>59</v>
      </c>
      <c r="J1170" s="3">
        <f t="shared" si="273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74"/>
        <v>YES</v>
      </c>
      <c r="Q1170" t="str">
        <f t="shared" si="275"/>
        <v>NO</v>
      </c>
      <c r="R1170" t="str">
        <f t="shared" si="276"/>
        <v>NO</v>
      </c>
      <c r="S1170">
        <v>1</v>
      </c>
      <c r="T1170" t="s">
        <v>268</v>
      </c>
      <c r="U1170" t="str">
        <f t="shared" si="263"/>
        <v>White St</v>
      </c>
      <c r="W1170" t="str">
        <f t="shared" si="264"/>
        <v/>
      </c>
      <c r="X1170" t="str">
        <f>IF(ISBLANK(S1170),"Intersection","Non-Intersection")</f>
        <v>Non-Intersection</v>
      </c>
      <c r="Y1170" t="s">
        <v>272</v>
      </c>
      <c r="Z1170" t="str">
        <f t="shared" si="265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66"/>
        <v>40179</v>
      </c>
      <c r="D1171" s="4">
        <f t="shared" si="267"/>
        <v>0.76438356164383559</v>
      </c>
      <c r="E1171" s="3">
        <f t="shared" si="268"/>
        <v>2010</v>
      </c>
      <c r="F1171" s="3">
        <f t="shared" si="269"/>
        <v>10</v>
      </c>
      <c r="G1171" s="3">
        <f t="shared" si="270"/>
        <v>7</v>
      </c>
      <c r="H1171" s="3">
        <f t="shared" si="271"/>
        <v>10</v>
      </c>
      <c r="I1171" s="3">
        <f t="shared" si="272"/>
        <v>50</v>
      </c>
      <c r="J1171" s="3">
        <f t="shared" si="273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74"/>
        <v>YES</v>
      </c>
      <c r="Q1171" t="str">
        <f t="shared" si="275"/>
        <v>NO</v>
      </c>
      <c r="R1171" t="str">
        <f t="shared" si="276"/>
        <v>NO</v>
      </c>
      <c r="T1171" t="s">
        <v>14</v>
      </c>
      <c r="U1171" t="str">
        <f t="shared" si="263"/>
        <v>Massachusetts Ave</v>
      </c>
      <c r="V1171" t="s">
        <v>185</v>
      </c>
      <c r="W1171" t="str">
        <f t="shared" si="264"/>
        <v>Garden St</v>
      </c>
      <c r="X1171" t="str">
        <f>IF(ISBLANK(S1171),"Intersection","Non-Intersection")</f>
        <v>Intersection</v>
      </c>
      <c r="Y1171" t="s">
        <v>1247</v>
      </c>
      <c r="Z1171" t="str">
        <f t="shared" si="265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66"/>
        <v>40179</v>
      </c>
      <c r="D1172" s="4">
        <f t="shared" si="267"/>
        <v>0.76438356164383559</v>
      </c>
      <c r="E1172" s="3">
        <f t="shared" si="268"/>
        <v>2010</v>
      </c>
      <c r="F1172" s="3">
        <f t="shared" si="269"/>
        <v>10</v>
      </c>
      <c r="G1172" s="3">
        <f t="shared" si="270"/>
        <v>7</v>
      </c>
      <c r="H1172" s="3">
        <f t="shared" si="271"/>
        <v>17</v>
      </c>
      <c r="I1172" s="3">
        <f t="shared" si="272"/>
        <v>10</v>
      </c>
      <c r="J1172" s="3">
        <f t="shared" si="273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74"/>
        <v>YES</v>
      </c>
      <c r="Q1172" t="str">
        <f t="shared" si="275"/>
        <v>NO</v>
      </c>
      <c r="R1172" t="str">
        <f t="shared" si="276"/>
        <v>NO</v>
      </c>
      <c r="S1172">
        <v>3640</v>
      </c>
      <c r="T1172" t="s">
        <v>326</v>
      </c>
      <c r="U1172" t="str">
        <f t="shared" si="263"/>
        <v>Jfk St</v>
      </c>
      <c r="W1172" t="str">
        <f t="shared" si="264"/>
        <v/>
      </c>
      <c r="X1172" t="str">
        <f>IF(ISBLANK(S1172),"Intersection","Non-Intersection")</f>
        <v>Non-Intersection</v>
      </c>
      <c r="Y1172" t="s">
        <v>2024</v>
      </c>
      <c r="Z1172" t="str">
        <f t="shared" si="265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66"/>
        <v>40179</v>
      </c>
      <c r="D1173" s="4">
        <f t="shared" si="267"/>
        <v>0.76712328767123283</v>
      </c>
      <c r="E1173" s="3">
        <f t="shared" si="268"/>
        <v>2010</v>
      </c>
      <c r="F1173" s="3">
        <f t="shared" si="269"/>
        <v>10</v>
      </c>
      <c r="G1173" s="3">
        <f t="shared" si="270"/>
        <v>8</v>
      </c>
      <c r="H1173" s="3">
        <f t="shared" si="271"/>
        <v>8</v>
      </c>
      <c r="I1173" s="3">
        <f t="shared" si="272"/>
        <v>10</v>
      </c>
      <c r="J1173" s="3">
        <f t="shared" si="273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74"/>
        <v>YES</v>
      </c>
      <c r="Q1173" t="str">
        <f t="shared" si="275"/>
        <v>NO</v>
      </c>
      <c r="R1173" t="str">
        <f t="shared" si="276"/>
        <v>YES</v>
      </c>
      <c r="T1173" t="s">
        <v>209</v>
      </c>
      <c r="U1173" t="str">
        <f t="shared" si="263"/>
        <v>Binney St</v>
      </c>
      <c r="V1173" t="s">
        <v>1615</v>
      </c>
      <c r="W1173" t="str">
        <f t="shared" si="264"/>
        <v>Kendall Sq</v>
      </c>
      <c r="X1173" t="str">
        <f>IF(ISBLANK(S1173),"Intersection","Non-Intersection")</f>
        <v>Intersection</v>
      </c>
      <c r="Y1173" t="s">
        <v>2026</v>
      </c>
      <c r="Z1173" t="str">
        <f t="shared" si="265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66"/>
        <v>40179</v>
      </c>
      <c r="D1174" s="4">
        <f t="shared" si="267"/>
        <v>0.76712328767123283</v>
      </c>
      <c r="E1174" s="3">
        <f t="shared" si="268"/>
        <v>2010</v>
      </c>
      <c r="F1174" s="3">
        <f t="shared" si="269"/>
        <v>10</v>
      </c>
      <c r="G1174" s="3">
        <f t="shared" si="270"/>
        <v>8</v>
      </c>
      <c r="H1174" s="3">
        <f t="shared" si="271"/>
        <v>13</v>
      </c>
      <c r="I1174" s="3">
        <f t="shared" si="272"/>
        <v>9</v>
      </c>
      <c r="J1174" s="3">
        <f t="shared" si="273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74"/>
        <v>YES</v>
      </c>
      <c r="Q1174" t="str">
        <f t="shared" si="275"/>
        <v>NO</v>
      </c>
      <c r="R1174" t="str">
        <f t="shared" si="276"/>
        <v>NO</v>
      </c>
      <c r="T1174" t="s">
        <v>796</v>
      </c>
      <c r="U1174" t="str">
        <f t="shared" si="263"/>
        <v>Portland St</v>
      </c>
      <c r="V1174" t="s">
        <v>133</v>
      </c>
      <c r="W1174" t="str">
        <f t="shared" si="264"/>
        <v>Harvard St</v>
      </c>
      <c r="X1174" t="str">
        <f>IF(ISBLANK(S1174),"Intersection","Non-Intersection")</f>
        <v>Intersection</v>
      </c>
      <c r="Y1174" t="s">
        <v>2028</v>
      </c>
      <c r="Z1174" t="str">
        <f t="shared" si="265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66"/>
        <v>40179</v>
      </c>
      <c r="D1175" s="4">
        <f t="shared" si="267"/>
        <v>0.76712328767123283</v>
      </c>
      <c r="E1175" s="3">
        <f t="shared" si="268"/>
        <v>2010</v>
      </c>
      <c r="F1175" s="3">
        <f t="shared" si="269"/>
        <v>10</v>
      </c>
      <c r="G1175" s="3">
        <f t="shared" si="270"/>
        <v>8</v>
      </c>
      <c r="H1175" s="3">
        <f t="shared" si="271"/>
        <v>17</v>
      </c>
      <c r="I1175" s="3">
        <f t="shared" si="272"/>
        <v>0</v>
      </c>
      <c r="J1175" s="3">
        <f t="shared" si="273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74"/>
        <v>YES</v>
      </c>
      <c r="Q1175" t="str">
        <f t="shared" si="275"/>
        <v>NO</v>
      </c>
      <c r="R1175" t="str">
        <f t="shared" si="276"/>
        <v>NO</v>
      </c>
      <c r="T1175" t="s">
        <v>198</v>
      </c>
      <c r="U1175" t="str">
        <f t="shared" si="263"/>
        <v>Mount Auburn St</v>
      </c>
      <c r="V1175" t="s">
        <v>199</v>
      </c>
      <c r="W1175" t="str">
        <f t="shared" si="264"/>
        <v>Brattle St</v>
      </c>
      <c r="X1175" t="str">
        <f>IF(ISBLANK(S1175),"Intersection","Non-Intersection")</f>
        <v>Intersection</v>
      </c>
      <c r="Y1175" t="s">
        <v>767</v>
      </c>
      <c r="Z1175" t="str">
        <f t="shared" si="265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66"/>
        <v>40179</v>
      </c>
      <c r="D1176" s="4">
        <f t="shared" si="267"/>
        <v>0.76712328767123283</v>
      </c>
      <c r="E1176" s="3">
        <f t="shared" si="268"/>
        <v>2010</v>
      </c>
      <c r="F1176" s="3">
        <f t="shared" si="269"/>
        <v>10</v>
      </c>
      <c r="G1176" s="3">
        <f t="shared" si="270"/>
        <v>8</v>
      </c>
      <c r="H1176" s="3">
        <f t="shared" si="271"/>
        <v>17</v>
      </c>
      <c r="I1176" s="3">
        <f t="shared" si="272"/>
        <v>49</v>
      </c>
      <c r="J1176" s="3">
        <f t="shared" si="273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74"/>
        <v>YES</v>
      </c>
      <c r="Q1176" t="str">
        <f t="shared" si="275"/>
        <v>NO</v>
      </c>
      <c r="R1176" t="str">
        <f t="shared" si="276"/>
        <v>NO</v>
      </c>
      <c r="S1176">
        <v>35</v>
      </c>
      <c r="T1176" t="s">
        <v>268</v>
      </c>
      <c r="U1176" t="str">
        <f t="shared" si="263"/>
        <v>White St</v>
      </c>
      <c r="W1176" t="str">
        <f t="shared" si="264"/>
        <v/>
      </c>
      <c r="X1176" t="str">
        <f>IF(ISBLANK(S1176),"Intersection","Non-Intersection")</f>
        <v>Non-Intersection</v>
      </c>
      <c r="Y1176" t="s">
        <v>933</v>
      </c>
      <c r="Z1176" t="str">
        <f t="shared" si="265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66"/>
        <v>40179</v>
      </c>
      <c r="D1177" s="4">
        <f t="shared" si="267"/>
        <v>0.76712328767123283</v>
      </c>
      <c r="E1177" s="3">
        <f t="shared" si="268"/>
        <v>2010</v>
      </c>
      <c r="F1177" s="3">
        <f t="shared" si="269"/>
        <v>10</v>
      </c>
      <c r="G1177" s="3">
        <f t="shared" si="270"/>
        <v>8</v>
      </c>
      <c r="H1177" s="3">
        <f t="shared" si="271"/>
        <v>15</v>
      </c>
      <c r="I1177" s="3">
        <f t="shared" si="272"/>
        <v>0</v>
      </c>
      <c r="J1177" s="3">
        <f t="shared" si="273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74"/>
        <v>YES</v>
      </c>
      <c r="Q1177" t="str">
        <f t="shared" si="275"/>
        <v>NO</v>
      </c>
      <c r="R1177" t="str">
        <f t="shared" si="276"/>
        <v>NO</v>
      </c>
      <c r="T1177" t="s">
        <v>14</v>
      </c>
      <c r="U1177" t="str">
        <f t="shared" si="263"/>
        <v>Massachusetts Ave</v>
      </c>
      <c r="V1177" t="s">
        <v>1438</v>
      </c>
      <c r="W1177" t="str">
        <f t="shared" si="264"/>
        <v>Dunster St</v>
      </c>
      <c r="X1177" t="str">
        <f>IF(ISBLANK(S1177),"Intersection","Non-Intersection")</f>
        <v>Intersection</v>
      </c>
      <c r="Y1177" t="s">
        <v>2030</v>
      </c>
      <c r="Z1177" t="str">
        <f t="shared" si="265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66"/>
        <v>40179</v>
      </c>
      <c r="D1178" s="4">
        <f t="shared" si="267"/>
        <v>0.76712328767123283</v>
      </c>
      <c r="E1178" s="3">
        <f t="shared" si="268"/>
        <v>2010</v>
      </c>
      <c r="F1178" s="3">
        <f t="shared" si="269"/>
        <v>10</v>
      </c>
      <c r="G1178" s="3">
        <f t="shared" si="270"/>
        <v>8</v>
      </c>
      <c r="H1178" s="3">
        <f t="shared" si="271"/>
        <v>15</v>
      </c>
      <c r="I1178" s="3">
        <f t="shared" si="272"/>
        <v>30</v>
      </c>
      <c r="J1178" s="3">
        <f t="shared" si="273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74"/>
        <v>YES</v>
      </c>
      <c r="Q1178" t="str">
        <f t="shared" si="275"/>
        <v>NO</v>
      </c>
      <c r="R1178" t="str">
        <f t="shared" si="276"/>
        <v>NO</v>
      </c>
      <c r="T1178" t="s">
        <v>380</v>
      </c>
      <c r="U1178" t="str">
        <f t="shared" si="263"/>
        <v>Charles St</v>
      </c>
      <c r="W1178" t="str">
        <f t="shared" si="264"/>
        <v/>
      </c>
      <c r="X1178" t="str">
        <f>IF(ISBLANK(S1178),"Intersection","Non-Intersection")</f>
        <v>Intersection</v>
      </c>
      <c r="Y1178" t="s">
        <v>2032</v>
      </c>
      <c r="Z1178" t="str">
        <f t="shared" si="265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66"/>
        <v>40179</v>
      </c>
      <c r="D1179" s="4">
        <f t="shared" si="267"/>
        <v>0.76986301369863008</v>
      </c>
      <c r="E1179" s="3">
        <f t="shared" si="268"/>
        <v>2010</v>
      </c>
      <c r="F1179" s="3">
        <f t="shared" si="269"/>
        <v>10</v>
      </c>
      <c r="G1179" s="3">
        <f t="shared" si="270"/>
        <v>9</v>
      </c>
      <c r="H1179" s="3">
        <f t="shared" si="271"/>
        <v>12</v>
      </c>
      <c r="I1179" s="3">
        <f t="shared" si="272"/>
        <v>59</v>
      </c>
      <c r="J1179" s="3">
        <f t="shared" si="273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74"/>
        <v>YES</v>
      </c>
      <c r="Q1179" t="str">
        <f t="shared" si="275"/>
        <v>NO</v>
      </c>
      <c r="R1179" t="str">
        <f t="shared" si="276"/>
        <v>NO</v>
      </c>
      <c r="T1179" t="s">
        <v>147</v>
      </c>
      <c r="U1179" t="str">
        <f t="shared" si="263"/>
        <v>Sixth St</v>
      </c>
      <c r="V1179" t="s">
        <v>698</v>
      </c>
      <c r="W1179" t="str">
        <f t="shared" si="264"/>
        <v>Thorndike St</v>
      </c>
      <c r="X1179" t="str">
        <f>IF(ISBLANK(S1179),"Intersection","Non-Intersection")</f>
        <v>Intersection</v>
      </c>
      <c r="Y1179" t="s">
        <v>2035</v>
      </c>
      <c r="Z1179" t="str">
        <f t="shared" si="265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66"/>
        <v>40179</v>
      </c>
      <c r="D1180" s="4">
        <f t="shared" si="267"/>
        <v>0.76986301369863008</v>
      </c>
      <c r="E1180" s="3">
        <f t="shared" si="268"/>
        <v>2010</v>
      </c>
      <c r="F1180" s="3">
        <f t="shared" si="269"/>
        <v>10</v>
      </c>
      <c r="G1180" s="3">
        <f t="shared" si="270"/>
        <v>9</v>
      </c>
      <c r="H1180" s="3">
        <f t="shared" si="271"/>
        <v>8</v>
      </c>
      <c r="I1180" s="3">
        <f t="shared" si="272"/>
        <v>0</v>
      </c>
      <c r="J1180" s="3">
        <f t="shared" si="273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74"/>
        <v>YES</v>
      </c>
      <c r="Q1180" t="str">
        <f t="shared" si="275"/>
        <v>NO</v>
      </c>
      <c r="R1180" t="str">
        <f t="shared" si="276"/>
        <v>NO</v>
      </c>
      <c r="T1180" t="s">
        <v>41</v>
      </c>
      <c r="U1180" t="str">
        <f t="shared" si="263"/>
        <v>River St</v>
      </c>
      <c r="V1180" t="s">
        <v>178</v>
      </c>
      <c r="W1180" t="str">
        <f t="shared" si="264"/>
        <v>Pleasant St</v>
      </c>
      <c r="X1180" t="str">
        <f>IF(ISBLANK(S1180),"Intersection","Non-Intersection")</f>
        <v>Intersection</v>
      </c>
      <c r="Y1180" t="s">
        <v>2037</v>
      </c>
      <c r="Z1180" t="str">
        <f t="shared" si="265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66"/>
        <v>40179</v>
      </c>
      <c r="D1181" s="4">
        <f t="shared" si="267"/>
        <v>0.77260273972602744</v>
      </c>
      <c r="E1181" s="3">
        <f t="shared" si="268"/>
        <v>2010</v>
      </c>
      <c r="F1181" s="3">
        <f t="shared" si="269"/>
        <v>10</v>
      </c>
      <c r="G1181" s="3">
        <f t="shared" si="270"/>
        <v>10</v>
      </c>
      <c r="H1181" s="3">
        <f t="shared" si="271"/>
        <v>12</v>
      </c>
      <c r="I1181" s="3">
        <f t="shared" si="272"/>
        <v>59</v>
      </c>
      <c r="J1181" s="3">
        <f t="shared" si="273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74"/>
        <v>YES</v>
      </c>
      <c r="Q1181" t="str">
        <f t="shared" si="275"/>
        <v>NO</v>
      </c>
      <c r="R1181" t="str">
        <f t="shared" si="276"/>
        <v>NO</v>
      </c>
      <c r="T1181" t="s">
        <v>2038</v>
      </c>
      <c r="U1181" t="str">
        <f t="shared" si="263"/>
        <v>May St</v>
      </c>
      <c r="V1181" t="s">
        <v>277</v>
      </c>
      <c r="W1181" t="str">
        <f t="shared" si="264"/>
        <v>Lawn St</v>
      </c>
      <c r="X1181" t="str">
        <f>IF(ISBLANK(S1181),"Intersection","Non-Intersection")</f>
        <v>Intersection</v>
      </c>
      <c r="Y1181" t="s">
        <v>2039</v>
      </c>
      <c r="Z1181" t="str">
        <f t="shared" si="265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66"/>
        <v>40179</v>
      </c>
      <c r="D1182" s="4">
        <f t="shared" si="267"/>
        <v>0.77260273972602744</v>
      </c>
      <c r="E1182" s="3">
        <f t="shared" si="268"/>
        <v>2010</v>
      </c>
      <c r="F1182" s="3">
        <f t="shared" si="269"/>
        <v>10</v>
      </c>
      <c r="G1182" s="3">
        <f t="shared" si="270"/>
        <v>10</v>
      </c>
      <c r="H1182" s="3">
        <f t="shared" si="271"/>
        <v>2</v>
      </c>
      <c r="I1182" s="3">
        <f t="shared" si="272"/>
        <v>39</v>
      </c>
      <c r="J1182" s="3">
        <f t="shared" si="273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74"/>
        <v>YES</v>
      </c>
      <c r="Q1182" t="str">
        <f t="shared" si="275"/>
        <v>NO</v>
      </c>
      <c r="R1182" t="str">
        <f t="shared" si="276"/>
        <v>NO</v>
      </c>
      <c r="T1182" t="s">
        <v>326</v>
      </c>
      <c r="U1182" t="str">
        <f t="shared" si="263"/>
        <v>Jfk St</v>
      </c>
      <c r="V1182" t="s">
        <v>198</v>
      </c>
      <c r="W1182" t="str">
        <f t="shared" si="264"/>
        <v>Mount Auburn St</v>
      </c>
      <c r="X1182" t="str">
        <f>IF(ISBLANK(S1182),"Intersection","Non-Intersection")</f>
        <v>Intersection</v>
      </c>
      <c r="Y1182" t="s">
        <v>385</v>
      </c>
      <c r="Z1182" t="str">
        <f t="shared" si="265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66"/>
        <v>40179</v>
      </c>
      <c r="D1183" s="4">
        <f t="shared" si="267"/>
        <v>0.77260273972602744</v>
      </c>
      <c r="E1183" s="3">
        <f t="shared" si="268"/>
        <v>2010</v>
      </c>
      <c r="F1183" s="3">
        <f t="shared" si="269"/>
        <v>10</v>
      </c>
      <c r="G1183" s="3">
        <f t="shared" si="270"/>
        <v>10</v>
      </c>
      <c r="H1183" s="3">
        <f t="shared" si="271"/>
        <v>6</v>
      </c>
      <c r="I1183" s="3">
        <f t="shared" si="272"/>
        <v>56</v>
      </c>
      <c r="J1183" s="3">
        <f t="shared" si="273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74"/>
        <v>YES</v>
      </c>
      <c r="Q1183" t="str">
        <f t="shared" si="275"/>
        <v>NO</v>
      </c>
      <c r="R1183" t="str">
        <f t="shared" si="276"/>
        <v>NO</v>
      </c>
      <c r="S1183">
        <v>808</v>
      </c>
      <c r="T1183" t="s">
        <v>203</v>
      </c>
      <c r="U1183" t="str">
        <f t="shared" si="263"/>
        <v>Memorial Dr</v>
      </c>
      <c r="W1183" t="str">
        <f t="shared" si="264"/>
        <v/>
      </c>
      <c r="X1183" t="str">
        <f>IF(ISBLANK(S1183),"Intersection","Non-Intersection")</f>
        <v>Non-Intersection</v>
      </c>
      <c r="Y1183" t="s">
        <v>1748</v>
      </c>
      <c r="Z1183" t="str">
        <f t="shared" si="265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66"/>
        <v>40179</v>
      </c>
      <c r="D1184" s="4">
        <f t="shared" si="267"/>
        <v>0.77260273972602744</v>
      </c>
      <c r="E1184" s="3">
        <f t="shared" si="268"/>
        <v>2010</v>
      </c>
      <c r="F1184" s="3">
        <f t="shared" si="269"/>
        <v>10</v>
      </c>
      <c r="G1184" s="3">
        <f t="shared" si="270"/>
        <v>10</v>
      </c>
      <c r="H1184" s="3">
        <f t="shared" si="271"/>
        <v>16</v>
      </c>
      <c r="I1184" s="3">
        <f t="shared" si="272"/>
        <v>30</v>
      </c>
      <c r="J1184" s="3">
        <f t="shared" si="273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74"/>
        <v>YES</v>
      </c>
      <c r="Q1184" t="str">
        <f t="shared" si="275"/>
        <v>NO</v>
      </c>
      <c r="R1184" t="str">
        <f t="shared" si="276"/>
        <v>YES</v>
      </c>
      <c r="T1184" t="s">
        <v>198</v>
      </c>
      <c r="U1184" t="str">
        <f t="shared" si="263"/>
        <v>Mount Auburn St</v>
      </c>
      <c r="V1184" t="s">
        <v>325</v>
      </c>
      <c r="W1184" t="str">
        <f t="shared" si="264"/>
        <v>Eliot St</v>
      </c>
      <c r="X1184" t="str">
        <f>IF(ISBLANK(S1184),"Intersection","Non-Intersection")</f>
        <v>Intersection</v>
      </c>
      <c r="Y1184" t="s">
        <v>2041</v>
      </c>
      <c r="Z1184" t="str">
        <f t="shared" si="265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66"/>
        <v>40179</v>
      </c>
      <c r="D1185" s="4">
        <f t="shared" si="267"/>
        <v>0.77260273972602744</v>
      </c>
      <c r="E1185" s="3">
        <f t="shared" si="268"/>
        <v>2010</v>
      </c>
      <c r="F1185" s="3">
        <f t="shared" si="269"/>
        <v>10</v>
      </c>
      <c r="G1185" s="3">
        <f t="shared" si="270"/>
        <v>10</v>
      </c>
      <c r="H1185" s="3">
        <f t="shared" si="271"/>
        <v>23</v>
      </c>
      <c r="I1185" s="3">
        <f t="shared" si="272"/>
        <v>3</v>
      </c>
      <c r="J1185" s="3">
        <f t="shared" si="273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74"/>
        <v>YES</v>
      </c>
      <c r="Q1185" t="str">
        <f t="shared" si="275"/>
        <v>NO</v>
      </c>
      <c r="R1185" t="str">
        <f t="shared" si="276"/>
        <v>NO</v>
      </c>
      <c r="T1185" t="s">
        <v>101</v>
      </c>
      <c r="U1185" t="str">
        <f t="shared" si="263"/>
        <v>Columbia St</v>
      </c>
      <c r="V1185" t="s">
        <v>74</v>
      </c>
      <c r="W1185" t="str">
        <f t="shared" si="264"/>
        <v>Hampshire St</v>
      </c>
      <c r="X1185" t="str">
        <f>IF(ISBLANK(S1185),"Intersection","Non-Intersection")</f>
        <v>Intersection</v>
      </c>
      <c r="Y1185" t="s">
        <v>773</v>
      </c>
      <c r="Z1185" t="str">
        <f t="shared" si="265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66"/>
        <v>40179</v>
      </c>
      <c r="D1186" s="4">
        <f t="shared" si="267"/>
        <v>0.77260273972602744</v>
      </c>
      <c r="E1186" s="3">
        <f t="shared" si="268"/>
        <v>2010</v>
      </c>
      <c r="F1186" s="3">
        <f t="shared" si="269"/>
        <v>10</v>
      </c>
      <c r="G1186" s="3">
        <f t="shared" si="270"/>
        <v>10</v>
      </c>
      <c r="H1186" s="3">
        <f t="shared" si="271"/>
        <v>23</v>
      </c>
      <c r="I1186" s="3">
        <f t="shared" si="272"/>
        <v>29</v>
      </c>
      <c r="J1186" s="3">
        <f t="shared" si="273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74"/>
        <v>YES</v>
      </c>
      <c r="Q1186" t="str">
        <f t="shared" si="275"/>
        <v>NO</v>
      </c>
      <c r="R1186" t="str">
        <f t="shared" si="276"/>
        <v>NO</v>
      </c>
      <c r="S1186">
        <v>386</v>
      </c>
      <c r="T1186" t="s">
        <v>101</v>
      </c>
      <c r="U1186" t="str">
        <f t="shared" si="263"/>
        <v>Columbia St</v>
      </c>
      <c r="W1186" t="str">
        <f t="shared" si="264"/>
        <v/>
      </c>
      <c r="X1186" t="str">
        <f>IF(ISBLANK(S1186),"Intersection","Non-Intersection")</f>
        <v>Non-Intersection</v>
      </c>
      <c r="Y1186" t="s">
        <v>2043</v>
      </c>
      <c r="Z1186" t="str">
        <f t="shared" si="265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66"/>
        <v>40179</v>
      </c>
      <c r="D1187" s="4">
        <f t="shared" si="267"/>
        <v>0.77534246575342469</v>
      </c>
      <c r="E1187" s="3">
        <f t="shared" si="268"/>
        <v>2010</v>
      </c>
      <c r="F1187" s="3">
        <f t="shared" si="269"/>
        <v>10</v>
      </c>
      <c r="G1187" s="3">
        <f t="shared" si="270"/>
        <v>11</v>
      </c>
      <c r="H1187" s="3">
        <f t="shared" si="271"/>
        <v>18</v>
      </c>
      <c r="I1187" s="3">
        <f t="shared" si="272"/>
        <v>59</v>
      </c>
      <c r="J1187" s="3">
        <f t="shared" si="273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74"/>
        <v>YES</v>
      </c>
      <c r="Q1187" t="str">
        <f t="shared" si="275"/>
        <v>NO</v>
      </c>
      <c r="R1187" t="str">
        <f t="shared" si="276"/>
        <v>NO</v>
      </c>
      <c r="T1187" t="s">
        <v>509</v>
      </c>
      <c r="U1187" t="str">
        <f t="shared" si="263"/>
        <v>Green St</v>
      </c>
      <c r="V1187" t="s">
        <v>14</v>
      </c>
      <c r="W1187" t="str">
        <f t="shared" si="264"/>
        <v>Massachusetts Ave</v>
      </c>
      <c r="X1187" t="str">
        <f>IF(ISBLANK(S1187),"Intersection","Non-Intersection")</f>
        <v>Intersection</v>
      </c>
      <c r="Y1187" t="s">
        <v>2045</v>
      </c>
      <c r="Z1187" t="str">
        <f t="shared" si="265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66"/>
        <v>40179</v>
      </c>
      <c r="D1188" s="4">
        <f t="shared" si="267"/>
        <v>0.77808219178082194</v>
      </c>
      <c r="E1188" s="3">
        <f t="shared" si="268"/>
        <v>2010</v>
      </c>
      <c r="F1188" s="3">
        <f t="shared" si="269"/>
        <v>10</v>
      </c>
      <c r="G1188" s="3">
        <f t="shared" si="270"/>
        <v>12</v>
      </c>
      <c r="H1188" s="3">
        <f t="shared" si="271"/>
        <v>15</v>
      </c>
      <c r="I1188" s="3">
        <f t="shared" si="272"/>
        <v>42</v>
      </c>
      <c r="J1188" s="3">
        <f t="shared" si="273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74"/>
        <v>YES</v>
      </c>
      <c r="Q1188" t="str">
        <f t="shared" si="275"/>
        <v>NO</v>
      </c>
      <c r="R1188" t="str">
        <f t="shared" si="276"/>
        <v>NO</v>
      </c>
      <c r="S1188">
        <v>92</v>
      </c>
      <c r="T1188" t="s">
        <v>155</v>
      </c>
      <c r="U1188" t="str">
        <f t="shared" si="263"/>
        <v>Richdale Ave</v>
      </c>
      <c r="W1188" t="str">
        <f t="shared" si="264"/>
        <v/>
      </c>
      <c r="X1188" t="str">
        <f>IF(ISBLANK(S1188),"Intersection","Non-Intersection")</f>
        <v>Non-Intersection</v>
      </c>
      <c r="Y1188" t="s">
        <v>2046</v>
      </c>
      <c r="Z1188" t="str">
        <f t="shared" si="265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66"/>
        <v>40179</v>
      </c>
      <c r="D1189" s="4">
        <f t="shared" si="267"/>
        <v>0.77808219178082194</v>
      </c>
      <c r="E1189" s="3">
        <f t="shared" si="268"/>
        <v>2010</v>
      </c>
      <c r="F1189" s="3">
        <f t="shared" si="269"/>
        <v>10</v>
      </c>
      <c r="G1189" s="3">
        <f t="shared" si="270"/>
        <v>12</v>
      </c>
      <c r="H1189" s="3">
        <f t="shared" si="271"/>
        <v>17</v>
      </c>
      <c r="I1189" s="3">
        <f t="shared" si="272"/>
        <v>19</v>
      </c>
      <c r="J1189" s="3">
        <f t="shared" si="273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74"/>
        <v>YES</v>
      </c>
      <c r="Q1189" t="str">
        <f t="shared" si="275"/>
        <v>NO</v>
      </c>
      <c r="R1189" t="str">
        <f t="shared" si="276"/>
        <v>NO</v>
      </c>
      <c r="T1189" t="s">
        <v>291</v>
      </c>
      <c r="U1189" t="str">
        <f t="shared" si="263"/>
        <v>Raymond St</v>
      </c>
      <c r="V1189" t="s">
        <v>142</v>
      </c>
      <c r="W1189" t="str">
        <f t="shared" si="264"/>
        <v>Huron Ave</v>
      </c>
      <c r="X1189" t="str">
        <f>IF(ISBLANK(S1189),"Intersection","Non-Intersection")</f>
        <v>Intersection</v>
      </c>
      <c r="Y1189" t="s">
        <v>292</v>
      </c>
      <c r="Z1189" t="str">
        <f t="shared" si="265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66"/>
        <v>40179</v>
      </c>
      <c r="D1190" s="4">
        <f t="shared" si="267"/>
        <v>0.77808219178082194</v>
      </c>
      <c r="E1190" s="3">
        <f t="shared" si="268"/>
        <v>2010</v>
      </c>
      <c r="F1190" s="3">
        <f t="shared" si="269"/>
        <v>10</v>
      </c>
      <c r="G1190" s="3">
        <f t="shared" si="270"/>
        <v>12</v>
      </c>
      <c r="H1190" s="3">
        <f t="shared" si="271"/>
        <v>14</v>
      </c>
      <c r="I1190" s="3">
        <f t="shared" si="272"/>
        <v>29</v>
      </c>
      <c r="J1190" s="3">
        <f t="shared" si="273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74"/>
        <v>YES</v>
      </c>
      <c r="Q1190" t="str">
        <f t="shared" si="275"/>
        <v>YES</v>
      </c>
      <c r="R1190" t="str">
        <f t="shared" si="276"/>
        <v>NO</v>
      </c>
      <c r="S1190">
        <v>330</v>
      </c>
      <c r="T1190" t="s">
        <v>105</v>
      </c>
      <c r="U1190" t="str">
        <f t="shared" si="263"/>
        <v>Broadway</v>
      </c>
      <c r="V1190" t="s">
        <v>942</v>
      </c>
      <c r="W1190" t="str">
        <f t="shared" si="264"/>
        <v>Amory St</v>
      </c>
      <c r="X1190" t="str">
        <f>IF(ISBLANK(S1190),"Intersection","Non-Intersection")</f>
        <v>Non-Intersection</v>
      </c>
      <c r="Y1190" t="s">
        <v>2048</v>
      </c>
      <c r="Z1190" t="str">
        <f t="shared" si="265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66"/>
        <v>40179</v>
      </c>
      <c r="D1191" s="4">
        <f t="shared" si="267"/>
        <v>0.77808219178082194</v>
      </c>
      <c r="E1191" s="3">
        <f t="shared" si="268"/>
        <v>2010</v>
      </c>
      <c r="F1191" s="3">
        <f t="shared" si="269"/>
        <v>10</v>
      </c>
      <c r="G1191" s="3">
        <f t="shared" si="270"/>
        <v>12</v>
      </c>
      <c r="H1191" s="3">
        <f t="shared" si="271"/>
        <v>21</v>
      </c>
      <c r="I1191" s="3">
        <f t="shared" si="272"/>
        <v>59</v>
      </c>
      <c r="J1191" s="3">
        <f t="shared" si="273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74"/>
        <v>YES</v>
      </c>
      <c r="Q1191" t="str">
        <f t="shared" si="275"/>
        <v>NO</v>
      </c>
      <c r="R1191" t="str">
        <f t="shared" si="276"/>
        <v>NO</v>
      </c>
      <c r="T1191" t="s">
        <v>2050</v>
      </c>
      <c r="U1191" t="str">
        <f t="shared" si="263"/>
        <v>Portsmouth St</v>
      </c>
      <c r="V1191" t="s">
        <v>587</v>
      </c>
      <c r="W1191" t="str">
        <f t="shared" si="264"/>
        <v>Webster Ave</v>
      </c>
      <c r="X1191" t="str">
        <f>IF(ISBLANK(S1191),"Intersection","Non-Intersection")</f>
        <v>Intersection</v>
      </c>
      <c r="Y1191" t="s">
        <v>2051</v>
      </c>
      <c r="Z1191" t="str">
        <f t="shared" si="265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66"/>
        <v>40179</v>
      </c>
      <c r="D1192" s="4">
        <f t="shared" si="267"/>
        <v>0.77808219178082194</v>
      </c>
      <c r="E1192" s="3">
        <f t="shared" si="268"/>
        <v>2010</v>
      </c>
      <c r="F1192" s="3">
        <f t="shared" si="269"/>
        <v>10</v>
      </c>
      <c r="G1192" s="3">
        <f t="shared" si="270"/>
        <v>12</v>
      </c>
      <c r="H1192" s="3">
        <f t="shared" si="271"/>
        <v>21</v>
      </c>
      <c r="I1192" s="3">
        <f t="shared" si="272"/>
        <v>30</v>
      </c>
      <c r="J1192" s="3">
        <f t="shared" si="273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74"/>
        <v>YES</v>
      </c>
      <c r="Q1192" t="str">
        <f t="shared" si="275"/>
        <v>NO</v>
      </c>
      <c r="R1192" t="str">
        <f t="shared" si="276"/>
        <v>NO</v>
      </c>
      <c r="S1192">
        <v>81</v>
      </c>
      <c r="T1192" t="s">
        <v>104</v>
      </c>
      <c r="U1192" t="str">
        <f t="shared" si="263"/>
        <v>Inman St</v>
      </c>
      <c r="W1192" t="str">
        <f t="shared" si="264"/>
        <v/>
      </c>
      <c r="X1192" t="str">
        <f>IF(ISBLANK(S1192),"Intersection","Non-Intersection")</f>
        <v>Non-Intersection</v>
      </c>
      <c r="Y1192" t="s">
        <v>2053</v>
      </c>
      <c r="Z1192" t="str">
        <f t="shared" si="265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66"/>
        <v>40179</v>
      </c>
      <c r="D1193" s="4">
        <f t="shared" si="267"/>
        <v>0.77808219178082194</v>
      </c>
      <c r="E1193" s="3">
        <f t="shared" si="268"/>
        <v>2010</v>
      </c>
      <c r="F1193" s="3">
        <f t="shared" si="269"/>
        <v>10</v>
      </c>
      <c r="G1193" s="3">
        <f t="shared" si="270"/>
        <v>12</v>
      </c>
      <c r="H1193" s="3">
        <f t="shared" si="271"/>
        <v>14</v>
      </c>
      <c r="I1193" s="3">
        <f t="shared" si="272"/>
        <v>12</v>
      </c>
      <c r="J1193" s="3">
        <f t="shared" si="273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74"/>
        <v>YES</v>
      </c>
      <c r="Q1193" t="str">
        <f t="shared" si="275"/>
        <v>NO</v>
      </c>
      <c r="R1193" t="str">
        <f t="shared" si="276"/>
        <v>NO</v>
      </c>
      <c r="T1193" t="s">
        <v>2055</v>
      </c>
      <c r="U1193" t="str">
        <f t="shared" si="263"/>
        <v>Aberdeen Ct</v>
      </c>
      <c r="V1193" t="s">
        <v>198</v>
      </c>
      <c r="W1193" t="str">
        <f t="shared" si="264"/>
        <v>Mount Auburn St</v>
      </c>
      <c r="X1193" t="str">
        <f>IF(ISBLANK(S1193),"Intersection","Non-Intersection")</f>
        <v>Intersection</v>
      </c>
      <c r="Y1193" t="s">
        <v>2056</v>
      </c>
      <c r="Z1193" t="str">
        <f t="shared" si="265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66"/>
        <v>40179</v>
      </c>
      <c r="D1194" s="4">
        <f t="shared" si="267"/>
        <v>0.77808219178082194</v>
      </c>
      <c r="E1194" s="3">
        <f t="shared" si="268"/>
        <v>2010</v>
      </c>
      <c r="F1194" s="3">
        <f t="shared" si="269"/>
        <v>10</v>
      </c>
      <c r="G1194" s="3">
        <f t="shared" si="270"/>
        <v>12</v>
      </c>
      <c r="H1194" s="3">
        <f t="shared" si="271"/>
        <v>9</v>
      </c>
      <c r="I1194" s="3">
        <f t="shared" si="272"/>
        <v>59</v>
      </c>
      <c r="J1194" s="3">
        <f t="shared" si="273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74"/>
        <v>YES</v>
      </c>
      <c r="Q1194" t="str">
        <f t="shared" si="275"/>
        <v>NO</v>
      </c>
      <c r="R1194" t="str">
        <f t="shared" si="276"/>
        <v>NO</v>
      </c>
      <c r="S1194">
        <v>130</v>
      </c>
      <c r="T1194" t="s">
        <v>316</v>
      </c>
      <c r="U1194" t="str">
        <f t="shared" si="263"/>
        <v>Bishop Allen Dr</v>
      </c>
      <c r="W1194" t="str">
        <f t="shared" si="264"/>
        <v/>
      </c>
      <c r="X1194" t="str">
        <f>IF(ISBLANK(S1194),"Intersection","Non-Intersection")</f>
        <v>Non-Intersection</v>
      </c>
      <c r="Y1194" t="s">
        <v>731</v>
      </c>
      <c r="Z1194" t="str">
        <f t="shared" si="265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66"/>
        <v>40179</v>
      </c>
      <c r="D1195" s="4">
        <f t="shared" si="267"/>
        <v>0.78082191780821919</v>
      </c>
      <c r="E1195" s="3">
        <f t="shared" si="268"/>
        <v>2010</v>
      </c>
      <c r="F1195" s="3">
        <f t="shared" si="269"/>
        <v>10</v>
      </c>
      <c r="G1195" s="3">
        <f t="shared" si="270"/>
        <v>13</v>
      </c>
      <c r="H1195" s="3">
        <f t="shared" si="271"/>
        <v>22</v>
      </c>
      <c r="I1195" s="3">
        <f t="shared" si="272"/>
        <v>11</v>
      </c>
      <c r="J1195" s="3">
        <f t="shared" si="273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74"/>
        <v>YES</v>
      </c>
      <c r="Q1195" t="str">
        <f t="shared" si="275"/>
        <v>NO</v>
      </c>
      <c r="R1195" t="str">
        <f t="shared" si="276"/>
        <v>NO</v>
      </c>
      <c r="S1195">
        <v>1691</v>
      </c>
      <c r="T1195" t="s">
        <v>19</v>
      </c>
      <c r="U1195" t="str">
        <f t="shared" si="263"/>
        <v>Cambridge St</v>
      </c>
      <c r="W1195" t="str">
        <f t="shared" si="264"/>
        <v/>
      </c>
      <c r="X1195" t="str">
        <f>IF(ISBLANK(S1195),"Intersection","Non-Intersection")</f>
        <v>Non-Intersection</v>
      </c>
      <c r="Y1195" t="s">
        <v>727</v>
      </c>
      <c r="Z1195" t="str">
        <f t="shared" si="265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66"/>
        <v>40179</v>
      </c>
      <c r="D1196" s="4">
        <f t="shared" si="267"/>
        <v>0.78082191780821919</v>
      </c>
      <c r="E1196" s="3">
        <f t="shared" si="268"/>
        <v>2010</v>
      </c>
      <c r="F1196" s="3">
        <f t="shared" si="269"/>
        <v>10</v>
      </c>
      <c r="G1196" s="3">
        <f t="shared" si="270"/>
        <v>13</v>
      </c>
      <c r="H1196" s="3">
        <f t="shared" si="271"/>
        <v>10</v>
      </c>
      <c r="I1196" s="3">
        <f t="shared" si="272"/>
        <v>19</v>
      </c>
      <c r="J1196" s="3">
        <f t="shared" si="273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74"/>
        <v>YES</v>
      </c>
      <c r="Q1196" t="str">
        <f t="shared" si="275"/>
        <v>YES</v>
      </c>
      <c r="R1196" t="str">
        <f t="shared" si="276"/>
        <v>NO</v>
      </c>
      <c r="T1196" t="s">
        <v>101</v>
      </c>
      <c r="U1196" t="str">
        <f t="shared" si="263"/>
        <v>Columbia St</v>
      </c>
      <c r="V1196" t="s">
        <v>1903</v>
      </c>
      <c r="W1196" t="str">
        <f t="shared" si="264"/>
        <v>Lincoln St</v>
      </c>
      <c r="X1196" t="str">
        <f>IF(ISBLANK(S1196),"Intersection","Non-Intersection")</f>
        <v>Intersection</v>
      </c>
      <c r="Y1196" t="s">
        <v>2058</v>
      </c>
      <c r="Z1196" t="str">
        <f t="shared" si="265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66"/>
        <v>40179</v>
      </c>
      <c r="D1197" s="4">
        <f t="shared" si="267"/>
        <v>0.78082191780821919</v>
      </c>
      <c r="E1197" s="3">
        <f t="shared" si="268"/>
        <v>2010</v>
      </c>
      <c r="F1197" s="3">
        <f t="shared" si="269"/>
        <v>10</v>
      </c>
      <c r="G1197" s="3">
        <f t="shared" si="270"/>
        <v>13</v>
      </c>
      <c r="H1197" s="3">
        <f t="shared" si="271"/>
        <v>17</v>
      </c>
      <c r="I1197" s="3">
        <f t="shared" si="272"/>
        <v>32</v>
      </c>
      <c r="J1197" s="3">
        <f t="shared" si="273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74"/>
        <v>YES</v>
      </c>
      <c r="Q1197" t="str">
        <f t="shared" si="275"/>
        <v>NO</v>
      </c>
      <c r="R1197" t="str">
        <f t="shared" si="276"/>
        <v>NO</v>
      </c>
      <c r="T1197" t="s">
        <v>601</v>
      </c>
      <c r="U1197" t="str">
        <f t="shared" si="263"/>
        <v>Cedar St</v>
      </c>
      <c r="V1197" t="s">
        <v>2060</v>
      </c>
      <c r="W1197" t="str">
        <f t="shared" si="264"/>
        <v>Harvey St</v>
      </c>
      <c r="X1197" t="str">
        <f>IF(ISBLANK(S1197),"Intersection","Non-Intersection")</f>
        <v>Intersection</v>
      </c>
      <c r="Y1197" t="s">
        <v>2061</v>
      </c>
      <c r="Z1197" t="str">
        <f t="shared" si="265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66"/>
        <v>40179</v>
      </c>
      <c r="D1198" s="4">
        <f t="shared" si="267"/>
        <v>0.78356164383561644</v>
      </c>
      <c r="E1198" s="3">
        <f t="shared" si="268"/>
        <v>2010</v>
      </c>
      <c r="F1198" s="3">
        <f t="shared" si="269"/>
        <v>10</v>
      </c>
      <c r="G1198" s="3">
        <f t="shared" si="270"/>
        <v>14</v>
      </c>
      <c r="H1198" s="3">
        <f t="shared" si="271"/>
        <v>8</v>
      </c>
      <c r="I1198" s="3">
        <f t="shared" si="272"/>
        <v>15</v>
      </c>
      <c r="J1198" s="3">
        <f t="shared" si="273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74"/>
        <v>YES</v>
      </c>
      <c r="Q1198" t="str">
        <f t="shared" si="275"/>
        <v>NO</v>
      </c>
      <c r="R1198" t="str">
        <f t="shared" si="276"/>
        <v>NO</v>
      </c>
      <c r="T1198" t="s">
        <v>1226</v>
      </c>
      <c r="U1198" t="str">
        <f t="shared" si="263"/>
        <v>Dana St</v>
      </c>
      <c r="V1198" t="s">
        <v>14</v>
      </c>
      <c r="W1198" t="str">
        <f t="shared" si="264"/>
        <v>Massachusetts Ave</v>
      </c>
      <c r="X1198" t="str">
        <f>IF(ISBLANK(S1198),"Intersection","Non-Intersection")</f>
        <v>Intersection</v>
      </c>
      <c r="Y1198" t="s">
        <v>2063</v>
      </c>
      <c r="Z1198" t="str">
        <f t="shared" si="265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66"/>
        <v>40179</v>
      </c>
      <c r="D1199" s="4">
        <f t="shared" si="267"/>
        <v>0.78630136986301369</v>
      </c>
      <c r="E1199" s="3">
        <f t="shared" si="268"/>
        <v>2010</v>
      </c>
      <c r="F1199" s="3">
        <f t="shared" si="269"/>
        <v>10</v>
      </c>
      <c r="G1199" s="3">
        <f t="shared" si="270"/>
        <v>15</v>
      </c>
      <c r="H1199" s="3">
        <f t="shared" si="271"/>
        <v>11</v>
      </c>
      <c r="I1199" s="3">
        <f t="shared" si="272"/>
        <v>29</v>
      </c>
      <c r="J1199" s="3">
        <f t="shared" si="273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74"/>
        <v>YES</v>
      </c>
      <c r="Q1199" t="str">
        <f t="shared" si="275"/>
        <v>NO</v>
      </c>
      <c r="R1199" t="str">
        <f t="shared" si="276"/>
        <v>NO</v>
      </c>
      <c r="T1199" t="s">
        <v>1438</v>
      </c>
      <c r="U1199" t="str">
        <f t="shared" si="263"/>
        <v>Dunster St</v>
      </c>
      <c r="V1199" t="s">
        <v>198</v>
      </c>
      <c r="W1199" t="str">
        <f t="shared" si="264"/>
        <v>Mount Auburn St</v>
      </c>
      <c r="X1199" t="str">
        <f>IF(ISBLANK(S1199),"Intersection","Non-Intersection")</f>
        <v>Intersection</v>
      </c>
      <c r="Y1199" t="s">
        <v>1786</v>
      </c>
      <c r="Z1199" t="str">
        <f t="shared" si="265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66"/>
        <v>40179</v>
      </c>
      <c r="D1200" s="4">
        <f t="shared" si="267"/>
        <v>0.78630136986301369</v>
      </c>
      <c r="E1200" s="3">
        <f t="shared" si="268"/>
        <v>2010</v>
      </c>
      <c r="F1200" s="3">
        <f t="shared" si="269"/>
        <v>10</v>
      </c>
      <c r="G1200" s="3">
        <f t="shared" si="270"/>
        <v>15</v>
      </c>
      <c r="H1200" s="3">
        <f t="shared" si="271"/>
        <v>6</v>
      </c>
      <c r="I1200" s="3">
        <f t="shared" si="272"/>
        <v>59</v>
      </c>
      <c r="J1200" s="3">
        <f t="shared" si="273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74"/>
        <v>YES</v>
      </c>
      <c r="Q1200" t="str">
        <f t="shared" si="275"/>
        <v>NO</v>
      </c>
      <c r="R1200" t="str">
        <f t="shared" si="276"/>
        <v>NO</v>
      </c>
      <c r="T1200" t="s">
        <v>101</v>
      </c>
      <c r="U1200" t="str">
        <f t="shared" si="263"/>
        <v>Columbia St</v>
      </c>
      <c r="V1200" t="s">
        <v>316</v>
      </c>
      <c r="W1200" t="str">
        <f t="shared" si="264"/>
        <v>Bishop Allen Dr</v>
      </c>
      <c r="X1200" t="str">
        <f>IF(ISBLANK(S1200),"Intersection","Non-Intersection")</f>
        <v>Intersection</v>
      </c>
      <c r="Y1200" t="s">
        <v>2065</v>
      </c>
      <c r="Z1200" t="str">
        <f t="shared" si="265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66"/>
        <v>40179</v>
      </c>
      <c r="D1201" s="4">
        <f t="shared" si="267"/>
        <v>0.78630136986301369</v>
      </c>
      <c r="E1201" s="3">
        <f t="shared" si="268"/>
        <v>2010</v>
      </c>
      <c r="F1201" s="3">
        <f t="shared" si="269"/>
        <v>10</v>
      </c>
      <c r="G1201" s="3">
        <f t="shared" si="270"/>
        <v>15</v>
      </c>
      <c r="H1201" s="3">
        <f t="shared" si="271"/>
        <v>8</v>
      </c>
      <c r="I1201" s="3">
        <f t="shared" si="272"/>
        <v>55</v>
      </c>
      <c r="J1201" s="3">
        <f t="shared" si="273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74"/>
        <v>YES</v>
      </c>
      <c r="Q1201" t="str">
        <f t="shared" si="275"/>
        <v>NO</v>
      </c>
      <c r="R1201" t="str">
        <f t="shared" si="276"/>
        <v>NO</v>
      </c>
      <c r="S1201">
        <v>49</v>
      </c>
      <c r="T1201" t="s">
        <v>675</v>
      </c>
      <c r="U1201" t="str">
        <f t="shared" si="263"/>
        <v>Roseland St</v>
      </c>
      <c r="W1201" t="str">
        <f t="shared" si="264"/>
        <v/>
      </c>
      <c r="X1201" t="str">
        <f>IF(ISBLANK(S1201),"Intersection","Non-Intersection")</f>
        <v>Non-Intersection</v>
      </c>
      <c r="Y1201" t="s">
        <v>676</v>
      </c>
      <c r="Z1201" t="str">
        <f t="shared" si="265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66"/>
        <v>40179</v>
      </c>
      <c r="D1202" s="4">
        <f t="shared" si="267"/>
        <v>0.78630136986301369</v>
      </c>
      <c r="E1202" s="3">
        <f t="shared" si="268"/>
        <v>2010</v>
      </c>
      <c r="F1202" s="3">
        <f t="shared" si="269"/>
        <v>10</v>
      </c>
      <c r="G1202" s="3">
        <f t="shared" si="270"/>
        <v>15</v>
      </c>
      <c r="H1202" s="3">
        <f t="shared" si="271"/>
        <v>15</v>
      </c>
      <c r="I1202" s="3">
        <f t="shared" si="272"/>
        <v>0</v>
      </c>
      <c r="J1202" s="3">
        <f t="shared" si="273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74"/>
        <v>YES</v>
      </c>
      <c r="Q1202" t="str">
        <f t="shared" si="275"/>
        <v>NO</v>
      </c>
      <c r="R1202" t="str">
        <f t="shared" si="276"/>
        <v>NO</v>
      </c>
      <c r="S1202">
        <v>810</v>
      </c>
      <c r="T1202" t="s">
        <v>203</v>
      </c>
      <c r="U1202" t="str">
        <f t="shared" si="263"/>
        <v>Memorial Dr</v>
      </c>
      <c r="W1202" t="str">
        <f t="shared" si="264"/>
        <v/>
      </c>
      <c r="X1202" t="str">
        <f>IF(ISBLANK(S1202),"Intersection","Non-Intersection")</f>
        <v>Non-Intersection</v>
      </c>
      <c r="Y1202" t="s">
        <v>2066</v>
      </c>
      <c r="Z1202" t="str">
        <f t="shared" si="265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66"/>
        <v>40179</v>
      </c>
      <c r="D1203" s="4">
        <f t="shared" si="267"/>
        <v>0.78630136986301369</v>
      </c>
      <c r="E1203" s="3">
        <f t="shared" si="268"/>
        <v>2010</v>
      </c>
      <c r="F1203" s="3">
        <f t="shared" si="269"/>
        <v>10</v>
      </c>
      <c r="G1203" s="3">
        <f t="shared" si="270"/>
        <v>15</v>
      </c>
      <c r="H1203" s="3">
        <f t="shared" si="271"/>
        <v>20</v>
      </c>
      <c r="I1203" s="3">
        <f t="shared" si="272"/>
        <v>0</v>
      </c>
      <c r="J1203" s="3">
        <f t="shared" si="273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74"/>
        <v>YES</v>
      </c>
      <c r="Q1203" t="str">
        <f t="shared" si="275"/>
        <v>NO</v>
      </c>
      <c r="R1203" t="str">
        <f t="shared" si="276"/>
        <v>YES</v>
      </c>
      <c r="T1203" t="s">
        <v>15</v>
      </c>
      <c r="U1203" t="str">
        <f t="shared" si="263"/>
        <v>Rindge Ave</v>
      </c>
      <c r="W1203" t="str">
        <f t="shared" si="264"/>
        <v/>
      </c>
      <c r="X1203" t="str">
        <f>IF(ISBLANK(S1203),"Intersection","Non-Intersection")</f>
        <v>Intersection</v>
      </c>
      <c r="Y1203" t="s">
        <v>2068</v>
      </c>
      <c r="Z1203" t="str">
        <f t="shared" si="265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66"/>
        <v>40179</v>
      </c>
      <c r="D1204" s="4">
        <f t="shared" si="267"/>
        <v>0.78630136986301369</v>
      </c>
      <c r="E1204" s="3">
        <f t="shared" si="268"/>
        <v>2010</v>
      </c>
      <c r="F1204" s="3">
        <f t="shared" si="269"/>
        <v>10</v>
      </c>
      <c r="G1204" s="3">
        <f t="shared" si="270"/>
        <v>15</v>
      </c>
      <c r="H1204" s="3">
        <f t="shared" si="271"/>
        <v>10</v>
      </c>
      <c r="I1204" s="3">
        <f t="shared" si="272"/>
        <v>15</v>
      </c>
      <c r="J1204" s="3">
        <f t="shared" si="273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74"/>
        <v>YES</v>
      </c>
      <c r="Q1204" t="str">
        <f t="shared" si="275"/>
        <v>NO</v>
      </c>
      <c r="R1204" t="str">
        <f t="shared" si="276"/>
        <v>NO</v>
      </c>
      <c r="T1204" t="s">
        <v>186</v>
      </c>
      <c r="U1204" t="str">
        <f t="shared" si="263"/>
        <v>Concord Ave</v>
      </c>
      <c r="V1204" t="s">
        <v>409</v>
      </c>
      <c r="W1204" t="str">
        <f t="shared" si="264"/>
        <v>Appleton St</v>
      </c>
      <c r="X1204" t="str">
        <f>IF(ISBLANK(S1204),"Intersection","Non-Intersection")</f>
        <v>Intersection</v>
      </c>
      <c r="Y1204" t="s">
        <v>886</v>
      </c>
      <c r="Z1204" t="str">
        <f t="shared" si="265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66"/>
        <v>40179</v>
      </c>
      <c r="D1205" s="4">
        <f t="shared" si="267"/>
        <v>0.78904109589041094</v>
      </c>
      <c r="E1205" s="3">
        <f t="shared" si="268"/>
        <v>2010</v>
      </c>
      <c r="F1205" s="3">
        <f t="shared" si="269"/>
        <v>10</v>
      </c>
      <c r="G1205" s="3">
        <f t="shared" si="270"/>
        <v>16</v>
      </c>
      <c r="H1205" s="3">
        <f t="shared" si="271"/>
        <v>23</v>
      </c>
      <c r="I1205" s="3">
        <f t="shared" si="272"/>
        <v>16</v>
      </c>
      <c r="J1205" s="3">
        <f t="shared" si="273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74"/>
        <v>YES</v>
      </c>
      <c r="Q1205" t="str">
        <f t="shared" si="275"/>
        <v>NO</v>
      </c>
      <c r="R1205" t="str">
        <f t="shared" si="276"/>
        <v>NO</v>
      </c>
      <c r="S1205">
        <v>262</v>
      </c>
      <c r="T1205" t="s">
        <v>53</v>
      </c>
      <c r="U1205" t="str">
        <f t="shared" si="263"/>
        <v>Monsignor Obrien Hwy</v>
      </c>
      <c r="W1205" t="str">
        <f t="shared" si="264"/>
        <v/>
      </c>
      <c r="X1205" t="str">
        <f>IF(ISBLANK(S1205),"Intersection","Non-Intersection")</f>
        <v>Non-Intersection</v>
      </c>
      <c r="Y1205" t="s">
        <v>2069</v>
      </c>
      <c r="Z1205" t="str">
        <f t="shared" si="265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66"/>
        <v>40179</v>
      </c>
      <c r="D1206" s="4">
        <f t="shared" si="267"/>
        <v>0.79178082191780819</v>
      </c>
      <c r="E1206" s="3">
        <f t="shared" si="268"/>
        <v>2010</v>
      </c>
      <c r="F1206" s="3">
        <f t="shared" si="269"/>
        <v>10</v>
      </c>
      <c r="G1206" s="3">
        <f t="shared" si="270"/>
        <v>17</v>
      </c>
      <c r="H1206" s="3">
        <f t="shared" si="271"/>
        <v>20</v>
      </c>
      <c r="I1206" s="3">
        <f t="shared" si="272"/>
        <v>13</v>
      </c>
      <c r="J1206" s="3">
        <f t="shared" si="273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74"/>
        <v>YES</v>
      </c>
      <c r="Q1206" t="str">
        <f t="shared" si="275"/>
        <v>NO</v>
      </c>
      <c r="R1206" t="str">
        <f t="shared" si="276"/>
        <v>NO</v>
      </c>
      <c r="T1206" t="s">
        <v>365</v>
      </c>
      <c r="U1206" t="str">
        <f t="shared" si="263"/>
        <v>Hurley St</v>
      </c>
      <c r="V1206" t="s">
        <v>993</v>
      </c>
      <c r="W1206" t="str">
        <f t="shared" si="264"/>
        <v>Fifth St</v>
      </c>
      <c r="X1206" t="str">
        <f>IF(ISBLANK(S1206),"Intersection","Non-Intersection")</f>
        <v>Intersection</v>
      </c>
      <c r="Y1206" t="s">
        <v>2071</v>
      </c>
      <c r="Z1206" t="str">
        <f t="shared" si="265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66"/>
        <v>40179</v>
      </c>
      <c r="D1207" s="4">
        <f t="shared" si="267"/>
        <v>0.79178082191780819</v>
      </c>
      <c r="E1207" s="3">
        <f t="shared" si="268"/>
        <v>2010</v>
      </c>
      <c r="F1207" s="3">
        <f t="shared" si="269"/>
        <v>10</v>
      </c>
      <c r="G1207" s="3">
        <f t="shared" si="270"/>
        <v>17</v>
      </c>
      <c r="H1207" s="3">
        <f t="shared" si="271"/>
        <v>23</v>
      </c>
      <c r="I1207" s="3">
        <f t="shared" si="272"/>
        <v>10</v>
      </c>
      <c r="J1207" s="3">
        <f t="shared" si="273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74"/>
        <v>YES</v>
      </c>
      <c r="Q1207" t="str">
        <f t="shared" si="275"/>
        <v>YES</v>
      </c>
      <c r="R1207" t="str">
        <f t="shared" si="276"/>
        <v>NO</v>
      </c>
      <c r="T1207" t="s">
        <v>342</v>
      </c>
      <c r="U1207" t="str">
        <f t="shared" si="263"/>
        <v>Prospect St</v>
      </c>
      <c r="V1207" t="s">
        <v>74</v>
      </c>
      <c r="W1207" t="str">
        <f t="shared" si="264"/>
        <v>Hampshire St</v>
      </c>
      <c r="X1207" t="str">
        <f>IF(ISBLANK(S1207),"Intersection","Non-Intersection")</f>
        <v>Intersection</v>
      </c>
      <c r="Y1207" t="s">
        <v>964</v>
      </c>
      <c r="Z1207" t="str">
        <f t="shared" si="265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66"/>
        <v>40179</v>
      </c>
      <c r="D1208" s="4">
        <f t="shared" si="267"/>
        <v>0.79178082191780819</v>
      </c>
      <c r="E1208" s="3">
        <f t="shared" si="268"/>
        <v>2010</v>
      </c>
      <c r="F1208" s="3">
        <f t="shared" si="269"/>
        <v>10</v>
      </c>
      <c r="G1208" s="3">
        <f t="shared" si="270"/>
        <v>17</v>
      </c>
      <c r="H1208" s="3">
        <f t="shared" si="271"/>
        <v>14</v>
      </c>
      <c r="I1208" s="3">
        <f t="shared" si="272"/>
        <v>45</v>
      </c>
      <c r="J1208" s="3">
        <f t="shared" si="273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74"/>
        <v>YES</v>
      </c>
      <c r="Q1208" t="str">
        <f t="shared" si="275"/>
        <v>NO</v>
      </c>
      <c r="R1208" t="str">
        <f t="shared" si="276"/>
        <v>NO</v>
      </c>
      <c r="S1208">
        <v>206</v>
      </c>
      <c r="T1208" t="s">
        <v>108</v>
      </c>
      <c r="U1208" t="str">
        <f t="shared" si="263"/>
        <v>Franklin St</v>
      </c>
      <c r="W1208" t="str">
        <f t="shared" si="264"/>
        <v/>
      </c>
      <c r="X1208" t="str">
        <f>IF(ISBLANK(S1208),"Intersection","Non-Intersection")</f>
        <v>Non-Intersection</v>
      </c>
      <c r="Y1208" t="s">
        <v>2073</v>
      </c>
      <c r="Z1208" t="str">
        <f t="shared" si="265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66"/>
        <v>40179</v>
      </c>
      <c r="D1209" s="4">
        <f t="shared" si="267"/>
        <v>0.79178082191780819</v>
      </c>
      <c r="E1209" s="3">
        <f t="shared" si="268"/>
        <v>2010</v>
      </c>
      <c r="F1209" s="3">
        <f t="shared" si="269"/>
        <v>10</v>
      </c>
      <c r="G1209" s="3">
        <f t="shared" si="270"/>
        <v>17</v>
      </c>
      <c r="H1209" s="3">
        <f t="shared" si="271"/>
        <v>9</v>
      </c>
      <c r="I1209" s="3">
        <f t="shared" si="272"/>
        <v>20</v>
      </c>
      <c r="J1209" s="3">
        <f t="shared" si="273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74"/>
        <v>YES</v>
      </c>
      <c r="Q1209" t="str">
        <f t="shared" si="275"/>
        <v>NO</v>
      </c>
      <c r="R1209" t="str">
        <f t="shared" si="276"/>
        <v>NO</v>
      </c>
      <c r="T1209" t="s">
        <v>185</v>
      </c>
      <c r="U1209" t="str">
        <f t="shared" si="263"/>
        <v>Garden St</v>
      </c>
      <c r="V1209" t="s">
        <v>97</v>
      </c>
      <c r="W1209" t="str">
        <f t="shared" si="264"/>
        <v>Peabody St</v>
      </c>
      <c r="X1209" t="str">
        <f>IF(ISBLANK(S1209),"Intersection","Non-Intersection")</f>
        <v>Intersection</v>
      </c>
      <c r="Y1209" t="s">
        <v>2075</v>
      </c>
      <c r="Z1209" t="str">
        <f t="shared" si="265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66"/>
        <v>40179</v>
      </c>
      <c r="D1210" s="4">
        <f t="shared" si="267"/>
        <v>0.79452054794520544</v>
      </c>
      <c r="E1210" s="3">
        <f t="shared" si="268"/>
        <v>2010</v>
      </c>
      <c r="F1210" s="3">
        <f t="shared" si="269"/>
        <v>10</v>
      </c>
      <c r="G1210" s="3">
        <f t="shared" si="270"/>
        <v>18</v>
      </c>
      <c r="H1210" s="3">
        <f t="shared" si="271"/>
        <v>8</v>
      </c>
      <c r="I1210" s="3">
        <f t="shared" si="272"/>
        <v>29</v>
      </c>
      <c r="J1210" s="3">
        <f t="shared" si="273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74"/>
        <v>YES</v>
      </c>
      <c r="Q1210" t="str">
        <f t="shared" si="275"/>
        <v>YES</v>
      </c>
      <c r="R1210" t="str">
        <f t="shared" si="276"/>
        <v>NO</v>
      </c>
      <c r="T1210" t="s">
        <v>14</v>
      </c>
      <c r="U1210" t="str">
        <f t="shared" si="263"/>
        <v>Massachusetts Ave</v>
      </c>
      <c r="V1210" t="s">
        <v>249</v>
      </c>
      <c r="W1210" t="str">
        <f t="shared" si="264"/>
        <v>Landsdowne St</v>
      </c>
      <c r="X1210" t="str">
        <f>IF(ISBLANK(S1210),"Intersection","Non-Intersection")</f>
        <v>Intersection</v>
      </c>
      <c r="Y1210" t="s">
        <v>250</v>
      </c>
      <c r="Z1210" t="str">
        <f t="shared" si="265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66"/>
        <v>40179</v>
      </c>
      <c r="D1211" s="4">
        <f t="shared" si="267"/>
        <v>0.79452054794520544</v>
      </c>
      <c r="E1211" s="3">
        <f t="shared" si="268"/>
        <v>2010</v>
      </c>
      <c r="F1211" s="3">
        <f t="shared" si="269"/>
        <v>10</v>
      </c>
      <c r="G1211" s="3">
        <f t="shared" si="270"/>
        <v>18</v>
      </c>
      <c r="H1211" s="3">
        <f t="shared" si="271"/>
        <v>9</v>
      </c>
      <c r="I1211" s="3">
        <f t="shared" si="272"/>
        <v>0</v>
      </c>
      <c r="J1211" s="3">
        <f t="shared" si="273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74"/>
        <v>YES</v>
      </c>
      <c r="Q1211" t="str">
        <f t="shared" si="275"/>
        <v>NO</v>
      </c>
      <c r="R1211" t="str">
        <f t="shared" si="276"/>
        <v>NO</v>
      </c>
      <c r="T1211" t="s">
        <v>185</v>
      </c>
      <c r="U1211" t="str">
        <f t="shared" si="263"/>
        <v>Garden St</v>
      </c>
      <c r="V1211" t="s">
        <v>14</v>
      </c>
      <c r="W1211" t="str">
        <f t="shared" si="264"/>
        <v>Massachusetts Ave</v>
      </c>
      <c r="X1211" t="str">
        <f>IF(ISBLANK(S1211),"Intersection","Non-Intersection")</f>
        <v>Intersection</v>
      </c>
      <c r="Y1211" t="s">
        <v>1003</v>
      </c>
      <c r="Z1211" t="str">
        <f t="shared" si="265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66"/>
        <v>40179</v>
      </c>
      <c r="D1212" s="4">
        <f t="shared" si="267"/>
        <v>0.79452054794520544</v>
      </c>
      <c r="E1212" s="3">
        <f t="shared" si="268"/>
        <v>2010</v>
      </c>
      <c r="F1212" s="3">
        <f t="shared" si="269"/>
        <v>10</v>
      </c>
      <c r="G1212" s="3">
        <f t="shared" si="270"/>
        <v>18</v>
      </c>
      <c r="H1212" s="3">
        <f t="shared" si="271"/>
        <v>12</v>
      </c>
      <c r="I1212" s="3">
        <f t="shared" si="272"/>
        <v>14</v>
      </c>
      <c r="J1212" s="3">
        <f t="shared" si="273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74"/>
        <v>YES</v>
      </c>
      <c r="Q1212" t="str">
        <f t="shared" si="275"/>
        <v>NO</v>
      </c>
      <c r="R1212" t="str">
        <f t="shared" si="276"/>
        <v>NO</v>
      </c>
      <c r="T1212" t="s">
        <v>14</v>
      </c>
      <c r="U1212" t="str">
        <f t="shared" si="263"/>
        <v>Massachusetts Ave</v>
      </c>
      <c r="V1212" t="s">
        <v>167</v>
      </c>
      <c r="W1212" t="str">
        <f t="shared" si="264"/>
        <v>Wendell St</v>
      </c>
      <c r="X1212" t="str">
        <f>IF(ISBLANK(S1212),"Intersection","Non-Intersection")</f>
        <v>Intersection</v>
      </c>
      <c r="Y1212" t="s">
        <v>817</v>
      </c>
      <c r="Z1212" t="str">
        <f t="shared" si="265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66"/>
        <v>40179</v>
      </c>
      <c r="D1213" s="4">
        <f t="shared" si="267"/>
        <v>0.79452054794520544</v>
      </c>
      <c r="E1213" s="3">
        <f t="shared" si="268"/>
        <v>2010</v>
      </c>
      <c r="F1213" s="3">
        <f t="shared" si="269"/>
        <v>10</v>
      </c>
      <c r="G1213" s="3">
        <f t="shared" si="270"/>
        <v>18</v>
      </c>
      <c r="H1213" s="3">
        <f t="shared" si="271"/>
        <v>14</v>
      </c>
      <c r="I1213" s="3">
        <f t="shared" si="272"/>
        <v>39</v>
      </c>
      <c r="J1213" s="3">
        <f t="shared" si="273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74"/>
        <v>YES</v>
      </c>
      <c r="Q1213" t="str">
        <f t="shared" si="275"/>
        <v>NO</v>
      </c>
      <c r="R1213" t="str">
        <f t="shared" si="276"/>
        <v>NO</v>
      </c>
      <c r="T1213" t="s">
        <v>252</v>
      </c>
      <c r="U1213" t="str">
        <f t="shared" si="263"/>
        <v>Walden St</v>
      </c>
      <c r="V1213" t="s">
        <v>186</v>
      </c>
      <c r="W1213" t="str">
        <f t="shared" si="264"/>
        <v>Concord Ave</v>
      </c>
      <c r="X1213" t="str">
        <f>IF(ISBLANK(S1213),"Intersection","Non-Intersection")</f>
        <v>Intersection</v>
      </c>
      <c r="Y1213" t="s">
        <v>1880</v>
      </c>
      <c r="Z1213" t="str">
        <f t="shared" si="265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66"/>
        <v>40179</v>
      </c>
      <c r="D1214" s="4">
        <f t="shared" si="267"/>
        <v>0.79452054794520544</v>
      </c>
      <c r="E1214" s="3">
        <f t="shared" si="268"/>
        <v>2010</v>
      </c>
      <c r="F1214" s="3">
        <f t="shared" si="269"/>
        <v>10</v>
      </c>
      <c r="G1214" s="3">
        <f t="shared" si="270"/>
        <v>18</v>
      </c>
      <c r="H1214" s="3">
        <f t="shared" si="271"/>
        <v>16</v>
      </c>
      <c r="I1214" s="3">
        <f t="shared" si="272"/>
        <v>8</v>
      </c>
      <c r="J1214" s="3">
        <f t="shared" si="273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74"/>
        <v>YES</v>
      </c>
      <c r="Q1214" t="str">
        <f t="shared" si="275"/>
        <v>NO</v>
      </c>
      <c r="R1214" t="str">
        <f t="shared" si="276"/>
        <v>YES</v>
      </c>
      <c r="T1214" t="s">
        <v>15</v>
      </c>
      <c r="U1214" t="str">
        <f t="shared" si="263"/>
        <v>Rindge Ave</v>
      </c>
      <c r="V1214" t="s">
        <v>864</v>
      </c>
      <c r="W1214" t="str">
        <f t="shared" si="264"/>
        <v>Middlesex St</v>
      </c>
      <c r="X1214" t="str">
        <f>IF(ISBLANK(S1214),"Intersection","Non-Intersection")</f>
        <v>Intersection</v>
      </c>
      <c r="Y1214" t="s">
        <v>1584</v>
      </c>
      <c r="Z1214" t="str">
        <f t="shared" si="265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66"/>
        <v>40179</v>
      </c>
      <c r="D1215" s="4">
        <f t="shared" si="267"/>
        <v>0.79452054794520544</v>
      </c>
      <c r="E1215" s="3">
        <f t="shared" si="268"/>
        <v>2010</v>
      </c>
      <c r="F1215" s="3">
        <f t="shared" si="269"/>
        <v>10</v>
      </c>
      <c r="G1215" s="3">
        <f t="shared" si="270"/>
        <v>18</v>
      </c>
      <c r="H1215" s="3">
        <f t="shared" si="271"/>
        <v>16</v>
      </c>
      <c r="I1215" s="3">
        <f t="shared" si="272"/>
        <v>40</v>
      </c>
      <c r="J1215" s="3">
        <f t="shared" si="273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74"/>
        <v>YES</v>
      </c>
      <c r="Q1215" t="str">
        <f t="shared" si="275"/>
        <v>NO</v>
      </c>
      <c r="R1215" t="str">
        <f t="shared" si="276"/>
        <v>NO</v>
      </c>
      <c r="T1215" t="s">
        <v>19</v>
      </c>
      <c r="U1215" t="str">
        <f t="shared" si="263"/>
        <v>Cambridge St</v>
      </c>
      <c r="V1215" t="s">
        <v>101</v>
      </c>
      <c r="W1215" t="str">
        <f t="shared" si="264"/>
        <v>Columbia St</v>
      </c>
      <c r="X1215" t="str">
        <f>IF(ISBLANK(S1215),"Intersection","Non-Intersection")</f>
        <v>Intersection</v>
      </c>
      <c r="Y1215" t="s">
        <v>438</v>
      </c>
      <c r="Z1215" t="str">
        <f t="shared" si="265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66"/>
        <v>40179</v>
      </c>
      <c r="D1216" s="4">
        <f t="shared" si="267"/>
        <v>0.79452054794520544</v>
      </c>
      <c r="E1216" s="3">
        <f t="shared" si="268"/>
        <v>2010</v>
      </c>
      <c r="F1216" s="3">
        <f t="shared" si="269"/>
        <v>10</v>
      </c>
      <c r="G1216" s="3">
        <f t="shared" si="270"/>
        <v>18</v>
      </c>
      <c r="H1216" s="3">
        <f t="shared" si="271"/>
        <v>8</v>
      </c>
      <c r="I1216" s="3">
        <f t="shared" si="272"/>
        <v>29</v>
      </c>
      <c r="J1216" s="3">
        <f t="shared" si="273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74"/>
        <v>YES</v>
      </c>
      <c r="Q1216" t="str">
        <f t="shared" si="275"/>
        <v>NO</v>
      </c>
      <c r="R1216" t="str">
        <f t="shared" si="276"/>
        <v>NO</v>
      </c>
      <c r="T1216" t="s">
        <v>2060</v>
      </c>
      <c r="U1216" t="str">
        <f t="shared" si="263"/>
        <v>Harvey St</v>
      </c>
      <c r="V1216" t="s">
        <v>2077</v>
      </c>
      <c r="W1216" t="str">
        <f t="shared" si="264"/>
        <v>Harrington Rd</v>
      </c>
      <c r="X1216" t="str">
        <f>IF(ISBLANK(S1216),"Intersection","Non-Intersection")</f>
        <v>Intersection</v>
      </c>
      <c r="Y1216" t="s">
        <v>2078</v>
      </c>
      <c r="Z1216" t="str">
        <f t="shared" si="265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66"/>
        <v>40179</v>
      </c>
      <c r="D1217" s="4">
        <f t="shared" si="267"/>
        <v>0.79452054794520544</v>
      </c>
      <c r="E1217" s="3">
        <f t="shared" si="268"/>
        <v>2010</v>
      </c>
      <c r="F1217" s="3">
        <f t="shared" si="269"/>
        <v>10</v>
      </c>
      <c r="G1217" s="3">
        <f t="shared" si="270"/>
        <v>18</v>
      </c>
      <c r="H1217" s="3">
        <f t="shared" si="271"/>
        <v>9</v>
      </c>
      <c r="I1217" s="3">
        <f t="shared" si="272"/>
        <v>0</v>
      </c>
      <c r="J1217" s="3">
        <f t="shared" si="273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74"/>
        <v>YES</v>
      </c>
      <c r="Q1217" t="str">
        <f t="shared" si="275"/>
        <v>NO</v>
      </c>
      <c r="R1217" t="str">
        <f t="shared" si="276"/>
        <v>NO</v>
      </c>
      <c r="S1217">
        <v>150</v>
      </c>
      <c r="T1217" t="s">
        <v>1752</v>
      </c>
      <c r="U1217" t="str">
        <f t="shared" si="263"/>
        <v>Cambridgepark Dr</v>
      </c>
      <c r="V1217" t="s">
        <v>170</v>
      </c>
      <c r="W1217" t="str">
        <f t="shared" si="264"/>
        <v>Alewife Brook Pky</v>
      </c>
      <c r="X1217" t="str">
        <f>IF(ISBLANK(S1217),"Intersection","Non-Intersection")</f>
        <v>Non-Intersection</v>
      </c>
      <c r="Y1217" t="s">
        <v>2080</v>
      </c>
      <c r="Z1217" t="str">
        <f t="shared" si="265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66"/>
        <v>40179</v>
      </c>
      <c r="D1218" s="4">
        <f t="shared" si="267"/>
        <v>0.79452054794520544</v>
      </c>
      <c r="E1218" s="3">
        <f t="shared" si="268"/>
        <v>2010</v>
      </c>
      <c r="F1218" s="3">
        <f t="shared" si="269"/>
        <v>10</v>
      </c>
      <c r="G1218" s="3">
        <f t="shared" si="270"/>
        <v>18</v>
      </c>
      <c r="H1218" s="3">
        <f t="shared" si="271"/>
        <v>9</v>
      </c>
      <c r="I1218" s="3">
        <f t="shared" si="272"/>
        <v>40</v>
      </c>
      <c r="J1218" s="3">
        <f t="shared" si="273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74"/>
        <v>YES</v>
      </c>
      <c r="Q1218" t="str">
        <f t="shared" si="275"/>
        <v>NO</v>
      </c>
      <c r="R1218" t="str">
        <f t="shared" si="276"/>
        <v>NO</v>
      </c>
      <c r="T1218" t="s">
        <v>252</v>
      </c>
      <c r="U1218" t="str">
        <f t="shared" si="263"/>
        <v>Walden St</v>
      </c>
      <c r="V1218" t="s">
        <v>2082</v>
      </c>
      <c r="W1218" t="str">
        <f t="shared" si="264"/>
        <v>Hutchinson St</v>
      </c>
      <c r="X1218" t="str">
        <f>IF(ISBLANK(S1218),"Intersection","Non-Intersection")</f>
        <v>Intersection</v>
      </c>
      <c r="Y1218" t="s">
        <v>2083</v>
      </c>
      <c r="Z1218" t="str">
        <f t="shared" si="265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66"/>
        <v>40179</v>
      </c>
      <c r="D1219" s="4">
        <f t="shared" si="267"/>
        <v>0.79726027397260268</v>
      </c>
      <c r="E1219" s="3">
        <f t="shared" si="268"/>
        <v>2010</v>
      </c>
      <c r="F1219" s="3">
        <f t="shared" si="269"/>
        <v>10</v>
      </c>
      <c r="G1219" s="3">
        <f t="shared" si="270"/>
        <v>19</v>
      </c>
      <c r="H1219" s="3">
        <f t="shared" si="271"/>
        <v>11</v>
      </c>
      <c r="I1219" s="3">
        <f t="shared" si="272"/>
        <v>49</v>
      </c>
      <c r="J1219" s="3">
        <f t="shared" si="273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74"/>
        <v>YES</v>
      </c>
      <c r="Q1219" t="str">
        <f t="shared" si="275"/>
        <v>NO</v>
      </c>
      <c r="R1219" t="str">
        <f t="shared" si="276"/>
        <v>NO</v>
      </c>
      <c r="T1219" t="s">
        <v>209</v>
      </c>
      <c r="U1219" t="str">
        <f t="shared" ref="U1219:U1282" si="277">TRIM(PROPER(T1219))</f>
        <v>Binney St</v>
      </c>
      <c r="V1219" t="s">
        <v>760</v>
      </c>
      <c r="W1219" t="str">
        <f t="shared" ref="W1219:W1282" si="278">TRIM(PROPER(V1219))</f>
        <v>Fulkerson St</v>
      </c>
      <c r="X1219" t="str">
        <f>IF(ISBLANK(S1219),"Intersection","Non-Intersection")</f>
        <v>Intersection</v>
      </c>
      <c r="Y1219" t="s">
        <v>1532</v>
      </c>
      <c r="Z1219" t="str">
        <f t="shared" ref="Z1219:Z1282" si="27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66"/>
        <v>40179</v>
      </c>
      <c r="D1220" s="4">
        <f t="shared" si="267"/>
        <v>0.79726027397260268</v>
      </c>
      <c r="E1220" s="3">
        <f t="shared" si="268"/>
        <v>2010</v>
      </c>
      <c r="F1220" s="3">
        <f t="shared" si="269"/>
        <v>10</v>
      </c>
      <c r="G1220" s="3">
        <f t="shared" si="270"/>
        <v>19</v>
      </c>
      <c r="H1220" s="3">
        <f t="shared" si="271"/>
        <v>14</v>
      </c>
      <c r="I1220" s="3">
        <f t="shared" si="272"/>
        <v>39</v>
      </c>
      <c r="J1220" s="3">
        <f t="shared" si="273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74"/>
        <v>YES</v>
      </c>
      <c r="Q1220" t="str">
        <f t="shared" si="275"/>
        <v>NO</v>
      </c>
      <c r="R1220" t="str">
        <f t="shared" si="276"/>
        <v>NO</v>
      </c>
      <c r="T1220" t="s">
        <v>203</v>
      </c>
      <c r="U1220" t="str">
        <f t="shared" si="277"/>
        <v>Memorial Dr</v>
      </c>
      <c r="W1220" t="str">
        <f t="shared" si="278"/>
        <v/>
      </c>
      <c r="X1220" t="str">
        <f>IF(ISBLANK(S1220),"Intersection","Non-Intersection")</f>
        <v>Intersection</v>
      </c>
      <c r="Y1220" t="s">
        <v>2085</v>
      </c>
      <c r="Z1220" t="str">
        <f t="shared" si="27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66"/>
        <v>40179</v>
      </c>
      <c r="D1221" s="4">
        <f t="shared" si="267"/>
        <v>0.79726027397260268</v>
      </c>
      <c r="E1221" s="3">
        <f t="shared" si="268"/>
        <v>2010</v>
      </c>
      <c r="F1221" s="3">
        <f t="shared" si="269"/>
        <v>10</v>
      </c>
      <c r="G1221" s="3">
        <f t="shared" si="270"/>
        <v>19</v>
      </c>
      <c r="H1221" s="3">
        <f t="shared" si="271"/>
        <v>15</v>
      </c>
      <c r="I1221" s="3">
        <f t="shared" si="272"/>
        <v>0</v>
      </c>
      <c r="J1221" s="3">
        <f t="shared" si="273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74"/>
        <v>YES</v>
      </c>
      <c r="Q1221" t="str">
        <f t="shared" si="275"/>
        <v>NO</v>
      </c>
      <c r="R1221" t="str">
        <f t="shared" si="276"/>
        <v>NO</v>
      </c>
      <c r="S1221">
        <v>235</v>
      </c>
      <c r="T1221" t="s">
        <v>142</v>
      </c>
      <c r="U1221" t="str">
        <f t="shared" si="277"/>
        <v>Huron Ave</v>
      </c>
      <c r="W1221" t="str">
        <f t="shared" si="278"/>
        <v/>
      </c>
      <c r="X1221" t="str">
        <f>IF(ISBLANK(S1221),"Intersection","Non-Intersection")</f>
        <v>Non-Intersection</v>
      </c>
      <c r="Y1221" t="s">
        <v>2086</v>
      </c>
      <c r="Z1221" t="str">
        <f t="shared" si="27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66"/>
        <v>40179</v>
      </c>
      <c r="D1222" s="4">
        <f t="shared" si="267"/>
        <v>0.8</v>
      </c>
      <c r="E1222" s="3">
        <f t="shared" si="268"/>
        <v>2010</v>
      </c>
      <c r="F1222" s="3">
        <f t="shared" si="269"/>
        <v>10</v>
      </c>
      <c r="G1222" s="3">
        <f t="shared" si="270"/>
        <v>20</v>
      </c>
      <c r="H1222" s="3">
        <f t="shared" si="271"/>
        <v>8</v>
      </c>
      <c r="I1222" s="3">
        <f t="shared" si="272"/>
        <v>10</v>
      </c>
      <c r="J1222" s="3">
        <f t="shared" si="273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74"/>
        <v>YES</v>
      </c>
      <c r="Q1222" t="str">
        <f t="shared" si="275"/>
        <v>NO</v>
      </c>
      <c r="R1222" t="str">
        <f t="shared" si="276"/>
        <v>NO</v>
      </c>
      <c r="U1222" t="str">
        <f t="shared" si="277"/>
        <v/>
      </c>
      <c r="W1222" t="str">
        <f t="shared" si="278"/>
        <v/>
      </c>
      <c r="X1222" t="str">
        <f>IF(ISBLANK(S1222),"Intersection","Non-Intersection")</f>
        <v>Intersection</v>
      </c>
      <c r="Y1222" t="s">
        <v>717</v>
      </c>
      <c r="Z1222" t="str">
        <f t="shared" si="27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280">EOMONTH(B1223,MONTH(B1223)*-1)+1</f>
        <v>40179</v>
      </c>
      <c r="D1223" s="4">
        <f t="shared" ref="D1223:D1284" si="281">YEARFRAC(C1223,B1223,1)</f>
        <v>0.8</v>
      </c>
      <c r="E1223" s="3">
        <f t="shared" ref="E1223:E1284" si="282">YEAR(B1223)</f>
        <v>2010</v>
      </c>
      <c r="F1223" s="3">
        <f t="shared" ref="F1223:F1284" si="283">MONTH(B1223)</f>
        <v>10</v>
      </c>
      <c r="G1223" s="3">
        <f t="shared" ref="G1223:G1284" si="284">DAY(B1223)</f>
        <v>20</v>
      </c>
      <c r="H1223" s="3">
        <f t="shared" ref="H1223:H1284" si="285">HOUR(B1223)</f>
        <v>8</v>
      </c>
      <c r="I1223" s="3">
        <f t="shared" ref="I1223:I1284" si="286">MINUTE(B1223)</f>
        <v>10</v>
      </c>
      <c r="J1223" s="3">
        <f t="shared" ref="J1223:J1284" si="28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288">IF(OR(N1223="Auto",O1223="Auto"),"YES",IF(OR(N1223="Taxi",O1223="Taxi"),"YES",IF(OR(N1223="Van",O1223="Van"),"YES",IF(OR(N1223="Truck",O1223="Truck"),"YES","NO"))))</f>
        <v>YES</v>
      </c>
      <c r="Q1223" t="str">
        <f t="shared" ref="Q1223:Q1284" si="289">IF(OR(N1223="Bicycle",O1223="Bicycle"),"YES","NO")</f>
        <v>NO</v>
      </c>
      <c r="R1223" t="str">
        <f t="shared" ref="R1223:R1284" si="290">IF(OR(N1223="Pedestrian",O1223="Pedestrian"),"YES","NO")</f>
        <v>NO</v>
      </c>
      <c r="S1223">
        <v>61</v>
      </c>
      <c r="T1223" t="s">
        <v>166</v>
      </c>
      <c r="U1223" t="str">
        <f t="shared" si="277"/>
        <v>Oxford Ave</v>
      </c>
      <c r="W1223" t="str">
        <f t="shared" si="278"/>
        <v/>
      </c>
      <c r="X1223" t="str">
        <f>IF(ISBLANK(S1223),"Intersection","Non-Intersection")</f>
        <v>Non-Intersection</v>
      </c>
      <c r="Y1223" t="s">
        <v>2088</v>
      </c>
      <c r="Z1223" t="str">
        <f t="shared" si="27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280"/>
        <v>40179</v>
      </c>
      <c r="D1224" s="4">
        <f t="shared" si="281"/>
        <v>0.8</v>
      </c>
      <c r="E1224" s="3">
        <f t="shared" si="282"/>
        <v>2010</v>
      </c>
      <c r="F1224" s="3">
        <f t="shared" si="283"/>
        <v>10</v>
      </c>
      <c r="G1224" s="3">
        <f t="shared" si="284"/>
        <v>20</v>
      </c>
      <c r="H1224" s="3">
        <f t="shared" si="285"/>
        <v>8</v>
      </c>
      <c r="I1224" s="3">
        <f t="shared" si="286"/>
        <v>39</v>
      </c>
      <c r="J1224" s="3">
        <f t="shared" si="28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288"/>
        <v>YES</v>
      </c>
      <c r="Q1224" t="str">
        <f t="shared" si="289"/>
        <v>NO</v>
      </c>
      <c r="R1224" t="str">
        <f t="shared" si="290"/>
        <v>NO</v>
      </c>
      <c r="S1224">
        <v>55</v>
      </c>
      <c r="T1224" t="s">
        <v>61</v>
      </c>
      <c r="U1224" t="str">
        <f t="shared" si="277"/>
        <v>First St</v>
      </c>
      <c r="W1224" t="str">
        <f t="shared" si="278"/>
        <v/>
      </c>
      <c r="X1224" t="str">
        <f>IF(ISBLANK(S1224),"Intersection","Non-Intersection")</f>
        <v>Non-Intersection</v>
      </c>
      <c r="Y1224" t="s">
        <v>2090</v>
      </c>
      <c r="Z1224" t="str">
        <f t="shared" si="27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280"/>
        <v>40179</v>
      </c>
      <c r="D1225" s="4">
        <f t="shared" si="281"/>
        <v>0.8</v>
      </c>
      <c r="E1225" s="3">
        <f t="shared" si="282"/>
        <v>2010</v>
      </c>
      <c r="F1225" s="3">
        <f t="shared" si="283"/>
        <v>10</v>
      </c>
      <c r="G1225" s="3">
        <f t="shared" si="284"/>
        <v>20</v>
      </c>
      <c r="H1225" s="3">
        <f t="shared" si="285"/>
        <v>17</v>
      </c>
      <c r="I1225" s="3">
        <f t="shared" si="286"/>
        <v>55</v>
      </c>
      <c r="J1225" s="3">
        <f t="shared" si="28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288"/>
        <v>YES</v>
      </c>
      <c r="Q1225" t="str">
        <f t="shared" si="289"/>
        <v>YES</v>
      </c>
      <c r="R1225" t="str">
        <f t="shared" si="290"/>
        <v>NO</v>
      </c>
      <c r="T1225" t="s">
        <v>19</v>
      </c>
      <c r="U1225" t="str">
        <f t="shared" si="277"/>
        <v>Cambridge St</v>
      </c>
      <c r="V1225" t="s">
        <v>101</v>
      </c>
      <c r="W1225" t="str">
        <f t="shared" si="278"/>
        <v>Columbia St</v>
      </c>
      <c r="X1225" t="str">
        <f>IF(ISBLANK(S1225),"Intersection","Non-Intersection")</f>
        <v>Intersection</v>
      </c>
      <c r="Y1225" t="s">
        <v>438</v>
      </c>
      <c r="Z1225" t="str">
        <f t="shared" si="27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280"/>
        <v>40179</v>
      </c>
      <c r="D1226" s="4">
        <f t="shared" si="281"/>
        <v>0.8</v>
      </c>
      <c r="E1226" s="3">
        <f t="shared" si="282"/>
        <v>2010</v>
      </c>
      <c r="F1226" s="3">
        <f t="shared" si="283"/>
        <v>10</v>
      </c>
      <c r="G1226" s="3">
        <f t="shared" si="284"/>
        <v>20</v>
      </c>
      <c r="H1226" s="3">
        <f t="shared" si="285"/>
        <v>14</v>
      </c>
      <c r="I1226" s="3">
        <f t="shared" si="286"/>
        <v>35</v>
      </c>
      <c r="J1226" s="3">
        <f t="shared" si="28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288"/>
        <v>YES</v>
      </c>
      <c r="Q1226" t="str">
        <f t="shared" si="289"/>
        <v>NO</v>
      </c>
      <c r="R1226" t="str">
        <f t="shared" si="290"/>
        <v>NO</v>
      </c>
      <c r="S1226">
        <v>799</v>
      </c>
      <c r="T1226" t="s">
        <v>186</v>
      </c>
      <c r="U1226" t="str">
        <f t="shared" si="277"/>
        <v>Concord Ave</v>
      </c>
      <c r="W1226" t="str">
        <f t="shared" si="278"/>
        <v/>
      </c>
      <c r="X1226" t="str">
        <f>IF(ISBLANK(S1226),"Intersection","Non-Intersection")</f>
        <v>Non-Intersection</v>
      </c>
      <c r="Y1226" t="s">
        <v>482</v>
      </c>
      <c r="Z1226" t="str">
        <f t="shared" si="27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280"/>
        <v>40179</v>
      </c>
      <c r="D1227" s="4">
        <f t="shared" si="281"/>
        <v>0.80273972602739729</v>
      </c>
      <c r="E1227" s="3">
        <f t="shared" si="282"/>
        <v>2010</v>
      </c>
      <c r="F1227" s="3">
        <f t="shared" si="283"/>
        <v>10</v>
      </c>
      <c r="G1227" s="3">
        <f t="shared" si="284"/>
        <v>21</v>
      </c>
      <c r="H1227" s="3">
        <f t="shared" si="285"/>
        <v>11</v>
      </c>
      <c r="I1227" s="3">
        <f t="shared" si="286"/>
        <v>46</v>
      </c>
      <c r="J1227" s="3">
        <f t="shared" si="28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288"/>
        <v>YES</v>
      </c>
      <c r="Q1227" t="str">
        <f t="shared" si="289"/>
        <v>YES</v>
      </c>
      <c r="R1227" t="str">
        <f t="shared" si="290"/>
        <v>NO</v>
      </c>
      <c r="T1227" t="s">
        <v>14</v>
      </c>
      <c r="U1227" t="str">
        <f t="shared" si="277"/>
        <v>Massachusetts Ave</v>
      </c>
      <c r="V1227" t="s">
        <v>1182</v>
      </c>
      <c r="W1227" t="str">
        <f t="shared" si="278"/>
        <v>Amherst St</v>
      </c>
      <c r="X1227" t="str">
        <f>IF(ISBLANK(S1227),"Intersection","Non-Intersection")</f>
        <v>Intersection</v>
      </c>
      <c r="Y1227" t="s">
        <v>1240</v>
      </c>
      <c r="Z1227" t="str">
        <f t="shared" si="27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280"/>
        <v>40179</v>
      </c>
      <c r="D1228" s="4">
        <f t="shared" si="281"/>
        <v>0.80273972602739729</v>
      </c>
      <c r="E1228" s="3">
        <f t="shared" si="282"/>
        <v>2010</v>
      </c>
      <c r="F1228" s="3">
        <f t="shared" si="283"/>
        <v>10</v>
      </c>
      <c r="G1228" s="3">
        <f t="shared" si="284"/>
        <v>21</v>
      </c>
      <c r="H1228" s="3">
        <f t="shared" si="285"/>
        <v>16</v>
      </c>
      <c r="I1228" s="3">
        <f t="shared" si="286"/>
        <v>25</v>
      </c>
      <c r="J1228" s="3">
        <f t="shared" si="28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288"/>
        <v>YES</v>
      </c>
      <c r="Q1228" t="str">
        <f t="shared" si="289"/>
        <v>NO</v>
      </c>
      <c r="R1228" t="str">
        <f t="shared" si="290"/>
        <v>NO</v>
      </c>
      <c r="S1228">
        <v>51</v>
      </c>
      <c r="T1228" t="s">
        <v>202</v>
      </c>
      <c r="U1228" t="str">
        <f t="shared" si="277"/>
        <v>Vassar St</v>
      </c>
      <c r="W1228" t="str">
        <f t="shared" si="278"/>
        <v/>
      </c>
      <c r="X1228" t="str">
        <f>IF(ISBLANK(S1228),"Intersection","Non-Intersection")</f>
        <v>Non-Intersection</v>
      </c>
      <c r="Y1228" t="s">
        <v>2092</v>
      </c>
      <c r="Z1228" t="str">
        <f t="shared" si="27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280"/>
        <v>40179</v>
      </c>
      <c r="D1229" s="4">
        <f t="shared" si="281"/>
        <v>0.80273972602739729</v>
      </c>
      <c r="E1229" s="3">
        <f t="shared" si="282"/>
        <v>2010</v>
      </c>
      <c r="F1229" s="3">
        <f t="shared" si="283"/>
        <v>10</v>
      </c>
      <c r="G1229" s="3">
        <f t="shared" si="284"/>
        <v>21</v>
      </c>
      <c r="H1229" s="3">
        <f t="shared" si="285"/>
        <v>19</v>
      </c>
      <c r="I1229" s="3">
        <f t="shared" si="286"/>
        <v>19</v>
      </c>
      <c r="J1229" s="3">
        <f t="shared" si="28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288"/>
        <v>NO</v>
      </c>
      <c r="Q1229" t="str">
        <f t="shared" si="289"/>
        <v>NO</v>
      </c>
      <c r="R1229" t="str">
        <f t="shared" si="290"/>
        <v>NO</v>
      </c>
      <c r="S1229">
        <v>1218</v>
      </c>
      <c r="T1229" t="s">
        <v>14</v>
      </c>
      <c r="U1229" t="str">
        <f t="shared" si="277"/>
        <v>Massachusetts Ave</v>
      </c>
      <c r="V1229" t="s">
        <v>1742</v>
      </c>
      <c r="W1229" t="str">
        <f t="shared" si="278"/>
        <v>Bow St</v>
      </c>
      <c r="X1229" t="str">
        <f>IF(ISBLANK(S1229),"Intersection","Non-Intersection")</f>
        <v>Non-Intersection</v>
      </c>
      <c r="Y1229" t="s">
        <v>2094</v>
      </c>
      <c r="Z1229" t="str">
        <f t="shared" si="27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280"/>
        <v>40179</v>
      </c>
      <c r="D1230" s="4">
        <f t="shared" si="281"/>
        <v>0.80273972602739729</v>
      </c>
      <c r="E1230" s="3">
        <f t="shared" si="282"/>
        <v>2010</v>
      </c>
      <c r="F1230" s="3">
        <f t="shared" si="283"/>
        <v>10</v>
      </c>
      <c r="G1230" s="3">
        <f t="shared" si="284"/>
        <v>21</v>
      </c>
      <c r="H1230" s="3">
        <f t="shared" si="285"/>
        <v>11</v>
      </c>
      <c r="I1230" s="3">
        <f t="shared" si="286"/>
        <v>45</v>
      </c>
      <c r="J1230" s="3">
        <f t="shared" si="28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288"/>
        <v>YES</v>
      </c>
      <c r="Q1230" t="str">
        <f t="shared" si="289"/>
        <v>NO</v>
      </c>
      <c r="R1230" t="str">
        <f t="shared" si="290"/>
        <v>NO</v>
      </c>
      <c r="T1230" t="s">
        <v>288</v>
      </c>
      <c r="U1230" t="str">
        <f t="shared" si="277"/>
        <v>Galileo Galilei Way</v>
      </c>
      <c r="V1230" t="s">
        <v>105</v>
      </c>
      <c r="W1230" t="str">
        <f t="shared" si="278"/>
        <v>Broadway</v>
      </c>
      <c r="X1230" t="str">
        <f>IF(ISBLANK(S1230),"Intersection","Non-Intersection")</f>
        <v>Intersection</v>
      </c>
      <c r="Y1230" t="s">
        <v>307</v>
      </c>
      <c r="Z1230" t="str">
        <f t="shared" si="27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280"/>
        <v>40179</v>
      </c>
      <c r="D1231" s="4">
        <f t="shared" si="281"/>
        <v>0.80273972602739729</v>
      </c>
      <c r="E1231" s="3">
        <f t="shared" si="282"/>
        <v>2010</v>
      </c>
      <c r="F1231" s="3">
        <f t="shared" si="283"/>
        <v>10</v>
      </c>
      <c r="G1231" s="3">
        <f t="shared" si="284"/>
        <v>21</v>
      </c>
      <c r="H1231" s="3">
        <f t="shared" si="285"/>
        <v>12</v>
      </c>
      <c r="I1231" s="3">
        <f t="shared" si="286"/>
        <v>59</v>
      </c>
      <c r="J1231" s="3">
        <f t="shared" si="28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288"/>
        <v>YES</v>
      </c>
      <c r="Q1231" t="str">
        <f t="shared" si="289"/>
        <v>NO</v>
      </c>
      <c r="R1231" t="str">
        <f t="shared" si="290"/>
        <v>NO</v>
      </c>
      <c r="T1231" t="s">
        <v>1752</v>
      </c>
      <c r="U1231" t="str">
        <f t="shared" si="277"/>
        <v>Cambridgepark Dr</v>
      </c>
      <c r="W1231" t="str">
        <f t="shared" si="278"/>
        <v/>
      </c>
      <c r="X1231" t="str">
        <f>IF(ISBLANK(S1231),"Intersection","Non-Intersection")</f>
        <v>Intersection</v>
      </c>
      <c r="Y1231" t="s">
        <v>2096</v>
      </c>
      <c r="Z1231" t="str">
        <f t="shared" si="27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280"/>
        <v>40179</v>
      </c>
      <c r="D1232" s="4">
        <f t="shared" si="281"/>
        <v>0.80547945205479454</v>
      </c>
      <c r="E1232" s="3">
        <f t="shared" si="282"/>
        <v>2010</v>
      </c>
      <c r="F1232" s="3">
        <f t="shared" si="283"/>
        <v>10</v>
      </c>
      <c r="G1232" s="3">
        <f t="shared" si="284"/>
        <v>22</v>
      </c>
      <c r="H1232" s="3">
        <f t="shared" si="285"/>
        <v>12</v>
      </c>
      <c r="I1232" s="3">
        <f t="shared" si="286"/>
        <v>59</v>
      </c>
      <c r="J1232" s="3">
        <f t="shared" si="28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288"/>
        <v>YES</v>
      </c>
      <c r="Q1232" t="str">
        <f t="shared" si="289"/>
        <v>NO</v>
      </c>
      <c r="R1232" t="str">
        <f t="shared" si="290"/>
        <v>NO</v>
      </c>
      <c r="T1232" t="s">
        <v>198</v>
      </c>
      <c r="U1232" t="str">
        <f t="shared" si="277"/>
        <v>Mount Auburn St</v>
      </c>
      <c r="V1232" t="s">
        <v>1841</v>
      </c>
      <c r="W1232" t="str">
        <f t="shared" si="278"/>
        <v>Linden St</v>
      </c>
      <c r="X1232" t="str">
        <f>IF(ISBLANK(S1232),"Intersection","Non-Intersection")</f>
        <v>Intersection</v>
      </c>
      <c r="Y1232" t="s">
        <v>2097</v>
      </c>
      <c r="Z1232" t="str">
        <f t="shared" si="27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280"/>
        <v>40179</v>
      </c>
      <c r="D1233" s="4">
        <f t="shared" si="281"/>
        <v>0.80547945205479454</v>
      </c>
      <c r="E1233" s="3">
        <f t="shared" si="282"/>
        <v>2010</v>
      </c>
      <c r="F1233" s="3">
        <f t="shared" si="283"/>
        <v>10</v>
      </c>
      <c r="G1233" s="3">
        <f t="shared" si="284"/>
        <v>22</v>
      </c>
      <c r="H1233" s="3">
        <f t="shared" si="285"/>
        <v>17</v>
      </c>
      <c r="I1233" s="3">
        <f t="shared" si="286"/>
        <v>0</v>
      </c>
      <c r="J1233" s="3">
        <f t="shared" si="28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288"/>
        <v>YES</v>
      </c>
      <c r="Q1233" t="str">
        <f t="shared" si="289"/>
        <v>NO</v>
      </c>
      <c r="R1233" t="str">
        <f t="shared" si="290"/>
        <v>NO</v>
      </c>
      <c r="T1233" t="s">
        <v>74</v>
      </c>
      <c r="U1233" t="str">
        <f t="shared" si="277"/>
        <v>Hampshire St</v>
      </c>
      <c r="V1233" t="s">
        <v>667</v>
      </c>
      <c r="W1233" t="str">
        <f t="shared" si="278"/>
        <v>Tremont St</v>
      </c>
      <c r="X1233" t="str">
        <f>IF(ISBLANK(S1233),"Intersection","Non-Intersection")</f>
        <v>Intersection</v>
      </c>
      <c r="Y1233" t="s">
        <v>668</v>
      </c>
      <c r="Z1233" t="str">
        <f t="shared" si="27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280"/>
        <v>40179</v>
      </c>
      <c r="D1234" s="4">
        <f t="shared" si="281"/>
        <v>0.80547945205479454</v>
      </c>
      <c r="E1234" s="3">
        <f t="shared" si="282"/>
        <v>2010</v>
      </c>
      <c r="F1234" s="3">
        <f t="shared" si="283"/>
        <v>10</v>
      </c>
      <c r="G1234" s="3">
        <f t="shared" si="284"/>
        <v>22</v>
      </c>
      <c r="H1234" s="3">
        <f t="shared" si="285"/>
        <v>14</v>
      </c>
      <c r="I1234" s="3">
        <f t="shared" si="286"/>
        <v>29</v>
      </c>
      <c r="J1234" s="3">
        <f t="shared" si="28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288"/>
        <v>YES</v>
      </c>
      <c r="Q1234" t="str">
        <f t="shared" si="289"/>
        <v>NO</v>
      </c>
      <c r="R1234" t="str">
        <f t="shared" si="290"/>
        <v>NO</v>
      </c>
      <c r="S1234">
        <v>18</v>
      </c>
      <c r="T1234" t="s">
        <v>1739</v>
      </c>
      <c r="U1234" t="str">
        <f t="shared" si="277"/>
        <v>Harding St</v>
      </c>
      <c r="V1234" t="s">
        <v>19</v>
      </c>
      <c r="W1234" t="str">
        <f t="shared" si="278"/>
        <v>Cambridge St</v>
      </c>
      <c r="X1234" t="str">
        <f>IF(ISBLANK(S1234),"Intersection","Non-Intersection")</f>
        <v>Non-Intersection</v>
      </c>
      <c r="Y1234" t="s">
        <v>2099</v>
      </c>
      <c r="Z1234" t="str">
        <f t="shared" si="27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280"/>
        <v>40179</v>
      </c>
      <c r="D1235" s="4">
        <f t="shared" si="281"/>
        <v>0.80821917808219179</v>
      </c>
      <c r="E1235" s="3">
        <f t="shared" si="282"/>
        <v>2010</v>
      </c>
      <c r="F1235" s="3">
        <f t="shared" si="283"/>
        <v>10</v>
      </c>
      <c r="G1235" s="3">
        <f t="shared" si="284"/>
        <v>23</v>
      </c>
      <c r="H1235" s="3">
        <f t="shared" si="285"/>
        <v>12</v>
      </c>
      <c r="I1235" s="3">
        <f t="shared" si="286"/>
        <v>53</v>
      </c>
      <c r="J1235" s="3">
        <f t="shared" si="28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288"/>
        <v>YES</v>
      </c>
      <c r="Q1235" t="str">
        <f t="shared" si="289"/>
        <v>YES</v>
      </c>
      <c r="R1235" t="str">
        <f t="shared" si="290"/>
        <v>NO</v>
      </c>
      <c r="U1235" t="str">
        <f t="shared" si="277"/>
        <v/>
      </c>
      <c r="W1235" t="str">
        <f t="shared" si="278"/>
        <v/>
      </c>
      <c r="X1235" t="str">
        <f>IF(ISBLANK(S1235),"Intersection","Non-Intersection")</f>
        <v>Intersection</v>
      </c>
      <c r="Y1235" t="s">
        <v>717</v>
      </c>
      <c r="Z1235" t="str">
        <f t="shared" si="27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280"/>
        <v>40179</v>
      </c>
      <c r="D1236" s="4">
        <f t="shared" si="281"/>
        <v>0.80821917808219179</v>
      </c>
      <c r="E1236" s="3">
        <f t="shared" si="282"/>
        <v>2010</v>
      </c>
      <c r="F1236" s="3">
        <f t="shared" si="283"/>
        <v>10</v>
      </c>
      <c r="G1236" s="3">
        <f t="shared" si="284"/>
        <v>23</v>
      </c>
      <c r="H1236" s="3">
        <f t="shared" si="285"/>
        <v>2</v>
      </c>
      <c r="I1236" s="3">
        <f t="shared" si="286"/>
        <v>32</v>
      </c>
      <c r="J1236" s="3">
        <f t="shared" si="28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288"/>
        <v>YES</v>
      </c>
      <c r="Q1236" t="str">
        <f t="shared" si="289"/>
        <v>NO</v>
      </c>
      <c r="R1236" t="str">
        <f t="shared" si="290"/>
        <v>NO</v>
      </c>
      <c r="S1236">
        <v>81</v>
      </c>
      <c r="T1236" t="s">
        <v>74</v>
      </c>
      <c r="U1236" t="str">
        <f t="shared" si="277"/>
        <v>Hampshire St</v>
      </c>
      <c r="W1236" t="str">
        <f t="shared" si="278"/>
        <v/>
      </c>
      <c r="X1236" t="str">
        <f>IF(ISBLANK(S1236),"Intersection","Non-Intersection")</f>
        <v>Non-Intersection</v>
      </c>
      <c r="Y1236" t="s">
        <v>2101</v>
      </c>
      <c r="Z1236" t="str">
        <f t="shared" si="27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280"/>
        <v>40179</v>
      </c>
      <c r="D1237" s="4">
        <f t="shared" si="281"/>
        <v>0.80821917808219179</v>
      </c>
      <c r="E1237" s="3">
        <f t="shared" si="282"/>
        <v>2010</v>
      </c>
      <c r="F1237" s="3">
        <f t="shared" si="283"/>
        <v>10</v>
      </c>
      <c r="G1237" s="3">
        <f t="shared" si="284"/>
        <v>23</v>
      </c>
      <c r="H1237" s="3">
        <f t="shared" si="285"/>
        <v>9</v>
      </c>
      <c r="I1237" s="3">
        <f t="shared" si="286"/>
        <v>59</v>
      </c>
      <c r="J1237" s="3">
        <f t="shared" si="28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288"/>
        <v>YES</v>
      </c>
      <c r="Q1237" t="str">
        <f t="shared" si="289"/>
        <v>NO</v>
      </c>
      <c r="R1237" t="str">
        <f t="shared" si="290"/>
        <v>NO</v>
      </c>
      <c r="T1237" t="s">
        <v>796</v>
      </c>
      <c r="U1237" t="str">
        <f t="shared" si="277"/>
        <v>Portland St</v>
      </c>
      <c r="V1237" t="s">
        <v>119</v>
      </c>
      <c r="W1237" t="str">
        <f t="shared" si="278"/>
        <v>Albany St</v>
      </c>
      <c r="X1237" t="str">
        <f>IF(ISBLANK(S1237),"Intersection","Non-Intersection")</f>
        <v>Intersection</v>
      </c>
      <c r="Y1237" t="s">
        <v>2103</v>
      </c>
      <c r="Z1237" t="str">
        <f t="shared" si="27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280"/>
        <v>40179</v>
      </c>
      <c r="D1238" s="4">
        <f t="shared" si="281"/>
        <v>0.80821917808219179</v>
      </c>
      <c r="E1238" s="3">
        <f t="shared" si="282"/>
        <v>2010</v>
      </c>
      <c r="F1238" s="3">
        <f t="shared" si="283"/>
        <v>10</v>
      </c>
      <c r="G1238" s="3">
        <f t="shared" si="284"/>
        <v>23</v>
      </c>
      <c r="H1238" s="3">
        <f t="shared" si="285"/>
        <v>11</v>
      </c>
      <c r="I1238" s="3">
        <f t="shared" si="286"/>
        <v>4</v>
      </c>
      <c r="J1238" s="3">
        <f t="shared" si="28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288"/>
        <v>YES</v>
      </c>
      <c r="Q1238" t="str">
        <f t="shared" si="289"/>
        <v>NO</v>
      </c>
      <c r="R1238" t="str">
        <f t="shared" si="290"/>
        <v>NO</v>
      </c>
      <c r="T1238" t="s">
        <v>105</v>
      </c>
      <c r="U1238" t="str">
        <f t="shared" si="277"/>
        <v>Broadway</v>
      </c>
      <c r="V1238" t="s">
        <v>342</v>
      </c>
      <c r="W1238" t="str">
        <f t="shared" si="278"/>
        <v>Prospect St</v>
      </c>
      <c r="X1238" t="str">
        <f>IF(ISBLANK(S1238),"Intersection","Non-Intersection")</f>
        <v>Intersection</v>
      </c>
      <c r="Y1238" t="s">
        <v>343</v>
      </c>
      <c r="Z1238" t="str">
        <f t="shared" si="27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280"/>
        <v>40179</v>
      </c>
      <c r="D1239" s="4">
        <f t="shared" si="281"/>
        <v>0.80821917808219179</v>
      </c>
      <c r="E1239" s="3">
        <f t="shared" si="282"/>
        <v>2010</v>
      </c>
      <c r="F1239" s="3">
        <f t="shared" si="283"/>
        <v>10</v>
      </c>
      <c r="G1239" s="3">
        <f t="shared" si="284"/>
        <v>23</v>
      </c>
      <c r="H1239" s="3">
        <f t="shared" si="285"/>
        <v>15</v>
      </c>
      <c r="I1239" s="3">
        <f t="shared" si="286"/>
        <v>50</v>
      </c>
      <c r="J1239" s="3">
        <f t="shared" si="28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288"/>
        <v>YES</v>
      </c>
      <c r="Q1239" t="str">
        <f t="shared" si="289"/>
        <v>NO</v>
      </c>
      <c r="R1239" t="str">
        <f t="shared" si="290"/>
        <v>NO</v>
      </c>
      <c r="T1239" t="s">
        <v>14</v>
      </c>
      <c r="U1239" t="str">
        <f t="shared" si="277"/>
        <v>Massachusetts Ave</v>
      </c>
      <c r="V1239" t="s">
        <v>710</v>
      </c>
      <c r="W1239" t="str">
        <f t="shared" si="278"/>
        <v>Fresh Pond Pky</v>
      </c>
      <c r="X1239" t="str">
        <f>IF(ISBLANK(S1239),"Intersection","Non-Intersection")</f>
        <v>Intersection</v>
      </c>
      <c r="Y1239" t="s">
        <v>2104</v>
      </c>
      <c r="Z1239" t="str">
        <f t="shared" si="27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280"/>
        <v>40179</v>
      </c>
      <c r="D1240" s="4">
        <f t="shared" si="281"/>
        <v>0.80821917808219179</v>
      </c>
      <c r="E1240" s="3">
        <f t="shared" si="282"/>
        <v>2010</v>
      </c>
      <c r="F1240" s="3">
        <f t="shared" si="283"/>
        <v>10</v>
      </c>
      <c r="G1240" s="3">
        <f t="shared" si="284"/>
        <v>23</v>
      </c>
      <c r="H1240" s="3">
        <f t="shared" si="285"/>
        <v>16</v>
      </c>
      <c r="I1240" s="3">
        <f t="shared" si="286"/>
        <v>47</v>
      </c>
      <c r="J1240" s="3">
        <f t="shared" si="28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288"/>
        <v>YES</v>
      </c>
      <c r="Q1240" t="str">
        <f t="shared" si="289"/>
        <v>NO</v>
      </c>
      <c r="R1240" t="str">
        <f t="shared" si="290"/>
        <v>NO</v>
      </c>
      <c r="T1240" t="s">
        <v>19</v>
      </c>
      <c r="U1240" t="str">
        <f t="shared" si="277"/>
        <v>Cambridge St</v>
      </c>
      <c r="V1240" t="s">
        <v>685</v>
      </c>
      <c r="W1240" t="str">
        <f t="shared" si="278"/>
        <v>Warren St</v>
      </c>
      <c r="X1240" t="str">
        <f>IF(ISBLANK(S1240),"Intersection","Non-Intersection")</f>
        <v>Intersection</v>
      </c>
      <c r="Y1240" t="s">
        <v>1217</v>
      </c>
      <c r="Z1240" t="str">
        <f t="shared" si="27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280"/>
        <v>40179</v>
      </c>
      <c r="D1241" s="4">
        <f t="shared" si="281"/>
        <v>0.80821917808219179</v>
      </c>
      <c r="E1241" s="3">
        <f t="shared" si="282"/>
        <v>2010</v>
      </c>
      <c r="F1241" s="3">
        <f t="shared" si="283"/>
        <v>10</v>
      </c>
      <c r="G1241" s="3">
        <f t="shared" si="284"/>
        <v>23</v>
      </c>
      <c r="H1241" s="3">
        <f t="shared" si="285"/>
        <v>20</v>
      </c>
      <c r="I1241" s="3">
        <f t="shared" si="286"/>
        <v>29</v>
      </c>
      <c r="J1241" s="3">
        <f t="shared" si="28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288"/>
        <v>YES</v>
      </c>
      <c r="Q1241" t="str">
        <f t="shared" si="289"/>
        <v>NO</v>
      </c>
      <c r="R1241" t="str">
        <f t="shared" si="290"/>
        <v>NO</v>
      </c>
      <c r="T1241" t="s">
        <v>745</v>
      </c>
      <c r="U1241" t="str">
        <f t="shared" si="277"/>
        <v>Norfolk St</v>
      </c>
      <c r="V1241" t="s">
        <v>19</v>
      </c>
      <c r="W1241" t="str">
        <f t="shared" si="278"/>
        <v>Cambridge St</v>
      </c>
      <c r="X1241" t="str">
        <f>IF(ISBLANK(S1241),"Intersection","Non-Intersection")</f>
        <v>Intersection</v>
      </c>
      <c r="Y1241" t="s">
        <v>2106</v>
      </c>
      <c r="Z1241" t="str">
        <f t="shared" si="27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280"/>
        <v>40179</v>
      </c>
      <c r="D1242" s="4">
        <f t="shared" si="281"/>
        <v>0.80821917808219179</v>
      </c>
      <c r="E1242" s="3">
        <f t="shared" si="282"/>
        <v>2010</v>
      </c>
      <c r="F1242" s="3">
        <f t="shared" si="283"/>
        <v>10</v>
      </c>
      <c r="G1242" s="3">
        <f t="shared" si="284"/>
        <v>23</v>
      </c>
      <c r="H1242" s="3">
        <f t="shared" si="285"/>
        <v>22</v>
      </c>
      <c r="I1242" s="3">
        <f t="shared" si="286"/>
        <v>50</v>
      </c>
      <c r="J1242" s="3">
        <f t="shared" si="28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288"/>
        <v>YES</v>
      </c>
      <c r="Q1242" t="str">
        <f t="shared" si="289"/>
        <v>NO</v>
      </c>
      <c r="R1242" t="str">
        <f t="shared" si="290"/>
        <v>YES</v>
      </c>
      <c r="T1242" t="s">
        <v>14</v>
      </c>
      <c r="U1242" t="str">
        <f t="shared" si="277"/>
        <v>Massachusetts Ave</v>
      </c>
      <c r="V1242" t="s">
        <v>1177</v>
      </c>
      <c r="W1242" t="str">
        <f t="shared" si="278"/>
        <v>Plympton St</v>
      </c>
      <c r="X1242" t="str">
        <f>IF(ISBLANK(S1242),"Intersection","Non-Intersection")</f>
        <v>Intersection</v>
      </c>
      <c r="Y1242" t="s">
        <v>2108</v>
      </c>
      <c r="Z1242" t="str">
        <f t="shared" si="27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280"/>
        <v>40179</v>
      </c>
      <c r="D1243" s="4">
        <f t="shared" si="281"/>
        <v>0.81095890410958904</v>
      </c>
      <c r="E1243" s="3">
        <f t="shared" si="282"/>
        <v>2010</v>
      </c>
      <c r="F1243" s="3">
        <f t="shared" si="283"/>
        <v>10</v>
      </c>
      <c r="G1243" s="3">
        <f t="shared" si="284"/>
        <v>24</v>
      </c>
      <c r="H1243" s="3">
        <f t="shared" si="285"/>
        <v>22</v>
      </c>
      <c r="I1243" s="3">
        <f t="shared" si="286"/>
        <v>12</v>
      </c>
      <c r="J1243" s="3">
        <f t="shared" si="28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288"/>
        <v>YES</v>
      </c>
      <c r="Q1243" t="str">
        <f t="shared" si="289"/>
        <v>NO</v>
      </c>
      <c r="R1243" t="str">
        <f t="shared" si="290"/>
        <v>NO</v>
      </c>
      <c r="T1243" t="s">
        <v>342</v>
      </c>
      <c r="U1243" t="str">
        <f t="shared" si="277"/>
        <v>Prospect St</v>
      </c>
      <c r="V1243" t="s">
        <v>133</v>
      </c>
      <c r="W1243" t="str">
        <f t="shared" si="278"/>
        <v>Harvard St</v>
      </c>
      <c r="X1243" t="str">
        <f>IF(ISBLANK(S1243),"Intersection","Non-Intersection")</f>
        <v>Intersection</v>
      </c>
      <c r="Y1243" t="s">
        <v>884</v>
      </c>
      <c r="Z1243" t="str">
        <f t="shared" si="27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280"/>
        <v>40179</v>
      </c>
      <c r="D1244" s="4">
        <f t="shared" si="281"/>
        <v>0.81369863013698629</v>
      </c>
      <c r="E1244" s="3">
        <f t="shared" si="282"/>
        <v>2010</v>
      </c>
      <c r="F1244" s="3">
        <f t="shared" si="283"/>
        <v>10</v>
      </c>
      <c r="G1244" s="3">
        <f t="shared" si="284"/>
        <v>25</v>
      </c>
      <c r="H1244" s="3">
        <f t="shared" si="285"/>
        <v>10</v>
      </c>
      <c r="I1244" s="3">
        <f t="shared" si="286"/>
        <v>11</v>
      </c>
      <c r="J1244" s="3">
        <f t="shared" si="28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288"/>
        <v>YES</v>
      </c>
      <c r="Q1244" t="str">
        <f t="shared" si="289"/>
        <v>YES</v>
      </c>
      <c r="R1244" t="str">
        <f t="shared" si="290"/>
        <v>NO</v>
      </c>
      <c r="T1244" t="s">
        <v>105</v>
      </c>
      <c r="U1244" t="str">
        <f t="shared" si="277"/>
        <v>Broadway</v>
      </c>
      <c r="V1244" t="s">
        <v>387</v>
      </c>
      <c r="W1244" t="str">
        <f t="shared" si="278"/>
        <v>Antrim St</v>
      </c>
      <c r="X1244" t="str">
        <f>IF(ISBLANK(S1244),"Intersection","Non-Intersection")</f>
        <v>Intersection</v>
      </c>
      <c r="Y1244" t="s">
        <v>388</v>
      </c>
      <c r="Z1244" t="str">
        <f t="shared" si="27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280"/>
        <v>40179</v>
      </c>
      <c r="D1245" s="4">
        <f t="shared" si="281"/>
        <v>0.81369863013698629</v>
      </c>
      <c r="E1245" s="3">
        <f t="shared" si="282"/>
        <v>2010</v>
      </c>
      <c r="F1245" s="3">
        <f t="shared" si="283"/>
        <v>10</v>
      </c>
      <c r="G1245" s="3">
        <f t="shared" si="284"/>
        <v>25</v>
      </c>
      <c r="H1245" s="3">
        <f t="shared" si="285"/>
        <v>22</v>
      </c>
      <c r="I1245" s="3">
        <f t="shared" si="286"/>
        <v>50</v>
      </c>
      <c r="J1245" s="3">
        <f t="shared" si="28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288"/>
        <v>YES</v>
      </c>
      <c r="Q1245" t="str">
        <f t="shared" si="289"/>
        <v>NO</v>
      </c>
      <c r="R1245" t="str">
        <f t="shared" si="290"/>
        <v>YES</v>
      </c>
      <c r="T1245" t="s">
        <v>199</v>
      </c>
      <c r="U1245" t="str">
        <f t="shared" si="277"/>
        <v>Brattle St</v>
      </c>
      <c r="V1245" t="s">
        <v>840</v>
      </c>
      <c r="W1245" t="str">
        <f t="shared" si="278"/>
        <v>Church St</v>
      </c>
      <c r="X1245" t="str">
        <f>IF(ISBLANK(S1245),"Intersection","Non-Intersection")</f>
        <v>Intersection</v>
      </c>
      <c r="Y1245" t="s">
        <v>2110</v>
      </c>
      <c r="Z1245" t="str">
        <f t="shared" si="27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280"/>
        <v>40179</v>
      </c>
      <c r="D1246" s="4">
        <f t="shared" si="281"/>
        <v>0.81369863013698629</v>
      </c>
      <c r="E1246" s="3">
        <f t="shared" si="282"/>
        <v>2010</v>
      </c>
      <c r="F1246" s="3">
        <f t="shared" si="283"/>
        <v>10</v>
      </c>
      <c r="G1246" s="3">
        <f t="shared" si="284"/>
        <v>25</v>
      </c>
      <c r="H1246" s="3">
        <f t="shared" si="285"/>
        <v>8</v>
      </c>
      <c r="I1246" s="3">
        <f t="shared" si="286"/>
        <v>0</v>
      </c>
      <c r="J1246" s="3">
        <f t="shared" si="28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288"/>
        <v>YES</v>
      </c>
      <c r="Q1246" t="str">
        <f t="shared" si="289"/>
        <v>NO</v>
      </c>
      <c r="R1246" t="str">
        <f t="shared" si="290"/>
        <v>NO</v>
      </c>
      <c r="S1246">
        <v>32</v>
      </c>
      <c r="T1246" t="s">
        <v>971</v>
      </c>
      <c r="U1246" t="str">
        <f t="shared" si="277"/>
        <v>Ellsworth Ave</v>
      </c>
      <c r="V1246" t="s">
        <v>19</v>
      </c>
      <c r="W1246" t="str">
        <f t="shared" si="278"/>
        <v>Cambridge St</v>
      </c>
      <c r="X1246" t="str">
        <f>IF(ISBLANK(S1246),"Intersection","Non-Intersection")</f>
        <v>Non-Intersection</v>
      </c>
      <c r="Y1246" t="s">
        <v>2112</v>
      </c>
      <c r="Z1246" t="str">
        <f t="shared" si="27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280"/>
        <v>40179</v>
      </c>
      <c r="D1247" s="4">
        <f t="shared" si="281"/>
        <v>0.81369863013698629</v>
      </c>
      <c r="E1247" s="3">
        <f t="shared" si="282"/>
        <v>2010</v>
      </c>
      <c r="F1247" s="3">
        <f t="shared" si="283"/>
        <v>10</v>
      </c>
      <c r="G1247" s="3">
        <f t="shared" si="284"/>
        <v>25</v>
      </c>
      <c r="H1247" s="3">
        <f t="shared" si="285"/>
        <v>12</v>
      </c>
      <c r="I1247" s="3">
        <f t="shared" si="286"/>
        <v>34</v>
      </c>
      <c r="J1247" s="3">
        <f t="shared" si="28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288"/>
        <v>YES</v>
      </c>
      <c r="Q1247" t="str">
        <f t="shared" si="289"/>
        <v>YES</v>
      </c>
      <c r="R1247" t="str">
        <f t="shared" si="290"/>
        <v>NO</v>
      </c>
      <c r="T1247" t="s">
        <v>42</v>
      </c>
      <c r="U1247" t="str">
        <f t="shared" si="277"/>
        <v>Putnam Ave</v>
      </c>
      <c r="V1247" t="s">
        <v>14</v>
      </c>
      <c r="W1247" t="str">
        <f t="shared" si="278"/>
        <v>Massachusetts Ave</v>
      </c>
      <c r="X1247" t="str">
        <f>IF(ISBLANK(S1247),"Intersection","Non-Intersection")</f>
        <v>Intersection</v>
      </c>
      <c r="Y1247" t="s">
        <v>2114</v>
      </c>
      <c r="Z1247" t="str">
        <f t="shared" si="27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280"/>
        <v>40179</v>
      </c>
      <c r="D1248" s="4">
        <f t="shared" si="281"/>
        <v>0.81369863013698629</v>
      </c>
      <c r="E1248" s="3">
        <f t="shared" si="282"/>
        <v>2010</v>
      </c>
      <c r="F1248" s="3">
        <f t="shared" si="283"/>
        <v>10</v>
      </c>
      <c r="G1248" s="3">
        <f t="shared" si="284"/>
        <v>25</v>
      </c>
      <c r="H1248" s="3">
        <f t="shared" si="285"/>
        <v>8</v>
      </c>
      <c r="I1248" s="3">
        <f t="shared" si="286"/>
        <v>10</v>
      </c>
      <c r="J1248" s="3">
        <f t="shared" si="28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288"/>
        <v>YES</v>
      </c>
      <c r="Q1248" t="str">
        <f t="shared" si="289"/>
        <v>NO</v>
      </c>
      <c r="R1248" t="str">
        <f t="shared" si="290"/>
        <v>NO</v>
      </c>
      <c r="T1248" t="s">
        <v>518</v>
      </c>
      <c r="U1248" t="str">
        <f t="shared" si="277"/>
        <v>Willard St</v>
      </c>
      <c r="V1248" t="s">
        <v>198</v>
      </c>
      <c r="W1248" t="str">
        <f t="shared" si="278"/>
        <v>Mount Auburn St</v>
      </c>
      <c r="X1248" t="str">
        <f>IF(ISBLANK(S1248),"Intersection","Non-Intersection")</f>
        <v>Intersection</v>
      </c>
      <c r="Y1248" t="s">
        <v>648</v>
      </c>
      <c r="Z1248" t="str">
        <f t="shared" si="27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280"/>
        <v>40179</v>
      </c>
      <c r="D1249" s="4">
        <f t="shared" si="281"/>
        <v>0.81369863013698629</v>
      </c>
      <c r="E1249" s="3">
        <f t="shared" si="282"/>
        <v>2010</v>
      </c>
      <c r="F1249" s="3">
        <f t="shared" si="283"/>
        <v>10</v>
      </c>
      <c r="G1249" s="3">
        <f t="shared" si="284"/>
        <v>25</v>
      </c>
      <c r="H1249" s="3">
        <f t="shared" si="285"/>
        <v>9</v>
      </c>
      <c r="I1249" s="3">
        <f t="shared" si="286"/>
        <v>49</v>
      </c>
      <c r="J1249" s="3">
        <f t="shared" si="28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288"/>
        <v>YES</v>
      </c>
      <c r="Q1249" t="str">
        <f t="shared" si="289"/>
        <v>NO</v>
      </c>
      <c r="R1249" t="str">
        <f t="shared" si="290"/>
        <v>NO</v>
      </c>
      <c r="T1249" t="s">
        <v>840</v>
      </c>
      <c r="U1249" t="str">
        <f t="shared" si="277"/>
        <v>Church St</v>
      </c>
      <c r="V1249" t="s">
        <v>791</v>
      </c>
      <c r="W1249" t="str">
        <f t="shared" si="278"/>
        <v>Palmer St</v>
      </c>
      <c r="X1249" t="str">
        <f>IF(ISBLANK(S1249),"Intersection","Non-Intersection")</f>
        <v>Intersection</v>
      </c>
      <c r="Y1249" t="s">
        <v>2116</v>
      </c>
      <c r="Z1249" t="str">
        <f t="shared" si="27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280"/>
        <v>40179</v>
      </c>
      <c r="D1250" s="4">
        <f t="shared" si="281"/>
        <v>0.81643835616438354</v>
      </c>
      <c r="E1250" s="3">
        <f t="shared" si="282"/>
        <v>2010</v>
      </c>
      <c r="F1250" s="3">
        <f t="shared" si="283"/>
        <v>10</v>
      </c>
      <c r="G1250" s="3">
        <f t="shared" si="284"/>
        <v>26</v>
      </c>
      <c r="H1250" s="3">
        <f t="shared" si="285"/>
        <v>8</v>
      </c>
      <c r="I1250" s="3">
        <f t="shared" si="286"/>
        <v>29</v>
      </c>
      <c r="J1250" s="3">
        <f t="shared" si="28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288"/>
        <v>YES</v>
      </c>
      <c r="Q1250" t="str">
        <f t="shared" si="289"/>
        <v>NO</v>
      </c>
      <c r="R1250" t="str">
        <f t="shared" si="290"/>
        <v>NO</v>
      </c>
      <c r="T1250" t="s">
        <v>101</v>
      </c>
      <c r="U1250" t="str">
        <f t="shared" si="277"/>
        <v>Columbia St</v>
      </c>
      <c r="V1250" t="s">
        <v>2119</v>
      </c>
      <c r="W1250" t="str">
        <f t="shared" si="278"/>
        <v>Worcester St</v>
      </c>
      <c r="X1250" t="str">
        <f>IF(ISBLANK(S1250),"Intersection","Non-Intersection")</f>
        <v>Intersection</v>
      </c>
      <c r="Y1250" t="s">
        <v>2120</v>
      </c>
      <c r="Z1250" t="str">
        <f t="shared" si="27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280"/>
        <v>40179</v>
      </c>
      <c r="D1251" s="4">
        <f t="shared" si="281"/>
        <v>0.81643835616438354</v>
      </c>
      <c r="E1251" s="3">
        <f t="shared" si="282"/>
        <v>2010</v>
      </c>
      <c r="F1251" s="3">
        <f t="shared" si="283"/>
        <v>10</v>
      </c>
      <c r="G1251" s="3">
        <f t="shared" si="284"/>
        <v>26</v>
      </c>
      <c r="H1251" s="3">
        <f t="shared" si="285"/>
        <v>15</v>
      </c>
      <c r="I1251" s="3">
        <f t="shared" si="286"/>
        <v>49</v>
      </c>
      <c r="J1251" s="3">
        <f t="shared" si="28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288"/>
        <v>NO</v>
      </c>
      <c r="Q1251" t="str">
        <f t="shared" si="289"/>
        <v>NO</v>
      </c>
      <c r="R1251" t="str">
        <f t="shared" si="290"/>
        <v>NO</v>
      </c>
      <c r="S1251">
        <v>212</v>
      </c>
      <c r="T1251" t="s">
        <v>189</v>
      </c>
      <c r="U1251" t="str">
        <f t="shared" si="277"/>
        <v>Windsor St</v>
      </c>
      <c r="W1251" t="str">
        <f t="shared" si="278"/>
        <v/>
      </c>
      <c r="X1251" t="str">
        <f>IF(ISBLANK(S1251),"Intersection","Non-Intersection")</f>
        <v>Non-Intersection</v>
      </c>
      <c r="Y1251" t="s">
        <v>1109</v>
      </c>
      <c r="Z1251" t="str">
        <f t="shared" si="27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280"/>
        <v>40179</v>
      </c>
      <c r="D1252" s="4">
        <f t="shared" si="281"/>
        <v>0.81643835616438354</v>
      </c>
      <c r="E1252" s="3">
        <f t="shared" si="282"/>
        <v>2010</v>
      </c>
      <c r="F1252" s="3">
        <f t="shared" si="283"/>
        <v>10</v>
      </c>
      <c r="G1252" s="3">
        <f t="shared" si="284"/>
        <v>26</v>
      </c>
      <c r="H1252" s="3">
        <f t="shared" si="285"/>
        <v>15</v>
      </c>
      <c r="I1252" s="3">
        <f t="shared" si="286"/>
        <v>26</v>
      </c>
      <c r="J1252" s="3">
        <f t="shared" si="28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288"/>
        <v>YES</v>
      </c>
      <c r="Q1252" t="str">
        <f t="shared" si="289"/>
        <v>NO</v>
      </c>
      <c r="R1252" t="str">
        <f t="shared" si="290"/>
        <v>NO</v>
      </c>
      <c r="T1252" t="s">
        <v>57</v>
      </c>
      <c r="U1252" t="str">
        <f t="shared" si="277"/>
        <v>Everett St</v>
      </c>
      <c r="W1252" t="str">
        <f t="shared" si="278"/>
        <v/>
      </c>
      <c r="X1252" t="str">
        <f>IF(ISBLANK(S1252),"Intersection","Non-Intersection")</f>
        <v>Intersection</v>
      </c>
      <c r="Y1252" t="s">
        <v>2122</v>
      </c>
      <c r="Z1252" t="str">
        <f t="shared" si="27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280"/>
        <v>40179</v>
      </c>
      <c r="D1253" s="4">
        <f t="shared" si="281"/>
        <v>0.81643835616438354</v>
      </c>
      <c r="E1253" s="3">
        <f t="shared" si="282"/>
        <v>2010</v>
      </c>
      <c r="F1253" s="3">
        <f t="shared" si="283"/>
        <v>10</v>
      </c>
      <c r="G1253" s="3">
        <f t="shared" si="284"/>
        <v>26</v>
      </c>
      <c r="H1253" s="3">
        <f t="shared" si="285"/>
        <v>6</v>
      </c>
      <c r="I1253" s="3">
        <f t="shared" si="286"/>
        <v>59</v>
      </c>
      <c r="J1253" s="3">
        <f t="shared" si="28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288"/>
        <v>YES</v>
      </c>
      <c r="Q1253" t="str">
        <f t="shared" si="289"/>
        <v>NO</v>
      </c>
      <c r="R1253" t="str">
        <f t="shared" si="290"/>
        <v>NO</v>
      </c>
      <c r="T1253" t="s">
        <v>1320</v>
      </c>
      <c r="U1253" t="str">
        <f t="shared" si="277"/>
        <v>Craigie St</v>
      </c>
      <c r="V1253" t="s">
        <v>199</v>
      </c>
      <c r="W1253" t="str">
        <f t="shared" si="278"/>
        <v>Brattle St</v>
      </c>
      <c r="X1253" t="str">
        <f>IF(ISBLANK(S1253),"Intersection","Non-Intersection")</f>
        <v>Intersection</v>
      </c>
      <c r="Y1253" t="s">
        <v>2123</v>
      </c>
      <c r="Z1253" t="str">
        <f t="shared" si="27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280"/>
        <v>40179</v>
      </c>
      <c r="D1254" s="4">
        <f t="shared" si="281"/>
        <v>0.81917808219178079</v>
      </c>
      <c r="E1254" s="3">
        <f t="shared" si="282"/>
        <v>2010</v>
      </c>
      <c r="F1254" s="3">
        <f t="shared" si="283"/>
        <v>10</v>
      </c>
      <c r="G1254" s="3">
        <f t="shared" si="284"/>
        <v>27</v>
      </c>
      <c r="H1254" s="3">
        <f t="shared" si="285"/>
        <v>6</v>
      </c>
      <c r="I1254" s="3">
        <f t="shared" si="286"/>
        <v>30</v>
      </c>
      <c r="J1254" s="3">
        <f t="shared" si="28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288"/>
        <v>YES</v>
      </c>
      <c r="Q1254" t="str">
        <f t="shared" si="289"/>
        <v>NO</v>
      </c>
      <c r="R1254" t="str">
        <f t="shared" si="290"/>
        <v>NO</v>
      </c>
      <c r="T1254" t="s">
        <v>19</v>
      </c>
      <c r="U1254" t="str">
        <f t="shared" si="277"/>
        <v>Cambridge St</v>
      </c>
      <c r="V1254" t="s">
        <v>189</v>
      </c>
      <c r="W1254" t="str">
        <f t="shared" si="278"/>
        <v>Windsor St</v>
      </c>
      <c r="X1254" t="str">
        <f>IF(ISBLANK(S1254),"Intersection","Non-Intersection")</f>
        <v>Intersection</v>
      </c>
      <c r="Y1254" t="s">
        <v>244</v>
      </c>
      <c r="Z1254" t="str">
        <f t="shared" si="27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280"/>
        <v>40179</v>
      </c>
      <c r="D1255" s="4">
        <f t="shared" si="281"/>
        <v>0.81917808219178079</v>
      </c>
      <c r="E1255" s="3">
        <f t="shared" si="282"/>
        <v>2010</v>
      </c>
      <c r="F1255" s="3">
        <f t="shared" si="283"/>
        <v>10</v>
      </c>
      <c r="G1255" s="3">
        <f t="shared" si="284"/>
        <v>27</v>
      </c>
      <c r="H1255" s="3">
        <f t="shared" si="285"/>
        <v>8</v>
      </c>
      <c r="I1255" s="3">
        <f t="shared" si="286"/>
        <v>0</v>
      </c>
      <c r="J1255" s="3">
        <f t="shared" si="28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288"/>
        <v>YES</v>
      </c>
      <c r="Q1255" t="str">
        <f t="shared" si="289"/>
        <v>NO</v>
      </c>
      <c r="R1255" t="str">
        <f t="shared" si="290"/>
        <v>NO</v>
      </c>
      <c r="T1255" t="s">
        <v>129</v>
      </c>
      <c r="U1255" t="str">
        <f t="shared" si="277"/>
        <v>Cardinal Medeiros Ave</v>
      </c>
      <c r="V1255" t="s">
        <v>19</v>
      </c>
      <c r="W1255" t="str">
        <f t="shared" si="278"/>
        <v>Cambridge St</v>
      </c>
      <c r="X1255" t="str">
        <f>IF(ISBLANK(S1255),"Intersection","Non-Intersection")</f>
        <v>Intersection</v>
      </c>
      <c r="Y1255" t="s">
        <v>2125</v>
      </c>
      <c r="Z1255" t="str">
        <f t="shared" si="27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280"/>
        <v>40179</v>
      </c>
      <c r="D1256" s="4">
        <f t="shared" si="281"/>
        <v>0.81917808219178079</v>
      </c>
      <c r="E1256" s="3">
        <f t="shared" si="282"/>
        <v>2010</v>
      </c>
      <c r="F1256" s="3">
        <f t="shared" si="283"/>
        <v>10</v>
      </c>
      <c r="G1256" s="3">
        <f t="shared" si="284"/>
        <v>27</v>
      </c>
      <c r="H1256" s="3">
        <f t="shared" si="285"/>
        <v>9</v>
      </c>
      <c r="I1256" s="3">
        <f t="shared" si="286"/>
        <v>30</v>
      </c>
      <c r="J1256" s="3">
        <f t="shared" si="28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288"/>
        <v>YES</v>
      </c>
      <c r="Q1256" t="str">
        <f t="shared" si="289"/>
        <v>NO</v>
      </c>
      <c r="R1256" t="str">
        <f t="shared" si="290"/>
        <v>NO</v>
      </c>
      <c r="S1256">
        <v>10</v>
      </c>
      <c r="T1256" t="s">
        <v>147</v>
      </c>
      <c r="U1256" t="str">
        <f t="shared" si="277"/>
        <v>Sixth St</v>
      </c>
      <c r="W1256" t="str">
        <f t="shared" si="278"/>
        <v/>
      </c>
      <c r="X1256" t="str">
        <f>IF(ISBLANK(S1256),"Intersection","Non-Intersection")</f>
        <v>Non-Intersection</v>
      </c>
      <c r="Y1256" t="s">
        <v>2126</v>
      </c>
      <c r="Z1256" t="str">
        <f t="shared" si="27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280"/>
        <v>40179</v>
      </c>
      <c r="D1257" s="4">
        <f t="shared" si="281"/>
        <v>0.81917808219178079</v>
      </c>
      <c r="E1257" s="3">
        <f t="shared" si="282"/>
        <v>2010</v>
      </c>
      <c r="F1257" s="3">
        <f t="shared" si="283"/>
        <v>10</v>
      </c>
      <c r="G1257" s="3">
        <f t="shared" si="284"/>
        <v>27</v>
      </c>
      <c r="H1257" s="3">
        <f t="shared" si="285"/>
        <v>9</v>
      </c>
      <c r="I1257" s="3">
        <f t="shared" si="286"/>
        <v>30</v>
      </c>
      <c r="J1257" s="3">
        <f t="shared" si="28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288"/>
        <v>YES</v>
      </c>
      <c r="Q1257" t="str">
        <f t="shared" si="289"/>
        <v>NO</v>
      </c>
      <c r="R1257" t="str">
        <f t="shared" si="290"/>
        <v>NO</v>
      </c>
      <c r="S1257">
        <v>1221</v>
      </c>
      <c r="T1257" t="s">
        <v>19</v>
      </c>
      <c r="U1257" t="str">
        <f t="shared" si="277"/>
        <v>Cambridge St</v>
      </c>
      <c r="V1257" t="s">
        <v>342</v>
      </c>
      <c r="W1257" t="str">
        <f t="shared" si="278"/>
        <v>Prospect St</v>
      </c>
      <c r="X1257" t="str">
        <f>IF(ISBLANK(S1257),"Intersection","Non-Intersection")</f>
        <v>Non-Intersection</v>
      </c>
      <c r="Y1257" t="s">
        <v>1557</v>
      </c>
      <c r="Z1257" t="str">
        <f t="shared" si="27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280"/>
        <v>40179</v>
      </c>
      <c r="D1258" s="4">
        <f t="shared" si="281"/>
        <v>0.81917808219178079</v>
      </c>
      <c r="E1258" s="3">
        <f t="shared" si="282"/>
        <v>2010</v>
      </c>
      <c r="F1258" s="3">
        <f t="shared" si="283"/>
        <v>10</v>
      </c>
      <c r="G1258" s="3">
        <f t="shared" si="284"/>
        <v>27</v>
      </c>
      <c r="H1258" s="3">
        <f t="shared" si="285"/>
        <v>9</v>
      </c>
      <c r="I1258" s="3">
        <f t="shared" si="286"/>
        <v>40</v>
      </c>
      <c r="J1258" s="3">
        <f t="shared" si="28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288"/>
        <v>YES</v>
      </c>
      <c r="Q1258" t="str">
        <f t="shared" si="289"/>
        <v>YES</v>
      </c>
      <c r="R1258" t="str">
        <f t="shared" si="290"/>
        <v>NO</v>
      </c>
      <c r="T1258" t="s">
        <v>14</v>
      </c>
      <c r="U1258" t="str">
        <f t="shared" si="277"/>
        <v>Massachusetts Ave</v>
      </c>
      <c r="V1258" t="s">
        <v>501</v>
      </c>
      <c r="W1258" t="str">
        <f t="shared" si="278"/>
        <v>Garfield St</v>
      </c>
      <c r="X1258" t="str">
        <f>IF(ISBLANK(S1258),"Intersection","Non-Intersection")</f>
        <v>Intersection</v>
      </c>
      <c r="Y1258" t="s">
        <v>2128</v>
      </c>
      <c r="Z1258" t="str">
        <f t="shared" si="27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280"/>
        <v>40179</v>
      </c>
      <c r="D1259" s="4">
        <f t="shared" si="281"/>
        <v>0.81917808219178079</v>
      </c>
      <c r="E1259" s="3">
        <f t="shared" si="282"/>
        <v>2010</v>
      </c>
      <c r="F1259" s="3">
        <f t="shared" si="283"/>
        <v>10</v>
      </c>
      <c r="G1259" s="3">
        <f t="shared" si="284"/>
        <v>27</v>
      </c>
      <c r="H1259" s="3">
        <f t="shared" si="285"/>
        <v>13</v>
      </c>
      <c r="I1259" s="3">
        <f t="shared" si="286"/>
        <v>15</v>
      </c>
      <c r="J1259" s="3">
        <f t="shared" si="28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288"/>
        <v>YES</v>
      </c>
      <c r="Q1259" t="str">
        <f t="shared" si="289"/>
        <v>NO</v>
      </c>
      <c r="R1259" t="str">
        <f t="shared" si="290"/>
        <v>NO</v>
      </c>
      <c r="T1259" t="s">
        <v>105</v>
      </c>
      <c r="U1259" t="str">
        <f t="shared" si="277"/>
        <v>Broadway</v>
      </c>
      <c r="V1259" t="s">
        <v>2130</v>
      </c>
      <c r="W1259" t="str">
        <f t="shared" si="278"/>
        <v>Boardman St</v>
      </c>
      <c r="X1259" t="str">
        <f>IF(ISBLANK(S1259),"Intersection","Non-Intersection")</f>
        <v>Intersection</v>
      </c>
      <c r="Y1259" t="s">
        <v>2131</v>
      </c>
      <c r="Z1259" t="str">
        <f t="shared" si="27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280"/>
        <v>40179</v>
      </c>
      <c r="D1260" s="4">
        <f t="shared" si="281"/>
        <v>0.81917808219178079</v>
      </c>
      <c r="E1260" s="3">
        <f t="shared" si="282"/>
        <v>2010</v>
      </c>
      <c r="F1260" s="3">
        <f t="shared" si="283"/>
        <v>10</v>
      </c>
      <c r="G1260" s="3">
        <f t="shared" si="284"/>
        <v>27</v>
      </c>
      <c r="H1260" s="3">
        <f t="shared" si="285"/>
        <v>18</v>
      </c>
      <c r="I1260" s="3">
        <f t="shared" si="286"/>
        <v>20</v>
      </c>
      <c r="J1260" s="3">
        <f t="shared" si="28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288"/>
        <v>YES</v>
      </c>
      <c r="Q1260" t="str">
        <f t="shared" si="289"/>
        <v>YES</v>
      </c>
      <c r="R1260" t="str">
        <f t="shared" si="290"/>
        <v>NO</v>
      </c>
      <c r="T1260" t="s">
        <v>101</v>
      </c>
      <c r="U1260" t="str">
        <f t="shared" si="277"/>
        <v>Columbia St</v>
      </c>
      <c r="V1260" t="s">
        <v>316</v>
      </c>
      <c r="W1260" t="str">
        <f t="shared" si="278"/>
        <v>Bishop Allen Dr</v>
      </c>
      <c r="X1260" t="str">
        <f>IF(ISBLANK(S1260),"Intersection","Non-Intersection")</f>
        <v>Intersection</v>
      </c>
      <c r="Y1260" t="s">
        <v>2065</v>
      </c>
      <c r="Z1260" t="str">
        <f t="shared" si="27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280"/>
        <v>40179</v>
      </c>
      <c r="D1261" s="4">
        <f t="shared" si="281"/>
        <v>0.81917808219178079</v>
      </c>
      <c r="E1261" s="3">
        <f t="shared" si="282"/>
        <v>2010</v>
      </c>
      <c r="F1261" s="3">
        <f t="shared" si="283"/>
        <v>10</v>
      </c>
      <c r="G1261" s="3">
        <f t="shared" si="284"/>
        <v>27</v>
      </c>
      <c r="H1261" s="3">
        <f t="shared" si="285"/>
        <v>16</v>
      </c>
      <c r="I1261" s="3">
        <f t="shared" si="286"/>
        <v>54</v>
      </c>
      <c r="J1261" s="3">
        <f t="shared" si="28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288"/>
        <v>YES</v>
      </c>
      <c r="Q1261" t="str">
        <f t="shared" si="289"/>
        <v>NO</v>
      </c>
      <c r="R1261" t="str">
        <f t="shared" si="290"/>
        <v>NO</v>
      </c>
      <c r="T1261" t="s">
        <v>142</v>
      </c>
      <c r="U1261" t="str">
        <f t="shared" si="277"/>
        <v>Huron Ave</v>
      </c>
      <c r="V1261" t="s">
        <v>2133</v>
      </c>
      <c r="W1261" t="str">
        <f t="shared" si="278"/>
        <v>Fountain Ter</v>
      </c>
      <c r="X1261" t="str">
        <f>IF(ISBLANK(S1261),"Intersection","Non-Intersection")</f>
        <v>Intersection</v>
      </c>
      <c r="Y1261" t="s">
        <v>2134</v>
      </c>
      <c r="Z1261" t="str">
        <f t="shared" si="27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280"/>
        <v>40179</v>
      </c>
      <c r="D1262" s="4">
        <f t="shared" si="281"/>
        <v>0.82191780821917804</v>
      </c>
      <c r="E1262" s="3">
        <f t="shared" si="282"/>
        <v>2010</v>
      </c>
      <c r="F1262" s="3">
        <f t="shared" si="283"/>
        <v>10</v>
      </c>
      <c r="G1262" s="3">
        <f t="shared" si="284"/>
        <v>28</v>
      </c>
      <c r="H1262" s="3">
        <f t="shared" si="285"/>
        <v>8</v>
      </c>
      <c r="I1262" s="3">
        <f t="shared" si="286"/>
        <v>29</v>
      </c>
      <c r="J1262" s="3">
        <f t="shared" si="28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288"/>
        <v>YES</v>
      </c>
      <c r="Q1262" t="str">
        <f t="shared" si="289"/>
        <v>NO</v>
      </c>
      <c r="R1262" t="str">
        <f t="shared" si="290"/>
        <v>YES</v>
      </c>
      <c r="T1262" t="s">
        <v>142</v>
      </c>
      <c r="U1262" t="str">
        <f t="shared" si="277"/>
        <v>Huron Ave</v>
      </c>
      <c r="V1262" t="s">
        <v>2136</v>
      </c>
      <c r="W1262" t="str">
        <f t="shared" si="278"/>
        <v>Gurney St</v>
      </c>
      <c r="X1262" t="str">
        <f>IF(ISBLANK(S1262),"Intersection","Non-Intersection")</f>
        <v>Intersection</v>
      </c>
      <c r="Y1262" t="s">
        <v>2137</v>
      </c>
      <c r="Z1262" t="str">
        <f t="shared" si="27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280"/>
        <v>40179</v>
      </c>
      <c r="D1263" s="4">
        <f t="shared" si="281"/>
        <v>0.82191780821917804</v>
      </c>
      <c r="E1263" s="3">
        <f t="shared" si="282"/>
        <v>2010</v>
      </c>
      <c r="F1263" s="3">
        <f t="shared" si="283"/>
        <v>10</v>
      </c>
      <c r="G1263" s="3">
        <f t="shared" si="284"/>
        <v>28</v>
      </c>
      <c r="H1263" s="3">
        <f t="shared" si="285"/>
        <v>9</v>
      </c>
      <c r="I1263" s="3">
        <f t="shared" si="286"/>
        <v>59</v>
      </c>
      <c r="J1263" s="3">
        <f t="shared" si="28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288"/>
        <v>YES</v>
      </c>
      <c r="Q1263" t="str">
        <f t="shared" si="289"/>
        <v>NO</v>
      </c>
      <c r="R1263" t="str">
        <f t="shared" si="290"/>
        <v>NO</v>
      </c>
      <c r="S1263">
        <v>1</v>
      </c>
      <c r="T1263" t="s">
        <v>1469</v>
      </c>
      <c r="U1263" t="str">
        <f t="shared" si="277"/>
        <v>Fresh Pond Ln</v>
      </c>
      <c r="W1263" t="str">
        <f t="shared" si="278"/>
        <v/>
      </c>
      <c r="X1263" t="str">
        <f>IF(ISBLANK(S1263),"Intersection","Non-Intersection")</f>
        <v>Non-Intersection</v>
      </c>
      <c r="Y1263" t="s">
        <v>2139</v>
      </c>
      <c r="Z1263" t="str">
        <f t="shared" si="27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280"/>
        <v>40179</v>
      </c>
      <c r="D1264" s="4">
        <f t="shared" si="281"/>
        <v>0.82191780821917804</v>
      </c>
      <c r="E1264" s="3">
        <f t="shared" si="282"/>
        <v>2010</v>
      </c>
      <c r="F1264" s="3">
        <f t="shared" si="283"/>
        <v>10</v>
      </c>
      <c r="G1264" s="3">
        <f t="shared" si="284"/>
        <v>28</v>
      </c>
      <c r="H1264" s="3">
        <f t="shared" si="285"/>
        <v>10</v>
      </c>
      <c r="I1264" s="3">
        <f t="shared" si="286"/>
        <v>34</v>
      </c>
      <c r="J1264" s="3">
        <f t="shared" si="28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288"/>
        <v>YES</v>
      </c>
      <c r="Q1264" t="str">
        <f t="shared" si="289"/>
        <v>NO</v>
      </c>
      <c r="R1264" t="str">
        <f t="shared" si="290"/>
        <v>NO</v>
      </c>
      <c r="T1264" t="s">
        <v>105</v>
      </c>
      <c r="U1264" t="str">
        <f t="shared" si="277"/>
        <v>Broadway</v>
      </c>
      <c r="V1264" t="s">
        <v>79</v>
      </c>
      <c r="W1264" t="str">
        <f t="shared" si="278"/>
        <v>Ames St</v>
      </c>
      <c r="X1264" t="str">
        <f>IF(ISBLANK(S1264),"Intersection","Non-Intersection")</f>
        <v>Intersection</v>
      </c>
      <c r="Y1264" t="s">
        <v>1346</v>
      </c>
      <c r="Z1264" t="str">
        <f t="shared" si="27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280"/>
        <v>40179</v>
      </c>
      <c r="D1265" s="4">
        <f t="shared" si="281"/>
        <v>0.82191780821917804</v>
      </c>
      <c r="E1265" s="3">
        <f t="shared" si="282"/>
        <v>2010</v>
      </c>
      <c r="F1265" s="3">
        <f t="shared" si="283"/>
        <v>10</v>
      </c>
      <c r="G1265" s="3">
        <f t="shared" si="284"/>
        <v>28</v>
      </c>
      <c r="H1265" s="3">
        <f t="shared" si="285"/>
        <v>14</v>
      </c>
      <c r="I1265" s="3">
        <f t="shared" si="286"/>
        <v>29</v>
      </c>
      <c r="J1265" s="3">
        <f t="shared" si="28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288"/>
        <v>YES</v>
      </c>
      <c r="Q1265" t="str">
        <f t="shared" si="289"/>
        <v>NO</v>
      </c>
      <c r="R1265" t="str">
        <f t="shared" si="290"/>
        <v>NO</v>
      </c>
      <c r="T1265" t="s">
        <v>326</v>
      </c>
      <c r="U1265" t="str">
        <f t="shared" si="277"/>
        <v>Jfk St</v>
      </c>
      <c r="V1265" t="s">
        <v>198</v>
      </c>
      <c r="W1265" t="str">
        <f t="shared" si="278"/>
        <v>Mount Auburn St</v>
      </c>
      <c r="X1265" t="str">
        <f>IF(ISBLANK(S1265),"Intersection","Non-Intersection")</f>
        <v>Intersection</v>
      </c>
      <c r="Y1265" t="s">
        <v>385</v>
      </c>
      <c r="Z1265" t="str">
        <f t="shared" si="27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280"/>
        <v>40179</v>
      </c>
      <c r="D1266" s="4">
        <f t="shared" si="281"/>
        <v>0.82191780821917804</v>
      </c>
      <c r="E1266" s="3">
        <f t="shared" si="282"/>
        <v>2010</v>
      </c>
      <c r="F1266" s="3">
        <f t="shared" si="283"/>
        <v>10</v>
      </c>
      <c r="G1266" s="3">
        <f t="shared" si="284"/>
        <v>28</v>
      </c>
      <c r="H1266" s="3">
        <f t="shared" si="285"/>
        <v>8</v>
      </c>
      <c r="I1266" s="3">
        <f t="shared" si="286"/>
        <v>39</v>
      </c>
      <c r="J1266" s="3">
        <f t="shared" si="28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288"/>
        <v>YES</v>
      </c>
      <c r="Q1266" t="str">
        <f t="shared" si="289"/>
        <v>NO</v>
      </c>
      <c r="R1266" t="str">
        <f t="shared" si="290"/>
        <v>NO</v>
      </c>
      <c r="S1266">
        <v>359</v>
      </c>
      <c r="T1266" t="s">
        <v>19</v>
      </c>
      <c r="U1266" t="str">
        <f t="shared" si="277"/>
        <v>Cambridge St</v>
      </c>
      <c r="W1266" t="str">
        <f t="shared" si="278"/>
        <v/>
      </c>
      <c r="X1266" t="str">
        <f>IF(ISBLANK(S1266),"Intersection","Non-Intersection")</f>
        <v>Non-Intersection</v>
      </c>
      <c r="Y1266" t="s">
        <v>2141</v>
      </c>
      <c r="Z1266" t="str">
        <f t="shared" si="27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280"/>
        <v>40179</v>
      </c>
      <c r="D1267" s="4">
        <f t="shared" si="281"/>
        <v>0.8246575342465754</v>
      </c>
      <c r="E1267" s="3">
        <f t="shared" si="282"/>
        <v>2010</v>
      </c>
      <c r="F1267" s="3">
        <f t="shared" si="283"/>
        <v>10</v>
      </c>
      <c r="G1267" s="3">
        <f t="shared" si="284"/>
        <v>29</v>
      </c>
      <c r="H1267" s="3">
        <f t="shared" si="285"/>
        <v>13</v>
      </c>
      <c r="I1267" s="3">
        <f t="shared" si="286"/>
        <v>50</v>
      </c>
      <c r="J1267" s="3">
        <f t="shared" si="28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288"/>
        <v>YES</v>
      </c>
      <c r="Q1267" t="str">
        <f t="shared" si="289"/>
        <v>NO</v>
      </c>
      <c r="R1267" t="str">
        <f t="shared" si="290"/>
        <v>NO</v>
      </c>
      <c r="T1267" t="s">
        <v>342</v>
      </c>
      <c r="U1267" t="str">
        <f t="shared" si="277"/>
        <v>Prospect St</v>
      </c>
      <c r="V1267" t="s">
        <v>133</v>
      </c>
      <c r="W1267" t="str">
        <f t="shared" si="278"/>
        <v>Harvard St</v>
      </c>
      <c r="X1267" t="str">
        <f>IF(ISBLANK(S1267),"Intersection","Non-Intersection")</f>
        <v>Intersection</v>
      </c>
      <c r="Y1267" t="s">
        <v>884</v>
      </c>
      <c r="Z1267" t="str">
        <f t="shared" si="27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280"/>
        <v>40179</v>
      </c>
      <c r="D1268" s="4">
        <f t="shared" si="281"/>
        <v>0.8246575342465754</v>
      </c>
      <c r="E1268" s="3">
        <f t="shared" si="282"/>
        <v>2010</v>
      </c>
      <c r="F1268" s="3">
        <f t="shared" si="283"/>
        <v>10</v>
      </c>
      <c r="G1268" s="3">
        <f t="shared" si="284"/>
        <v>29</v>
      </c>
      <c r="H1268" s="3">
        <f t="shared" si="285"/>
        <v>7</v>
      </c>
      <c r="I1268" s="3">
        <f t="shared" si="286"/>
        <v>28</v>
      </c>
      <c r="J1268" s="3">
        <f t="shared" si="28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288"/>
        <v>YES</v>
      </c>
      <c r="Q1268" t="str">
        <f t="shared" si="289"/>
        <v>NO</v>
      </c>
      <c r="R1268" t="str">
        <f t="shared" si="290"/>
        <v>NO</v>
      </c>
      <c r="S1268">
        <v>54</v>
      </c>
      <c r="T1268" t="s">
        <v>2143</v>
      </c>
      <c r="U1268" t="str">
        <f t="shared" si="277"/>
        <v>Cambridge Pky</v>
      </c>
      <c r="W1268" t="str">
        <f t="shared" si="278"/>
        <v/>
      </c>
      <c r="X1268" t="str">
        <f>IF(ISBLANK(S1268),"Intersection","Non-Intersection")</f>
        <v>Non-Intersection</v>
      </c>
      <c r="Y1268" t="s">
        <v>2144</v>
      </c>
      <c r="Z1268" t="str">
        <f t="shared" si="27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280"/>
        <v>40179</v>
      </c>
      <c r="D1269" s="4">
        <f t="shared" si="281"/>
        <v>0.8246575342465754</v>
      </c>
      <c r="E1269" s="3">
        <f t="shared" si="282"/>
        <v>2010</v>
      </c>
      <c r="F1269" s="3">
        <f t="shared" si="283"/>
        <v>10</v>
      </c>
      <c r="G1269" s="3">
        <f t="shared" si="284"/>
        <v>29</v>
      </c>
      <c r="H1269" s="3">
        <f t="shared" si="285"/>
        <v>10</v>
      </c>
      <c r="I1269" s="3">
        <f t="shared" si="286"/>
        <v>15</v>
      </c>
      <c r="J1269" s="3">
        <f t="shared" si="28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288"/>
        <v>YES</v>
      </c>
      <c r="Q1269" t="str">
        <f t="shared" si="289"/>
        <v>NO</v>
      </c>
      <c r="R1269" t="str">
        <f t="shared" si="290"/>
        <v>NO</v>
      </c>
      <c r="S1269">
        <v>99</v>
      </c>
      <c r="T1269" t="s">
        <v>198</v>
      </c>
      <c r="U1269" t="str">
        <f t="shared" si="277"/>
        <v>Mount Auburn St</v>
      </c>
      <c r="V1269" t="s">
        <v>199</v>
      </c>
      <c r="W1269" t="str">
        <f t="shared" si="278"/>
        <v>Brattle St</v>
      </c>
      <c r="X1269" t="str">
        <f>IF(ISBLANK(S1269),"Intersection","Non-Intersection")</f>
        <v>Non-Intersection</v>
      </c>
      <c r="Y1269" t="s">
        <v>2145</v>
      </c>
      <c r="Z1269" t="str">
        <f t="shared" si="27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280"/>
        <v>40179</v>
      </c>
      <c r="D1270" s="4">
        <f t="shared" si="281"/>
        <v>0.8246575342465754</v>
      </c>
      <c r="E1270" s="3">
        <f t="shared" si="282"/>
        <v>2010</v>
      </c>
      <c r="F1270" s="3">
        <f t="shared" si="283"/>
        <v>10</v>
      </c>
      <c r="G1270" s="3">
        <f t="shared" si="284"/>
        <v>29</v>
      </c>
      <c r="H1270" s="3">
        <f t="shared" si="285"/>
        <v>20</v>
      </c>
      <c r="I1270" s="3">
        <f t="shared" si="286"/>
        <v>10</v>
      </c>
      <c r="J1270" s="3">
        <f t="shared" si="28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288"/>
        <v>YES</v>
      </c>
      <c r="Q1270" t="str">
        <f t="shared" si="289"/>
        <v>NO</v>
      </c>
      <c r="R1270" t="str">
        <f t="shared" si="290"/>
        <v>YES</v>
      </c>
      <c r="S1270">
        <v>99</v>
      </c>
      <c r="T1270" t="s">
        <v>198</v>
      </c>
      <c r="U1270" t="str">
        <f t="shared" si="277"/>
        <v>Mount Auburn St</v>
      </c>
      <c r="W1270" t="str">
        <f t="shared" si="278"/>
        <v/>
      </c>
      <c r="X1270" t="str">
        <f>IF(ISBLANK(S1270),"Intersection","Non-Intersection")</f>
        <v>Non-Intersection</v>
      </c>
      <c r="Y1270" t="s">
        <v>2145</v>
      </c>
      <c r="Z1270" t="str">
        <f t="shared" si="27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280"/>
        <v>40179</v>
      </c>
      <c r="D1271" s="4">
        <f t="shared" si="281"/>
        <v>0.82739726027397265</v>
      </c>
      <c r="E1271" s="3">
        <f t="shared" si="282"/>
        <v>2010</v>
      </c>
      <c r="F1271" s="3">
        <f t="shared" si="283"/>
        <v>10</v>
      </c>
      <c r="G1271" s="3">
        <f t="shared" si="284"/>
        <v>30</v>
      </c>
      <c r="H1271" s="3">
        <f t="shared" si="285"/>
        <v>11</v>
      </c>
      <c r="I1271" s="3">
        <f t="shared" si="286"/>
        <v>3</v>
      </c>
      <c r="J1271" s="3">
        <f t="shared" si="28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288"/>
        <v>YES</v>
      </c>
      <c r="Q1271" t="str">
        <f t="shared" si="289"/>
        <v>YES</v>
      </c>
      <c r="R1271" t="str">
        <f t="shared" si="290"/>
        <v>NO</v>
      </c>
      <c r="S1271">
        <v>575</v>
      </c>
      <c r="T1271" t="s">
        <v>14</v>
      </c>
      <c r="U1271" t="str">
        <f t="shared" si="277"/>
        <v>Massachusetts Ave</v>
      </c>
      <c r="W1271" t="str">
        <f t="shared" si="278"/>
        <v/>
      </c>
      <c r="X1271" t="str">
        <f>IF(ISBLANK(S1271),"Intersection","Non-Intersection")</f>
        <v>Non-Intersection</v>
      </c>
      <c r="Y1271" t="s">
        <v>2147</v>
      </c>
      <c r="Z1271" t="str">
        <f t="shared" si="27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280"/>
        <v>40179</v>
      </c>
      <c r="D1272" s="4">
        <f t="shared" si="281"/>
        <v>0.82739726027397265</v>
      </c>
      <c r="E1272" s="3">
        <f t="shared" si="282"/>
        <v>2010</v>
      </c>
      <c r="F1272" s="3">
        <f t="shared" si="283"/>
        <v>10</v>
      </c>
      <c r="G1272" s="3">
        <f t="shared" si="284"/>
        <v>30</v>
      </c>
      <c r="H1272" s="3">
        <f t="shared" si="285"/>
        <v>12</v>
      </c>
      <c r="I1272" s="3">
        <f t="shared" si="286"/>
        <v>30</v>
      </c>
      <c r="J1272" s="3">
        <f t="shared" si="28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288"/>
        <v>YES</v>
      </c>
      <c r="Q1272" t="str">
        <f t="shared" si="289"/>
        <v>NO</v>
      </c>
      <c r="R1272" t="str">
        <f t="shared" si="290"/>
        <v>NO</v>
      </c>
      <c r="S1272">
        <v>94</v>
      </c>
      <c r="T1272" t="s">
        <v>74</v>
      </c>
      <c r="U1272" t="str">
        <f t="shared" si="277"/>
        <v>Hampshire St</v>
      </c>
      <c r="W1272" t="str">
        <f t="shared" si="278"/>
        <v/>
      </c>
      <c r="X1272" t="str">
        <f>IF(ISBLANK(S1272),"Intersection","Non-Intersection")</f>
        <v>Non-Intersection</v>
      </c>
      <c r="Y1272" t="s">
        <v>2149</v>
      </c>
      <c r="Z1272" t="str">
        <f t="shared" si="27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280"/>
        <v>40179</v>
      </c>
      <c r="D1273" s="4">
        <f t="shared" si="281"/>
        <v>0.82739726027397265</v>
      </c>
      <c r="E1273" s="3">
        <f t="shared" si="282"/>
        <v>2010</v>
      </c>
      <c r="F1273" s="3">
        <f t="shared" si="283"/>
        <v>10</v>
      </c>
      <c r="G1273" s="3">
        <f t="shared" si="284"/>
        <v>30</v>
      </c>
      <c r="H1273" s="3">
        <f t="shared" si="285"/>
        <v>12</v>
      </c>
      <c r="I1273" s="3">
        <f t="shared" si="286"/>
        <v>0</v>
      </c>
      <c r="J1273" s="3">
        <f t="shared" si="28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288"/>
        <v>YES</v>
      </c>
      <c r="Q1273" t="str">
        <f t="shared" si="289"/>
        <v>NO</v>
      </c>
      <c r="R1273" t="str">
        <f t="shared" si="290"/>
        <v>NO</v>
      </c>
      <c r="S1273">
        <v>20</v>
      </c>
      <c r="T1273" t="s">
        <v>1906</v>
      </c>
      <c r="U1273" t="str">
        <f t="shared" si="277"/>
        <v>Holyoke St</v>
      </c>
      <c r="W1273" t="str">
        <f t="shared" si="278"/>
        <v/>
      </c>
      <c r="X1273" t="str">
        <f>IF(ISBLANK(S1273),"Intersection","Non-Intersection")</f>
        <v>Non-Intersection</v>
      </c>
      <c r="Y1273" t="s">
        <v>2151</v>
      </c>
      <c r="Z1273" t="str">
        <f t="shared" si="27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280"/>
        <v>40179</v>
      </c>
      <c r="D1274" s="4">
        <f t="shared" si="281"/>
        <v>0.82739726027397265</v>
      </c>
      <c r="E1274" s="3">
        <f t="shared" si="282"/>
        <v>2010</v>
      </c>
      <c r="F1274" s="3">
        <f t="shared" si="283"/>
        <v>10</v>
      </c>
      <c r="G1274" s="3">
        <f t="shared" si="284"/>
        <v>30</v>
      </c>
      <c r="H1274" s="3">
        <f t="shared" si="285"/>
        <v>9</v>
      </c>
      <c r="I1274" s="3">
        <f t="shared" si="286"/>
        <v>0</v>
      </c>
      <c r="J1274" s="3">
        <f t="shared" si="28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288"/>
        <v>YES</v>
      </c>
      <c r="Q1274" t="str">
        <f t="shared" si="289"/>
        <v>NO</v>
      </c>
      <c r="R1274" t="str">
        <f t="shared" si="290"/>
        <v>YES</v>
      </c>
      <c r="T1274" t="s">
        <v>14</v>
      </c>
      <c r="U1274" t="str">
        <f t="shared" si="277"/>
        <v>Massachusetts Ave</v>
      </c>
      <c r="V1274" t="s">
        <v>70</v>
      </c>
      <c r="W1274" t="str">
        <f t="shared" si="278"/>
        <v>Pearl St</v>
      </c>
      <c r="X1274" t="str">
        <f>IF(ISBLANK(S1274),"Intersection","Non-Intersection")</f>
        <v>Intersection</v>
      </c>
      <c r="Y1274" t="s">
        <v>855</v>
      </c>
      <c r="Z1274" t="str">
        <f t="shared" si="27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280"/>
        <v>40179</v>
      </c>
      <c r="D1275" s="4">
        <f t="shared" si="281"/>
        <v>0.83013698630136989</v>
      </c>
      <c r="E1275" s="3">
        <f t="shared" si="282"/>
        <v>2010</v>
      </c>
      <c r="F1275" s="3">
        <f t="shared" si="283"/>
        <v>10</v>
      </c>
      <c r="G1275" s="3">
        <f t="shared" si="284"/>
        <v>31</v>
      </c>
      <c r="H1275" s="3">
        <f t="shared" si="285"/>
        <v>7</v>
      </c>
      <c r="I1275" s="3">
        <f t="shared" si="286"/>
        <v>2</v>
      </c>
      <c r="J1275" s="3">
        <f t="shared" si="28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288"/>
        <v>YES</v>
      </c>
      <c r="Q1275" t="str">
        <f t="shared" si="289"/>
        <v>NO</v>
      </c>
      <c r="R1275" t="str">
        <f t="shared" si="290"/>
        <v>NO</v>
      </c>
      <c r="T1275" t="s">
        <v>199</v>
      </c>
      <c r="U1275" t="str">
        <f t="shared" si="277"/>
        <v>Brattle St</v>
      </c>
      <c r="V1275" t="s">
        <v>710</v>
      </c>
      <c r="W1275" t="str">
        <f t="shared" si="278"/>
        <v>Fresh Pond Pky</v>
      </c>
      <c r="X1275" t="str">
        <f>IF(ISBLANK(S1275),"Intersection","Non-Intersection")</f>
        <v>Intersection</v>
      </c>
      <c r="Y1275" t="s">
        <v>2153</v>
      </c>
      <c r="Z1275" t="str">
        <f t="shared" si="27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280"/>
        <v>40179</v>
      </c>
      <c r="D1276" s="4">
        <f t="shared" si="281"/>
        <v>0.83013698630136989</v>
      </c>
      <c r="E1276" s="3">
        <f t="shared" si="282"/>
        <v>2010</v>
      </c>
      <c r="F1276" s="3">
        <f t="shared" si="283"/>
        <v>10</v>
      </c>
      <c r="G1276" s="3">
        <f t="shared" si="284"/>
        <v>31</v>
      </c>
      <c r="H1276" s="3">
        <f t="shared" si="285"/>
        <v>13</v>
      </c>
      <c r="I1276" s="3">
        <f t="shared" si="286"/>
        <v>44</v>
      </c>
      <c r="J1276" s="3">
        <f t="shared" si="28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288"/>
        <v>YES</v>
      </c>
      <c r="Q1276" t="str">
        <f t="shared" si="289"/>
        <v>NO</v>
      </c>
      <c r="R1276" t="str">
        <f t="shared" si="290"/>
        <v>NO</v>
      </c>
      <c r="S1276">
        <v>2615</v>
      </c>
      <c r="T1276" t="s">
        <v>14</v>
      </c>
      <c r="U1276" t="str">
        <f t="shared" si="277"/>
        <v>Massachusetts Ave</v>
      </c>
      <c r="V1276" t="s">
        <v>710</v>
      </c>
      <c r="W1276" t="str">
        <f t="shared" si="278"/>
        <v>Fresh Pond Pky</v>
      </c>
      <c r="X1276" t="str">
        <f>IF(ISBLANK(S1276),"Intersection","Non-Intersection")</f>
        <v>Non-Intersection</v>
      </c>
      <c r="Y1276" t="s">
        <v>1530</v>
      </c>
      <c r="Z1276" t="str">
        <f t="shared" si="27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280"/>
        <v>40179</v>
      </c>
      <c r="D1277" s="4">
        <f t="shared" si="281"/>
        <v>0.83013698630136989</v>
      </c>
      <c r="E1277" s="3">
        <f t="shared" si="282"/>
        <v>2010</v>
      </c>
      <c r="F1277" s="3">
        <f t="shared" si="283"/>
        <v>10</v>
      </c>
      <c r="G1277" s="3">
        <f t="shared" si="284"/>
        <v>31</v>
      </c>
      <c r="H1277" s="3">
        <f t="shared" si="285"/>
        <v>12</v>
      </c>
      <c r="I1277" s="3">
        <f t="shared" si="286"/>
        <v>34</v>
      </c>
      <c r="J1277" s="3">
        <f t="shared" si="28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288"/>
        <v>YES</v>
      </c>
      <c r="Q1277" t="str">
        <f t="shared" si="289"/>
        <v>NO</v>
      </c>
      <c r="R1277" t="str">
        <f t="shared" si="290"/>
        <v>NO</v>
      </c>
      <c r="T1277" t="s">
        <v>198</v>
      </c>
      <c r="U1277" t="str">
        <f t="shared" si="277"/>
        <v>Mount Auburn St</v>
      </c>
      <c r="V1277" t="s">
        <v>464</v>
      </c>
      <c r="W1277" t="str">
        <f t="shared" si="278"/>
        <v>Aberdeen Way</v>
      </c>
      <c r="X1277" t="str">
        <f>IF(ISBLANK(S1277),"Intersection","Non-Intersection")</f>
        <v>Intersection</v>
      </c>
      <c r="Y1277" t="s">
        <v>1666</v>
      </c>
      <c r="Z1277" t="str">
        <f t="shared" si="27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280"/>
        <v>40179</v>
      </c>
      <c r="D1278" s="4">
        <f t="shared" si="281"/>
        <v>0.83287671232876714</v>
      </c>
      <c r="E1278" s="3">
        <f t="shared" si="282"/>
        <v>2010</v>
      </c>
      <c r="F1278" s="3">
        <f t="shared" si="283"/>
        <v>11</v>
      </c>
      <c r="G1278" s="3">
        <f t="shared" si="284"/>
        <v>1</v>
      </c>
      <c r="H1278" s="3">
        <f t="shared" si="285"/>
        <v>5</v>
      </c>
      <c r="I1278" s="3">
        <f t="shared" si="286"/>
        <v>55</v>
      </c>
      <c r="J1278" s="3">
        <f t="shared" si="28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288"/>
        <v>YES</v>
      </c>
      <c r="Q1278" t="str">
        <f t="shared" si="289"/>
        <v>NO</v>
      </c>
      <c r="R1278" t="str">
        <f t="shared" si="290"/>
        <v>NO</v>
      </c>
      <c r="S1278">
        <v>1</v>
      </c>
      <c r="T1278" t="s">
        <v>2155</v>
      </c>
      <c r="U1278" t="str">
        <f t="shared" si="277"/>
        <v>Shady Hill Rd</v>
      </c>
      <c r="V1278" t="s">
        <v>2156</v>
      </c>
      <c r="W1278" t="str">
        <f t="shared" si="278"/>
        <v>Scott St</v>
      </c>
      <c r="X1278" t="str">
        <f>IF(ISBLANK(S1278),"Intersection","Non-Intersection")</f>
        <v>Non-Intersection</v>
      </c>
      <c r="Y1278" t="s">
        <v>2157</v>
      </c>
      <c r="Z1278" t="str">
        <f t="shared" si="27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280"/>
        <v>40179</v>
      </c>
      <c r="D1279" s="4">
        <f t="shared" si="281"/>
        <v>0.83287671232876714</v>
      </c>
      <c r="E1279" s="3">
        <f t="shared" si="282"/>
        <v>2010</v>
      </c>
      <c r="F1279" s="3">
        <f t="shared" si="283"/>
        <v>11</v>
      </c>
      <c r="G1279" s="3">
        <f t="shared" si="284"/>
        <v>1</v>
      </c>
      <c r="H1279" s="3">
        <f t="shared" si="285"/>
        <v>7</v>
      </c>
      <c r="I1279" s="3">
        <f t="shared" si="286"/>
        <v>54</v>
      </c>
      <c r="J1279" s="3">
        <f t="shared" si="28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288"/>
        <v>YES</v>
      </c>
      <c r="Q1279" t="str">
        <f t="shared" si="289"/>
        <v>YES</v>
      </c>
      <c r="R1279" t="str">
        <f t="shared" si="290"/>
        <v>NO</v>
      </c>
      <c r="T1279" t="s">
        <v>133</v>
      </c>
      <c r="U1279" t="str">
        <f t="shared" si="277"/>
        <v>Harvard St</v>
      </c>
      <c r="V1279" t="s">
        <v>2158</v>
      </c>
      <c r="W1279" t="str">
        <f t="shared" si="278"/>
        <v>Lee St</v>
      </c>
      <c r="X1279" t="str">
        <f>IF(ISBLANK(S1279),"Intersection","Non-Intersection")</f>
        <v>Intersection</v>
      </c>
      <c r="Y1279" t="s">
        <v>2159</v>
      </c>
      <c r="Z1279" t="str">
        <f t="shared" si="27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280"/>
        <v>40179</v>
      </c>
      <c r="D1280" s="4">
        <f t="shared" si="281"/>
        <v>0.83287671232876714</v>
      </c>
      <c r="E1280" s="3">
        <f t="shared" si="282"/>
        <v>2010</v>
      </c>
      <c r="F1280" s="3">
        <f t="shared" si="283"/>
        <v>11</v>
      </c>
      <c r="G1280" s="3">
        <f t="shared" si="284"/>
        <v>1</v>
      </c>
      <c r="H1280" s="3">
        <f t="shared" si="285"/>
        <v>8</v>
      </c>
      <c r="I1280" s="3">
        <f t="shared" si="286"/>
        <v>29</v>
      </c>
      <c r="J1280" s="3">
        <f t="shared" si="28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288"/>
        <v>YES</v>
      </c>
      <c r="Q1280" t="str">
        <f t="shared" si="289"/>
        <v>NO</v>
      </c>
      <c r="R1280" t="str">
        <f t="shared" si="290"/>
        <v>NO</v>
      </c>
      <c r="S1280">
        <v>297</v>
      </c>
      <c r="T1280" t="s">
        <v>105</v>
      </c>
      <c r="U1280" t="str">
        <f t="shared" si="277"/>
        <v>Broadway</v>
      </c>
      <c r="V1280" t="s">
        <v>745</v>
      </c>
      <c r="W1280" t="str">
        <f t="shared" si="278"/>
        <v>Norfolk St</v>
      </c>
      <c r="X1280" t="str">
        <f>IF(ISBLANK(S1280),"Intersection","Non-Intersection")</f>
        <v>Non-Intersection</v>
      </c>
      <c r="Y1280" t="s">
        <v>2161</v>
      </c>
      <c r="Z1280" t="str">
        <f t="shared" si="27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280"/>
        <v>40179</v>
      </c>
      <c r="D1281" s="4">
        <f t="shared" si="281"/>
        <v>0.83287671232876714</v>
      </c>
      <c r="E1281" s="3">
        <f t="shared" si="282"/>
        <v>2010</v>
      </c>
      <c r="F1281" s="3">
        <f t="shared" si="283"/>
        <v>11</v>
      </c>
      <c r="G1281" s="3">
        <f t="shared" si="284"/>
        <v>1</v>
      </c>
      <c r="H1281" s="3">
        <f t="shared" si="285"/>
        <v>18</v>
      </c>
      <c r="I1281" s="3">
        <f t="shared" si="286"/>
        <v>18</v>
      </c>
      <c r="J1281" s="3">
        <f t="shared" si="28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288"/>
        <v>YES</v>
      </c>
      <c r="Q1281" t="str">
        <f t="shared" si="289"/>
        <v>NO</v>
      </c>
      <c r="R1281" t="str">
        <f t="shared" si="290"/>
        <v>NO</v>
      </c>
      <c r="S1281">
        <v>358</v>
      </c>
      <c r="T1281" t="s">
        <v>142</v>
      </c>
      <c r="U1281" t="str">
        <f t="shared" si="277"/>
        <v>Huron Ave</v>
      </c>
      <c r="W1281" t="str">
        <f t="shared" si="278"/>
        <v/>
      </c>
      <c r="X1281" t="str">
        <f>IF(ISBLANK(S1281),"Intersection","Non-Intersection")</f>
        <v>Non-Intersection</v>
      </c>
      <c r="Y1281" t="s">
        <v>2163</v>
      </c>
      <c r="Z1281" t="str">
        <f t="shared" si="27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280"/>
        <v>40179</v>
      </c>
      <c r="D1282" s="4">
        <f t="shared" si="281"/>
        <v>0.83287671232876714</v>
      </c>
      <c r="E1282" s="3">
        <f t="shared" si="282"/>
        <v>2010</v>
      </c>
      <c r="F1282" s="3">
        <f t="shared" si="283"/>
        <v>11</v>
      </c>
      <c r="G1282" s="3">
        <f t="shared" si="284"/>
        <v>1</v>
      </c>
      <c r="H1282" s="3">
        <f t="shared" si="285"/>
        <v>12</v>
      </c>
      <c r="I1282" s="3">
        <f t="shared" si="286"/>
        <v>40</v>
      </c>
      <c r="J1282" s="3">
        <f t="shared" si="28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288"/>
        <v>YES</v>
      </c>
      <c r="Q1282" t="str">
        <f t="shared" si="289"/>
        <v>NO</v>
      </c>
      <c r="R1282" t="str">
        <f t="shared" si="290"/>
        <v>NO</v>
      </c>
      <c r="T1282" t="s">
        <v>249</v>
      </c>
      <c r="U1282" t="str">
        <f t="shared" si="277"/>
        <v>Landsdowne St</v>
      </c>
      <c r="V1282" t="s">
        <v>14</v>
      </c>
      <c r="W1282" t="str">
        <f t="shared" si="278"/>
        <v>Massachusetts Ave</v>
      </c>
      <c r="X1282" t="str">
        <f>IF(ISBLANK(S1282),"Intersection","Non-Intersection")</f>
        <v>Intersection</v>
      </c>
      <c r="Y1282" t="s">
        <v>2165</v>
      </c>
      <c r="Z1282" t="str">
        <f t="shared" si="27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280"/>
        <v>40179</v>
      </c>
      <c r="D1283" s="4">
        <f t="shared" si="281"/>
        <v>0.83287671232876714</v>
      </c>
      <c r="E1283" s="3">
        <f t="shared" si="282"/>
        <v>2010</v>
      </c>
      <c r="F1283" s="3">
        <f t="shared" si="283"/>
        <v>11</v>
      </c>
      <c r="G1283" s="3">
        <f t="shared" si="284"/>
        <v>1</v>
      </c>
      <c r="H1283" s="3">
        <f t="shared" si="285"/>
        <v>22</v>
      </c>
      <c r="I1283" s="3">
        <f t="shared" si="286"/>
        <v>25</v>
      </c>
      <c r="J1283" s="3">
        <f t="shared" si="28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288"/>
        <v>YES</v>
      </c>
      <c r="Q1283" t="str">
        <f t="shared" si="289"/>
        <v>YES</v>
      </c>
      <c r="R1283" t="str">
        <f t="shared" si="290"/>
        <v>NO</v>
      </c>
      <c r="S1283">
        <v>199</v>
      </c>
      <c r="T1283" t="s">
        <v>74</v>
      </c>
      <c r="U1283" t="str">
        <f t="shared" ref="U1283:U1346" si="291">TRIM(PROPER(T1283))</f>
        <v>Hampshire St</v>
      </c>
      <c r="W1283" t="str">
        <f t="shared" ref="W1283:W1346" si="292">TRIM(PROPER(V1283))</f>
        <v/>
      </c>
      <c r="X1283" t="str">
        <f>IF(ISBLANK(S1283),"Intersection","Non-Intersection")</f>
        <v>Non-Intersection</v>
      </c>
      <c r="Y1283" t="s">
        <v>2166</v>
      </c>
      <c r="Z1283" t="str">
        <f t="shared" ref="Z1283:Z1346" si="293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280"/>
        <v>40179</v>
      </c>
      <c r="D1284" s="4">
        <f t="shared" si="281"/>
        <v>0.83561643835616439</v>
      </c>
      <c r="E1284" s="3">
        <f t="shared" si="282"/>
        <v>2010</v>
      </c>
      <c r="F1284" s="3">
        <f t="shared" si="283"/>
        <v>11</v>
      </c>
      <c r="G1284" s="3">
        <f t="shared" si="284"/>
        <v>2</v>
      </c>
      <c r="H1284" s="3">
        <f t="shared" si="285"/>
        <v>16</v>
      </c>
      <c r="I1284" s="3">
        <f t="shared" si="286"/>
        <v>28</v>
      </c>
      <c r="J1284" s="3">
        <f t="shared" si="28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288"/>
        <v>YES</v>
      </c>
      <c r="Q1284" t="str">
        <f t="shared" si="289"/>
        <v>YES</v>
      </c>
      <c r="R1284" t="str">
        <f t="shared" si="290"/>
        <v>NO</v>
      </c>
      <c r="T1284" t="s">
        <v>27</v>
      </c>
      <c r="U1284" t="str">
        <f t="shared" si="291"/>
        <v>Western Ave</v>
      </c>
      <c r="V1284" t="s">
        <v>178</v>
      </c>
      <c r="W1284" t="str">
        <f t="shared" si="292"/>
        <v>Pleasant St</v>
      </c>
      <c r="X1284" t="str">
        <f>IF(ISBLANK(S1284),"Intersection","Non-Intersection")</f>
        <v>Intersection</v>
      </c>
      <c r="Y1284" t="s">
        <v>950</v>
      </c>
      <c r="Z1284" t="str">
        <f t="shared" si="293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294">EOMONTH(B1285,MONTH(B1285)*-1)+1</f>
        <v>40179</v>
      </c>
      <c r="D1285" s="4">
        <f t="shared" ref="D1285:D1348" si="295">YEARFRAC(C1285,B1285,1)</f>
        <v>0.83561643835616439</v>
      </c>
      <c r="E1285" s="3">
        <f t="shared" ref="E1285:E1348" si="296">YEAR(B1285)</f>
        <v>2010</v>
      </c>
      <c r="F1285" s="3">
        <f t="shared" ref="F1285:F1348" si="297">MONTH(B1285)</f>
        <v>11</v>
      </c>
      <c r="G1285" s="3">
        <f t="shared" ref="G1285:G1348" si="298">DAY(B1285)</f>
        <v>2</v>
      </c>
      <c r="H1285" s="3">
        <f t="shared" ref="H1285:H1348" si="299">HOUR(B1285)</f>
        <v>18</v>
      </c>
      <c r="I1285" s="3">
        <f t="shared" ref="I1285:I1348" si="300">MINUTE(B1285)</f>
        <v>43</v>
      </c>
      <c r="J1285" s="3">
        <f t="shared" ref="J1285:J1348" si="301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02">IF(OR(N1285="Auto",O1285="Auto"),"YES",IF(OR(N1285="Taxi",O1285="Taxi"),"YES",IF(OR(N1285="Van",O1285="Van"),"YES",IF(OR(N1285="Truck",O1285="Truck"),"YES","NO"))))</f>
        <v>YES</v>
      </c>
      <c r="Q1285" t="str">
        <f t="shared" ref="Q1285:Q1348" si="303">IF(OR(N1285="Bicycle",O1285="Bicycle"),"YES","NO")</f>
        <v>YES</v>
      </c>
      <c r="R1285" t="str">
        <f t="shared" ref="R1285:R1348" si="304">IF(OR(N1285="Pedestrian",O1285="Pedestrian"),"YES","NO")</f>
        <v>NO</v>
      </c>
      <c r="S1285">
        <v>878</v>
      </c>
      <c r="T1285" t="s">
        <v>19</v>
      </c>
      <c r="U1285" t="str">
        <f t="shared" si="291"/>
        <v>Cambridge St</v>
      </c>
      <c r="W1285" t="str">
        <f t="shared" si="292"/>
        <v/>
      </c>
      <c r="X1285" t="str">
        <f>IF(ISBLANK(S1285),"Intersection","Non-Intersection")</f>
        <v>Non-Intersection</v>
      </c>
      <c r="Y1285" t="s">
        <v>2168</v>
      </c>
      <c r="Z1285" t="str">
        <f t="shared" si="293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294"/>
        <v>40179</v>
      </c>
      <c r="D1286" s="4">
        <f t="shared" si="295"/>
        <v>0.83561643835616439</v>
      </c>
      <c r="E1286" s="3">
        <f t="shared" si="296"/>
        <v>2010</v>
      </c>
      <c r="F1286" s="3">
        <f t="shared" si="297"/>
        <v>11</v>
      </c>
      <c r="G1286" s="3">
        <f t="shared" si="298"/>
        <v>2</v>
      </c>
      <c r="H1286" s="3">
        <f t="shared" si="299"/>
        <v>18</v>
      </c>
      <c r="I1286" s="3">
        <f t="shared" si="300"/>
        <v>45</v>
      </c>
      <c r="J1286" s="3">
        <f t="shared" si="301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02"/>
        <v>YES</v>
      </c>
      <c r="Q1286" t="str">
        <f t="shared" si="303"/>
        <v>NO</v>
      </c>
      <c r="R1286" t="str">
        <f t="shared" si="304"/>
        <v>NO</v>
      </c>
      <c r="S1286">
        <v>450</v>
      </c>
      <c r="T1286" t="s">
        <v>186</v>
      </c>
      <c r="U1286" t="str">
        <f t="shared" si="291"/>
        <v>Concord Ave</v>
      </c>
      <c r="W1286" t="str">
        <f t="shared" si="292"/>
        <v/>
      </c>
      <c r="X1286" t="str">
        <f>IF(ISBLANK(S1286),"Intersection","Non-Intersection")</f>
        <v>Non-Intersection</v>
      </c>
      <c r="Y1286" t="s">
        <v>1658</v>
      </c>
      <c r="Z1286" t="str">
        <f t="shared" si="293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294"/>
        <v>40179</v>
      </c>
      <c r="D1287" s="4">
        <f t="shared" si="295"/>
        <v>0.83561643835616439</v>
      </c>
      <c r="E1287" s="3">
        <f t="shared" si="296"/>
        <v>2010</v>
      </c>
      <c r="F1287" s="3">
        <f t="shared" si="297"/>
        <v>11</v>
      </c>
      <c r="G1287" s="3">
        <f t="shared" si="298"/>
        <v>2</v>
      </c>
      <c r="H1287" s="3">
        <f t="shared" si="299"/>
        <v>8</v>
      </c>
      <c r="I1287" s="3">
        <f t="shared" si="300"/>
        <v>0</v>
      </c>
      <c r="J1287" s="3">
        <f t="shared" si="301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02"/>
        <v>YES</v>
      </c>
      <c r="Q1287" t="str">
        <f t="shared" si="303"/>
        <v>NO</v>
      </c>
      <c r="R1287" t="str">
        <f t="shared" si="304"/>
        <v>NO</v>
      </c>
      <c r="T1287" t="s">
        <v>185</v>
      </c>
      <c r="U1287" t="str">
        <f t="shared" si="291"/>
        <v>Garden St</v>
      </c>
      <c r="V1287" t="s">
        <v>296</v>
      </c>
      <c r="W1287" t="str">
        <f t="shared" si="292"/>
        <v>Mason St</v>
      </c>
      <c r="X1287" t="str">
        <f>IF(ISBLANK(S1287),"Intersection","Non-Intersection")</f>
        <v>Intersection</v>
      </c>
      <c r="Y1287" t="s">
        <v>594</v>
      </c>
      <c r="Z1287" t="str">
        <f t="shared" si="293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294"/>
        <v>40179</v>
      </c>
      <c r="D1288" s="4">
        <f t="shared" si="295"/>
        <v>0.83561643835616439</v>
      </c>
      <c r="E1288" s="3">
        <f t="shared" si="296"/>
        <v>2010</v>
      </c>
      <c r="F1288" s="3">
        <f t="shared" si="297"/>
        <v>11</v>
      </c>
      <c r="G1288" s="3">
        <f t="shared" si="298"/>
        <v>2</v>
      </c>
      <c r="H1288" s="3">
        <f t="shared" si="299"/>
        <v>8</v>
      </c>
      <c r="I1288" s="3">
        <f t="shared" si="300"/>
        <v>29</v>
      </c>
      <c r="J1288" s="3">
        <f t="shared" si="301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02"/>
        <v>YES</v>
      </c>
      <c r="Q1288" t="str">
        <f t="shared" si="303"/>
        <v>NO</v>
      </c>
      <c r="R1288" t="str">
        <f t="shared" si="304"/>
        <v>NO</v>
      </c>
      <c r="S1288">
        <v>113</v>
      </c>
      <c r="T1288" t="s">
        <v>133</v>
      </c>
      <c r="U1288" t="str">
        <f t="shared" si="291"/>
        <v>Harvard St</v>
      </c>
      <c r="W1288" t="str">
        <f t="shared" si="292"/>
        <v/>
      </c>
      <c r="X1288" t="str">
        <f>IF(ISBLANK(S1288),"Intersection","Non-Intersection")</f>
        <v>Non-Intersection</v>
      </c>
      <c r="Y1288" t="s">
        <v>2169</v>
      </c>
      <c r="Z1288" t="str">
        <f t="shared" si="293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294"/>
        <v>40179</v>
      </c>
      <c r="D1289" s="4">
        <f t="shared" si="295"/>
        <v>0.83561643835616439</v>
      </c>
      <c r="E1289" s="3">
        <f t="shared" si="296"/>
        <v>2010</v>
      </c>
      <c r="F1289" s="3">
        <f t="shared" si="297"/>
        <v>11</v>
      </c>
      <c r="G1289" s="3">
        <f t="shared" si="298"/>
        <v>2</v>
      </c>
      <c r="H1289" s="3">
        <f t="shared" si="299"/>
        <v>6</v>
      </c>
      <c r="I1289" s="3">
        <f t="shared" si="300"/>
        <v>45</v>
      </c>
      <c r="J1289" s="3">
        <f t="shared" si="301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02"/>
        <v>YES</v>
      </c>
      <c r="Q1289" t="str">
        <f t="shared" si="303"/>
        <v>NO</v>
      </c>
      <c r="R1289" t="str">
        <f t="shared" si="304"/>
        <v>NO</v>
      </c>
      <c r="S1289">
        <v>1001</v>
      </c>
      <c r="T1289" t="s">
        <v>19</v>
      </c>
      <c r="U1289" t="str">
        <f t="shared" si="291"/>
        <v>Cambridge St</v>
      </c>
      <c r="W1289" t="str">
        <f t="shared" si="292"/>
        <v/>
      </c>
      <c r="X1289" t="str">
        <f>IF(ISBLANK(S1289),"Intersection","Non-Intersection")</f>
        <v>Non-Intersection</v>
      </c>
      <c r="Y1289" t="s">
        <v>2171</v>
      </c>
      <c r="Z1289" t="str">
        <f t="shared" si="293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294"/>
        <v>40179</v>
      </c>
      <c r="D1290" s="4">
        <f t="shared" si="295"/>
        <v>0.83835616438356164</v>
      </c>
      <c r="E1290" s="3">
        <f t="shared" si="296"/>
        <v>2010</v>
      </c>
      <c r="F1290" s="3">
        <f t="shared" si="297"/>
        <v>11</v>
      </c>
      <c r="G1290" s="3">
        <f t="shared" si="298"/>
        <v>3</v>
      </c>
      <c r="H1290" s="3">
        <f t="shared" si="299"/>
        <v>8</v>
      </c>
      <c r="I1290" s="3">
        <f t="shared" si="300"/>
        <v>10</v>
      </c>
      <c r="J1290" s="3">
        <f t="shared" si="301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02"/>
        <v>YES</v>
      </c>
      <c r="Q1290" t="str">
        <f t="shared" si="303"/>
        <v>NO</v>
      </c>
      <c r="R1290" t="str">
        <f t="shared" si="304"/>
        <v>NO</v>
      </c>
      <c r="T1290" t="s">
        <v>760</v>
      </c>
      <c r="U1290" t="str">
        <f t="shared" si="291"/>
        <v>Fulkerson St</v>
      </c>
      <c r="V1290" t="s">
        <v>60</v>
      </c>
      <c r="W1290" t="str">
        <f t="shared" si="292"/>
        <v>Rogers St</v>
      </c>
      <c r="X1290" t="str">
        <f>IF(ISBLANK(S1290),"Intersection","Non-Intersection")</f>
        <v>Intersection</v>
      </c>
      <c r="Y1290" t="s">
        <v>2173</v>
      </c>
      <c r="Z1290" t="str">
        <f t="shared" si="293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294"/>
        <v>40179</v>
      </c>
      <c r="D1291" s="4">
        <f t="shared" si="295"/>
        <v>0.83835616438356164</v>
      </c>
      <c r="E1291" s="3">
        <f t="shared" si="296"/>
        <v>2010</v>
      </c>
      <c r="F1291" s="3">
        <f t="shared" si="297"/>
        <v>11</v>
      </c>
      <c r="G1291" s="3">
        <f t="shared" si="298"/>
        <v>3</v>
      </c>
      <c r="H1291" s="3">
        <f t="shared" si="299"/>
        <v>7</v>
      </c>
      <c r="I1291" s="3">
        <f t="shared" si="300"/>
        <v>44</v>
      </c>
      <c r="J1291" s="3">
        <f t="shared" si="301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02"/>
        <v>YES</v>
      </c>
      <c r="Q1291" t="str">
        <f t="shared" si="303"/>
        <v>NO</v>
      </c>
      <c r="R1291" t="str">
        <f t="shared" si="304"/>
        <v>NO</v>
      </c>
      <c r="T1291" t="s">
        <v>105</v>
      </c>
      <c r="U1291" t="str">
        <f t="shared" si="291"/>
        <v>Broadway</v>
      </c>
      <c r="V1291" t="s">
        <v>192</v>
      </c>
      <c r="W1291" t="str">
        <f t="shared" si="292"/>
        <v>Hancock St</v>
      </c>
      <c r="X1291" t="str">
        <f>IF(ISBLANK(S1291),"Intersection","Non-Intersection")</f>
        <v>Intersection</v>
      </c>
      <c r="Y1291" t="s">
        <v>1643</v>
      </c>
      <c r="Z1291" t="str">
        <f t="shared" si="293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294"/>
        <v>40179</v>
      </c>
      <c r="D1292" s="4">
        <f t="shared" si="295"/>
        <v>0.83835616438356164</v>
      </c>
      <c r="E1292" s="3">
        <f t="shared" si="296"/>
        <v>2010</v>
      </c>
      <c r="F1292" s="3">
        <f t="shared" si="297"/>
        <v>11</v>
      </c>
      <c r="G1292" s="3">
        <f t="shared" si="298"/>
        <v>3</v>
      </c>
      <c r="H1292" s="3">
        <f t="shared" si="299"/>
        <v>10</v>
      </c>
      <c r="I1292" s="3">
        <f t="shared" si="300"/>
        <v>44</v>
      </c>
      <c r="J1292" s="3">
        <f t="shared" si="301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02"/>
        <v>YES</v>
      </c>
      <c r="Q1292" t="str">
        <f t="shared" si="303"/>
        <v>NO</v>
      </c>
      <c r="R1292" t="str">
        <f t="shared" si="304"/>
        <v>NO</v>
      </c>
      <c r="T1292" t="s">
        <v>133</v>
      </c>
      <c r="U1292" t="str">
        <f t="shared" si="291"/>
        <v>Harvard St</v>
      </c>
      <c r="V1292" t="s">
        <v>805</v>
      </c>
      <c r="W1292" t="str">
        <f t="shared" si="292"/>
        <v>Trowbridge St</v>
      </c>
      <c r="X1292" t="str">
        <f>IF(ISBLANK(S1292),"Intersection","Non-Intersection")</f>
        <v>Intersection</v>
      </c>
      <c r="Y1292" t="s">
        <v>2175</v>
      </c>
      <c r="Z1292" t="str">
        <f t="shared" si="293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294"/>
        <v>40179</v>
      </c>
      <c r="D1293" s="4">
        <f t="shared" si="295"/>
        <v>0.83835616438356164</v>
      </c>
      <c r="E1293" s="3">
        <f t="shared" si="296"/>
        <v>2010</v>
      </c>
      <c r="F1293" s="3">
        <f t="shared" si="297"/>
        <v>11</v>
      </c>
      <c r="G1293" s="3">
        <f t="shared" si="298"/>
        <v>3</v>
      </c>
      <c r="H1293" s="3">
        <f t="shared" si="299"/>
        <v>14</v>
      </c>
      <c r="I1293" s="3">
        <f t="shared" si="300"/>
        <v>35</v>
      </c>
      <c r="J1293" s="3">
        <f t="shared" si="301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02"/>
        <v>YES</v>
      </c>
      <c r="Q1293" t="str">
        <f t="shared" si="303"/>
        <v>NO</v>
      </c>
      <c r="R1293" t="str">
        <f t="shared" si="304"/>
        <v>NO</v>
      </c>
      <c r="S1293">
        <v>1</v>
      </c>
      <c r="T1293" t="s">
        <v>167</v>
      </c>
      <c r="U1293" t="str">
        <f t="shared" si="291"/>
        <v>Wendell St</v>
      </c>
      <c r="W1293" t="str">
        <f t="shared" si="292"/>
        <v/>
      </c>
      <c r="X1293" t="str">
        <f>IF(ISBLANK(S1293),"Intersection","Non-Intersection")</f>
        <v>Non-Intersection</v>
      </c>
      <c r="Y1293" t="s">
        <v>2176</v>
      </c>
      <c r="Z1293" t="str">
        <f t="shared" si="293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294"/>
        <v>40179</v>
      </c>
      <c r="D1294" s="4">
        <f t="shared" si="295"/>
        <v>0.83835616438356164</v>
      </c>
      <c r="E1294" s="3">
        <f t="shared" si="296"/>
        <v>2010</v>
      </c>
      <c r="F1294" s="3">
        <f t="shared" si="297"/>
        <v>11</v>
      </c>
      <c r="G1294" s="3">
        <f t="shared" si="298"/>
        <v>3</v>
      </c>
      <c r="H1294" s="3">
        <f t="shared" si="299"/>
        <v>18</v>
      </c>
      <c r="I1294" s="3">
        <f t="shared" si="300"/>
        <v>7</v>
      </c>
      <c r="J1294" s="3">
        <f t="shared" si="301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02"/>
        <v>YES</v>
      </c>
      <c r="Q1294" t="str">
        <f t="shared" si="303"/>
        <v>NO</v>
      </c>
      <c r="R1294" t="str">
        <f t="shared" si="304"/>
        <v>NO</v>
      </c>
      <c r="T1294" t="s">
        <v>74</v>
      </c>
      <c r="U1294" t="str">
        <f t="shared" si="291"/>
        <v>Hampshire St</v>
      </c>
      <c r="V1294" t="s">
        <v>667</v>
      </c>
      <c r="W1294" t="str">
        <f t="shared" si="292"/>
        <v>Tremont St</v>
      </c>
      <c r="X1294" t="str">
        <f>IF(ISBLANK(S1294),"Intersection","Non-Intersection")</f>
        <v>Intersection</v>
      </c>
      <c r="Y1294" t="s">
        <v>668</v>
      </c>
      <c r="Z1294" t="str">
        <f t="shared" si="293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294"/>
        <v>40179</v>
      </c>
      <c r="D1295" s="4">
        <f t="shared" si="295"/>
        <v>0.83835616438356164</v>
      </c>
      <c r="E1295" s="3">
        <f t="shared" si="296"/>
        <v>2010</v>
      </c>
      <c r="F1295" s="3">
        <f t="shared" si="297"/>
        <v>11</v>
      </c>
      <c r="G1295" s="3">
        <f t="shared" si="298"/>
        <v>3</v>
      </c>
      <c r="H1295" s="3">
        <f t="shared" si="299"/>
        <v>14</v>
      </c>
      <c r="I1295" s="3">
        <f t="shared" si="300"/>
        <v>10</v>
      </c>
      <c r="J1295" s="3">
        <f t="shared" si="301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02"/>
        <v>YES</v>
      </c>
      <c r="Q1295" t="str">
        <f t="shared" si="303"/>
        <v>NO</v>
      </c>
      <c r="R1295" t="str">
        <f t="shared" si="304"/>
        <v>NO</v>
      </c>
      <c r="S1295">
        <v>220</v>
      </c>
      <c r="T1295" t="s">
        <v>14</v>
      </c>
      <c r="U1295" t="str">
        <f t="shared" si="291"/>
        <v>Massachusetts Ave</v>
      </c>
      <c r="W1295" t="str">
        <f t="shared" si="292"/>
        <v/>
      </c>
      <c r="X1295" t="str">
        <f>IF(ISBLANK(S1295),"Intersection","Non-Intersection")</f>
        <v>Non-Intersection</v>
      </c>
      <c r="Y1295" t="s">
        <v>113</v>
      </c>
      <c r="Z1295" t="str">
        <f t="shared" si="293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294"/>
        <v>40179</v>
      </c>
      <c r="D1296" s="4">
        <f t="shared" si="295"/>
        <v>0.83835616438356164</v>
      </c>
      <c r="E1296" s="3">
        <f t="shared" si="296"/>
        <v>2010</v>
      </c>
      <c r="F1296" s="3">
        <f t="shared" si="297"/>
        <v>11</v>
      </c>
      <c r="G1296" s="3">
        <f t="shared" si="298"/>
        <v>3</v>
      </c>
      <c r="H1296" s="3">
        <f t="shared" si="299"/>
        <v>18</v>
      </c>
      <c r="I1296" s="3">
        <f t="shared" si="300"/>
        <v>0</v>
      </c>
      <c r="J1296" s="3">
        <f t="shared" si="301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02"/>
        <v>YES</v>
      </c>
      <c r="Q1296" t="str">
        <f t="shared" si="303"/>
        <v>NO</v>
      </c>
      <c r="R1296" t="str">
        <f t="shared" si="304"/>
        <v>NO</v>
      </c>
      <c r="T1296" t="s">
        <v>14</v>
      </c>
      <c r="U1296" t="str">
        <f t="shared" si="291"/>
        <v>Massachusetts Ave</v>
      </c>
      <c r="V1296" t="s">
        <v>185</v>
      </c>
      <c r="W1296" t="str">
        <f t="shared" si="292"/>
        <v>Garden St</v>
      </c>
      <c r="X1296" t="str">
        <f>IF(ISBLANK(S1296),"Intersection","Non-Intersection")</f>
        <v>Intersection</v>
      </c>
      <c r="Y1296" t="s">
        <v>1247</v>
      </c>
      <c r="Z1296" t="str">
        <f t="shared" si="293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294"/>
        <v>40179</v>
      </c>
      <c r="D1297" s="4">
        <f t="shared" si="295"/>
        <v>0.84109589041095889</v>
      </c>
      <c r="E1297" s="3">
        <f t="shared" si="296"/>
        <v>2010</v>
      </c>
      <c r="F1297" s="3">
        <f t="shared" si="297"/>
        <v>11</v>
      </c>
      <c r="G1297" s="3">
        <f t="shared" si="298"/>
        <v>4</v>
      </c>
      <c r="H1297" s="3">
        <f t="shared" si="299"/>
        <v>10</v>
      </c>
      <c r="I1297" s="3">
        <f t="shared" si="300"/>
        <v>30</v>
      </c>
      <c r="J1297" s="3">
        <f t="shared" si="301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02"/>
        <v>YES</v>
      </c>
      <c r="Q1297" t="str">
        <f t="shared" si="303"/>
        <v>NO</v>
      </c>
      <c r="R1297" t="str">
        <f t="shared" si="304"/>
        <v>NO</v>
      </c>
      <c r="T1297" t="s">
        <v>1729</v>
      </c>
      <c r="U1297" t="str">
        <f t="shared" si="291"/>
        <v>Cross St</v>
      </c>
      <c r="V1297" t="s">
        <v>14</v>
      </c>
      <c r="W1297" t="str">
        <f t="shared" si="292"/>
        <v>Massachusetts Ave</v>
      </c>
      <c r="X1297" t="str">
        <f>IF(ISBLANK(S1297),"Intersection","Non-Intersection")</f>
        <v>Intersection</v>
      </c>
      <c r="Y1297" t="s">
        <v>2178</v>
      </c>
      <c r="Z1297" t="str">
        <f t="shared" si="293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294"/>
        <v>40179</v>
      </c>
      <c r="D1298" s="4">
        <f t="shared" si="295"/>
        <v>0.84109589041095889</v>
      </c>
      <c r="E1298" s="3">
        <f t="shared" si="296"/>
        <v>2010</v>
      </c>
      <c r="F1298" s="3">
        <f t="shared" si="297"/>
        <v>11</v>
      </c>
      <c r="G1298" s="3">
        <f t="shared" si="298"/>
        <v>4</v>
      </c>
      <c r="H1298" s="3">
        <f t="shared" si="299"/>
        <v>12</v>
      </c>
      <c r="I1298" s="3">
        <f t="shared" si="300"/>
        <v>59</v>
      </c>
      <c r="J1298" s="3">
        <f t="shared" si="301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02"/>
        <v>YES</v>
      </c>
      <c r="Q1298" t="str">
        <f t="shared" si="303"/>
        <v>NO</v>
      </c>
      <c r="R1298" t="str">
        <f t="shared" si="304"/>
        <v>NO</v>
      </c>
      <c r="T1298" t="s">
        <v>993</v>
      </c>
      <c r="U1298" t="str">
        <f t="shared" si="291"/>
        <v>Fifth St</v>
      </c>
      <c r="V1298" t="s">
        <v>261</v>
      </c>
      <c r="W1298" t="str">
        <f t="shared" si="292"/>
        <v>Otis St</v>
      </c>
      <c r="X1298" t="str">
        <f>IF(ISBLANK(S1298),"Intersection","Non-Intersection")</f>
        <v>Intersection</v>
      </c>
      <c r="Y1298" t="s">
        <v>2179</v>
      </c>
      <c r="Z1298" t="str">
        <f t="shared" si="293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294"/>
        <v>40179</v>
      </c>
      <c r="D1299" s="4">
        <f t="shared" si="295"/>
        <v>0.84109589041095889</v>
      </c>
      <c r="E1299" s="3">
        <f t="shared" si="296"/>
        <v>2010</v>
      </c>
      <c r="F1299" s="3">
        <f t="shared" si="297"/>
        <v>11</v>
      </c>
      <c r="G1299" s="3">
        <f t="shared" si="298"/>
        <v>4</v>
      </c>
      <c r="H1299" s="3">
        <f t="shared" si="299"/>
        <v>14</v>
      </c>
      <c r="I1299" s="3">
        <f t="shared" si="300"/>
        <v>35</v>
      </c>
      <c r="J1299" s="3">
        <f t="shared" si="301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02"/>
        <v>YES</v>
      </c>
      <c r="Q1299" t="str">
        <f t="shared" si="303"/>
        <v>NO</v>
      </c>
      <c r="R1299" t="str">
        <f t="shared" si="304"/>
        <v>NO</v>
      </c>
      <c r="S1299">
        <v>145</v>
      </c>
      <c r="T1299" t="s">
        <v>550</v>
      </c>
      <c r="U1299" t="str">
        <f t="shared" si="291"/>
        <v>Upland Rd</v>
      </c>
      <c r="W1299" t="str">
        <f t="shared" si="292"/>
        <v/>
      </c>
      <c r="X1299" t="str">
        <f>IF(ISBLANK(S1299),"Intersection","Non-Intersection")</f>
        <v>Non-Intersection</v>
      </c>
      <c r="Y1299" t="s">
        <v>2181</v>
      </c>
      <c r="Z1299" t="str">
        <f t="shared" si="293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294"/>
        <v>40179</v>
      </c>
      <c r="D1300" s="4">
        <f t="shared" si="295"/>
        <v>0.84383561643835614</v>
      </c>
      <c r="E1300" s="3">
        <f t="shared" si="296"/>
        <v>2010</v>
      </c>
      <c r="F1300" s="3">
        <f t="shared" si="297"/>
        <v>11</v>
      </c>
      <c r="G1300" s="3">
        <f t="shared" si="298"/>
        <v>5</v>
      </c>
      <c r="H1300" s="3">
        <f t="shared" si="299"/>
        <v>11</v>
      </c>
      <c r="I1300" s="3">
        <f t="shared" si="300"/>
        <v>29</v>
      </c>
      <c r="J1300" s="3">
        <f t="shared" si="301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02"/>
        <v>YES</v>
      </c>
      <c r="Q1300" t="str">
        <f t="shared" si="303"/>
        <v>NO</v>
      </c>
      <c r="R1300" t="str">
        <f t="shared" si="304"/>
        <v>NO</v>
      </c>
      <c r="T1300" t="s">
        <v>14</v>
      </c>
      <c r="U1300" t="str">
        <f t="shared" si="291"/>
        <v>Massachusetts Ave</v>
      </c>
      <c r="V1300" t="s">
        <v>1032</v>
      </c>
      <c r="W1300" t="str">
        <f t="shared" si="292"/>
        <v>Meacham Rd</v>
      </c>
      <c r="X1300" t="str">
        <f>IF(ISBLANK(S1300),"Intersection","Non-Intersection")</f>
        <v>Intersection</v>
      </c>
      <c r="Y1300" t="s">
        <v>1033</v>
      </c>
      <c r="Z1300" t="str">
        <f t="shared" si="293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294"/>
        <v>40179</v>
      </c>
      <c r="D1301" s="4">
        <f t="shared" si="295"/>
        <v>0.84383561643835614</v>
      </c>
      <c r="E1301" s="3">
        <f t="shared" si="296"/>
        <v>2010</v>
      </c>
      <c r="F1301" s="3">
        <f t="shared" si="297"/>
        <v>11</v>
      </c>
      <c r="G1301" s="3">
        <f t="shared" si="298"/>
        <v>5</v>
      </c>
      <c r="H1301" s="3">
        <f t="shared" si="299"/>
        <v>12</v>
      </c>
      <c r="I1301" s="3">
        <f t="shared" si="300"/>
        <v>45</v>
      </c>
      <c r="J1301" s="3">
        <f t="shared" si="301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02"/>
        <v>YES</v>
      </c>
      <c r="Q1301" t="str">
        <f t="shared" si="303"/>
        <v>NO</v>
      </c>
      <c r="R1301" t="str">
        <f t="shared" si="304"/>
        <v>NO</v>
      </c>
      <c r="S1301">
        <v>211</v>
      </c>
      <c r="T1301" t="s">
        <v>170</v>
      </c>
      <c r="U1301" t="str">
        <f t="shared" si="291"/>
        <v>Alewife Brook Pky</v>
      </c>
      <c r="W1301" t="str">
        <f t="shared" si="292"/>
        <v/>
      </c>
      <c r="X1301" t="str">
        <f>IF(ISBLANK(S1301),"Intersection","Non-Intersection")</f>
        <v>Non-Intersection</v>
      </c>
      <c r="Y1301" t="s">
        <v>1359</v>
      </c>
      <c r="Z1301" t="str">
        <f t="shared" si="293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294"/>
        <v>40179</v>
      </c>
      <c r="D1302" s="4">
        <f t="shared" si="295"/>
        <v>0.84383561643835614</v>
      </c>
      <c r="E1302" s="3">
        <f t="shared" si="296"/>
        <v>2010</v>
      </c>
      <c r="F1302" s="3">
        <f t="shared" si="297"/>
        <v>11</v>
      </c>
      <c r="G1302" s="3">
        <f t="shared" si="298"/>
        <v>5</v>
      </c>
      <c r="H1302" s="3">
        <f t="shared" si="299"/>
        <v>15</v>
      </c>
      <c r="I1302" s="3">
        <f t="shared" si="300"/>
        <v>45</v>
      </c>
      <c r="J1302" s="3">
        <f t="shared" si="301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02"/>
        <v>YES</v>
      </c>
      <c r="Q1302" t="str">
        <f t="shared" si="303"/>
        <v>NO</v>
      </c>
      <c r="R1302" t="str">
        <f t="shared" si="304"/>
        <v>NO</v>
      </c>
      <c r="T1302" t="s">
        <v>42</v>
      </c>
      <c r="U1302" t="str">
        <f t="shared" si="291"/>
        <v>Putnam Ave</v>
      </c>
      <c r="V1302" t="s">
        <v>1024</v>
      </c>
      <c r="W1302" t="str">
        <f t="shared" si="292"/>
        <v>Kinnaird St</v>
      </c>
      <c r="X1302" t="str">
        <f>IF(ISBLANK(S1302),"Intersection","Non-Intersection")</f>
        <v>Intersection</v>
      </c>
      <c r="Y1302" t="s">
        <v>2183</v>
      </c>
      <c r="Z1302" t="str">
        <f t="shared" si="293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294"/>
        <v>40179</v>
      </c>
      <c r="D1303" s="4">
        <f t="shared" si="295"/>
        <v>0.84383561643835614</v>
      </c>
      <c r="E1303" s="3">
        <f t="shared" si="296"/>
        <v>2010</v>
      </c>
      <c r="F1303" s="3">
        <f t="shared" si="297"/>
        <v>11</v>
      </c>
      <c r="G1303" s="3">
        <f t="shared" si="298"/>
        <v>5</v>
      </c>
      <c r="H1303" s="3">
        <f t="shared" si="299"/>
        <v>16</v>
      </c>
      <c r="I1303" s="3">
        <f t="shared" si="300"/>
        <v>50</v>
      </c>
      <c r="J1303" s="3">
        <f t="shared" si="301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02"/>
        <v>YES</v>
      </c>
      <c r="Q1303" t="str">
        <f t="shared" si="303"/>
        <v>NO</v>
      </c>
      <c r="R1303" t="str">
        <f t="shared" si="304"/>
        <v>NO</v>
      </c>
      <c r="S1303">
        <v>5</v>
      </c>
      <c r="T1303" t="s">
        <v>326</v>
      </c>
      <c r="U1303" t="str">
        <f t="shared" si="291"/>
        <v>Jfk St</v>
      </c>
      <c r="V1303" t="s">
        <v>199</v>
      </c>
      <c r="W1303" t="str">
        <f t="shared" si="292"/>
        <v>Brattle St</v>
      </c>
      <c r="X1303" t="str">
        <f>IF(ISBLANK(S1303),"Intersection","Non-Intersection")</f>
        <v>Non-Intersection</v>
      </c>
      <c r="Y1303" t="s">
        <v>2184</v>
      </c>
      <c r="Z1303" t="str">
        <f t="shared" si="293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294"/>
        <v>40179</v>
      </c>
      <c r="D1304" s="4">
        <f t="shared" si="295"/>
        <v>0.84383561643835614</v>
      </c>
      <c r="E1304" s="3">
        <f t="shared" si="296"/>
        <v>2010</v>
      </c>
      <c r="F1304" s="3">
        <f t="shared" si="297"/>
        <v>11</v>
      </c>
      <c r="G1304" s="3">
        <f t="shared" si="298"/>
        <v>5</v>
      </c>
      <c r="H1304" s="3">
        <f t="shared" si="299"/>
        <v>18</v>
      </c>
      <c r="I1304" s="3">
        <f t="shared" si="300"/>
        <v>0</v>
      </c>
      <c r="J1304" s="3">
        <f t="shared" si="301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02"/>
        <v>YES</v>
      </c>
      <c r="Q1304" t="str">
        <f t="shared" si="303"/>
        <v>NO</v>
      </c>
      <c r="R1304" t="str">
        <f t="shared" si="304"/>
        <v>NO</v>
      </c>
      <c r="S1304">
        <v>85</v>
      </c>
      <c r="T1304" t="s">
        <v>1502</v>
      </c>
      <c r="U1304" t="str">
        <f t="shared" si="291"/>
        <v>Gore St</v>
      </c>
      <c r="V1304" t="s">
        <v>20</v>
      </c>
      <c r="W1304" t="str">
        <f t="shared" si="292"/>
        <v>Sciarappa St</v>
      </c>
      <c r="X1304" t="str">
        <f>IF(ISBLANK(S1304),"Intersection","Non-Intersection")</f>
        <v>Non-Intersection</v>
      </c>
      <c r="Y1304" t="s">
        <v>2186</v>
      </c>
      <c r="Z1304" t="str">
        <f t="shared" si="293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294"/>
        <v>40179</v>
      </c>
      <c r="D1305" s="4">
        <f t="shared" si="295"/>
        <v>0.84383561643835614</v>
      </c>
      <c r="E1305" s="3">
        <f t="shared" si="296"/>
        <v>2010</v>
      </c>
      <c r="F1305" s="3">
        <f t="shared" si="297"/>
        <v>11</v>
      </c>
      <c r="G1305" s="3">
        <f t="shared" si="298"/>
        <v>5</v>
      </c>
      <c r="H1305" s="3">
        <f t="shared" si="299"/>
        <v>18</v>
      </c>
      <c r="I1305" s="3">
        <f t="shared" si="300"/>
        <v>1</v>
      </c>
      <c r="J1305" s="3">
        <f t="shared" si="301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02"/>
        <v>YES</v>
      </c>
      <c r="Q1305" t="str">
        <f t="shared" si="303"/>
        <v>NO</v>
      </c>
      <c r="R1305" t="str">
        <f t="shared" si="304"/>
        <v>NO</v>
      </c>
      <c r="T1305" t="s">
        <v>178</v>
      </c>
      <c r="U1305" t="str">
        <f t="shared" si="291"/>
        <v>Pleasant St</v>
      </c>
      <c r="V1305" t="s">
        <v>1024</v>
      </c>
      <c r="W1305" t="str">
        <f t="shared" si="292"/>
        <v>Kinnaird St</v>
      </c>
      <c r="X1305" t="str">
        <f>IF(ISBLANK(S1305),"Intersection","Non-Intersection")</f>
        <v>Intersection</v>
      </c>
      <c r="Y1305" t="s">
        <v>2188</v>
      </c>
      <c r="Z1305" t="str">
        <f t="shared" si="293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294"/>
        <v>40179</v>
      </c>
      <c r="D1306" s="4">
        <f t="shared" si="295"/>
        <v>0.84383561643835614</v>
      </c>
      <c r="E1306" s="3">
        <f t="shared" si="296"/>
        <v>2010</v>
      </c>
      <c r="F1306" s="3">
        <f t="shared" si="297"/>
        <v>11</v>
      </c>
      <c r="G1306" s="3">
        <f t="shared" si="298"/>
        <v>5</v>
      </c>
      <c r="H1306" s="3">
        <f t="shared" si="299"/>
        <v>19</v>
      </c>
      <c r="I1306" s="3">
        <f t="shared" si="300"/>
        <v>2</v>
      </c>
      <c r="J1306" s="3">
        <f t="shared" si="301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02"/>
        <v>YES</v>
      </c>
      <c r="Q1306" t="str">
        <f t="shared" si="303"/>
        <v>NO</v>
      </c>
      <c r="R1306" t="str">
        <f t="shared" si="304"/>
        <v>NO</v>
      </c>
      <c r="S1306">
        <v>61</v>
      </c>
      <c r="T1306" t="s">
        <v>238</v>
      </c>
      <c r="U1306" t="str">
        <f t="shared" si="291"/>
        <v>Kirkland St</v>
      </c>
      <c r="W1306" t="str">
        <f t="shared" si="292"/>
        <v/>
      </c>
      <c r="X1306" t="str">
        <f>IF(ISBLANK(S1306),"Intersection","Non-Intersection")</f>
        <v>Non-Intersection</v>
      </c>
      <c r="Y1306" t="s">
        <v>2190</v>
      </c>
      <c r="Z1306" t="str">
        <f t="shared" si="293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294"/>
        <v>40179</v>
      </c>
      <c r="D1307" s="4">
        <f t="shared" si="295"/>
        <v>0.84931506849315064</v>
      </c>
      <c r="E1307" s="3">
        <f t="shared" si="296"/>
        <v>2010</v>
      </c>
      <c r="F1307" s="3">
        <f t="shared" si="297"/>
        <v>11</v>
      </c>
      <c r="G1307" s="3">
        <f t="shared" si="298"/>
        <v>7</v>
      </c>
      <c r="H1307" s="3">
        <f t="shared" si="299"/>
        <v>12</v>
      </c>
      <c r="I1307" s="3">
        <f t="shared" si="300"/>
        <v>14</v>
      </c>
      <c r="J1307" s="3">
        <f t="shared" si="301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02"/>
        <v>YES</v>
      </c>
      <c r="Q1307" t="str">
        <f t="shared" si="303"/>
        <v>NO</v>
      </c>
      <c r="R1307" t="str">
        <f t="shared" si="304"/>
        <v>NO</v>
      </c>
      <c r="T1307" t="s">
        <v>186</v>
      </c>
      <c r="U1307" t="str">
        <f t="shared" si="291"/>
        <v>Concord Ave</v>
      </c>
      <c r="V1307" t="s">
        <v>1132</v>
      </c>
      <c r="W1307" t="str">
        <f t="shared" si="292"/>
        <v>Moulton St</v>
      </c>
      <c r="X1307" t="str">
        <f>IF(ISBLANK(S1307),"Intersection","Non-Intersection")</f>
        <v>Intersection</v>
      </c>
      <c r="Y1307" t="s">
        <v>1133</v>
      </c>
      <c r="Z1307" t="str">
        <f t="shared" si="293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294"/>
        <v>40179</v>
      </c>
      <c r="D1308" s="4">
        <f t="shared" si="295"/>
        <v>0.852054794520548</v>
      </c>
      <c r="E1308" s="3">
        <f t="shared" si="296"/>
        <v>2010</v>
      </c>
      <c r="F1308" s="3">
        <f t="shared" si="297"/>
        <v>11</v>
      </c>
      <c r="G1308" s="3">
        <f t="shared" si="298"/>
        <v>8</v>
      </c>
      <c r="H1308" s="3">
        <f t="shared" si="299"/>
        <v>16</v>
      </c>
      <c r="I1308" s="3">
        <f t="shared" si="300"/>
        <v>57</v>
      </c>
      <c r="J1308" s="3">
        <f t="shared" si="301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02"/>
        <v>YES</v>
      </c>
      <c r="Q1308" t="str">
        <f t="shared" si="303"/>
        <v>YES</v>
      </c>
      <c r="R1308" t="str">
        <f t="shared" si="304"/>
        <v>NO</v>
      </c>
      <c r="T1308" t="s">
        <v>14</v>
      </c>
      <c r="U1308" t="str">
        <f t="shared" si="291"/>
        <v>Massachusetts Ave</v>
      </c>
      <c r="V1308" t="s">
        <v>126</v>
      </c>
      <c r="W1308" t="str">
        <f t="shared" si="292"/>
        <v>Somerville Ave</v>
      </c>
      <c r="X1308" t="str">
        <f>IF(ISBLANK(S1308),"Intersection","Non-Intersection")</f>
        <v>Intersection</v>
      </c>
      <c r="Y1308" t="s">
        <v>127</v>
      </c>
      <c r="Z1308" t="str">
        <f t="shared" si="293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294"/>
        <v>40179</v>
      </c>
      <c r="D1309" s="4">
        <f t="shared" si="295"/>
        <v>0.852054794520548</v>
      </c>
      <c r="E1309" s="3">
        <f t="shared" si="296"/>
        <v>2010</v>
      </c>
      <c r="F1309" s="3">
        <f t="shared" si="297"/>
        <v>11</v>
      </c>
      <c r="G1309" s="3">
        <f t="shared" si="298"/>
        <v>8</v>
      </c>
      <c r="H1309" s="3">
        <f t="shared" si="299"/>
        <v>8</v>
      </c>
      <c r="I1309" s="3">
        <f t="shared" si="300"/>
        <v>0</v>
      </c>
      <c r="J1309" s="3">
        <f t="shared" si="301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02"/>
        <v>YES</v>
      </c>
      <c r="Q1309" t="str">
        <f t="shared" si="303"/>
        <v>NO</v>
      </c>
      <c r="R1309" t="str">
        <f t="shared" si="304"/>
        <v>YES</v>
      </c>
      <c r="T1309" t="s">
        <v>316</v>
      </c>
      <c r="U1309" t="str">
        <f t="shared" si="291"/>
        <v>Bishop Allen Dr</v>
      </c>
      <c r="V1309" t="s">
        <v>745</v>
      </c>
      <c r="W1309" t="str">
        <f t="shared" si="292"/>
        <v>Norfolk St</v>
      </c>
      <c r="X1309" t="str">
        <f>IF(ISBLANK(S1309),"Intersection","Non-Intersection")</f>
        <v>Intersection</v>
      </c>
      <c r="Y1309" t="s">
        <v>1891</v>
      </c>
      <c r="Z1309" t="str">
        <f t="shared" si="293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294"/>
        <v>40179</v>
      </c>
      <c r="D1310" s="4">
        <f t="shared" si="295"/>
        <v>0.852054794520548</v>
      </c>
      <c r="E1310" s="3">
        <f t="shared" si="296"/>
        <v>2010</v>
      </c>
      <c r="F1310" s="3">
        <f t="shared" si="297"/>
        <v>11</v>
      </c>
      <c r="G1310" s="3">
        <f t="shared" si="298"/>
        <v>8</v>
      </c>
      <c r="H1310" s="3">
        <f t="shared" si="299"/>
        <v>12</v>
      </c>
      <c r="I1310" s="3">
        <f t="shared" si="300"/>
        <v>10</v>
      </c>
      <c r="J1310" s="3">
        <f t="shared" si="301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02"/>
        <v>YES</v>
      </c>
      <c r="Q1310" t="str">
        <f t="shared" si="303"/>
        <v>NO</v>
      </c>
      <c r="R1310" t="str">
        <f t="shared" si="304"/>
        <v>NO</v>
      </c>
      <c r="T1310" t="s">
        <v>27</v>
      </c>
      <c r="U1310" t="str">
        <f t="shared" si="291"/>
        <v>Western Ave</v>
      </c>
      <c r="V1310" t="s">
        <v>2192</v>
      </c>
      <c r="W1310" t="str">
        <f t="shared" si="292"/>
        <v>Montague St</v>
      </c>
      <c r="X1310" t="str">
        <f>IF(ISBLANK(S1310),"Intersection","Non-Intersection")</f>
        <v>Intersection</v>
      </c>
      <c r="Y1310" t="s">
        <v>2193</v>
      </c>
      <c r="Z1310" t="str">
        <f t="shared" si="293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294"/>
        <v>40179</v>
      </c>
      <c r="D1311" s="4">
        <f t="shared" si="295"/>
        <v>0.852054794520548</v>
      </c>
      <c r="E1311" s="3">
        <f t="shared" si="296"/>
        <v>2010</v>
      </c>
      <c r="F1311" s="3">
        <f t="shared" si="297"/>
        <v>11</v>
      </c>
      <c r="G1311" s="3">
        <f t="shared" si="298"/>
        <v>8</v>
      </c>
      <c r="H1311" s="3">
        <f t="shared" si="299"/>
        <v>18</v>
      </c>
      <c r="I1311" s="3">
        <f t="shared" si="300"/>
        <v>39</v>
      </c>
      <c r="J1311" s="3">
        <f t="shared" si="301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02"/>
        <v>YES</v>
      </c>
      <c r="Q1311" t="str">
        <f t="shared" si="303"/>
        <v>NO</v>
      </c>
      <c r="R1311" t="str">
        <f t="shared" si="304"/>
        <v>NO</v>
      </c>
      <c r="S1311">
        <v>2225</v>
      </c>
      <c r="T1311" t="s">
        <v>14</v>
      </c>
      <c r="U1311" t="str">
        <f t="shared" si="291"/>
        <v>Massachusetts Ave</v>
      </c>
      <c r="W1311" t="str">
        <f t="shared" si="292"/>
        <v/>
      </c>
      <c r="X1311" t="str">
        <f>IF(ISBLANK(S1311),"Intersection","Non-Intersection")</f>
        <v>Non-Intersection</v>
      </c>
      <c r="Y1311" t="s">
        <v>2195</v>
      </c>
      <c r="Z1311" t="str">
        <f t="shared" si="293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294"/>
        <v>40179</v>
      </c>
      <c r="D1312" s="4">
        <f t="shared" si="295"/>
        <v>0.852054794520548</v>
      </c>
      <c r="E1312" s="3">
        <f t="shared" si="296"/>
        <v>2010</v>
      </c>
      <c r="F1312" s="3">
        <f t="shared" si="297"/>
        <v>11</v>
      </c>
      <c r="G1312" s="3">
        <f t="shared" si="298"/>
        <v>8</v>
      </c>
      <c r="H1312" s="3">
        <f t="shared" si="299"/>
        <v>17</v>
      </c>
      <c r="I1312" s="3">
        <f t="shared" si="300"/>
        <v>22</v>
      </c>
      <c r="J1312" s="3">
        <f t="shared" si="301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02"/>
        <v>YES</v>
      </c>
      <c r="Q1312" t="str">
        <f t="shared" si="303"/>
        <v>NO</v>
      </c>
      <c r="R1312" t="str">
        <f t="shared" si="304"/>
        <v>NO</v>
      </c>
      <c r="T1312" t="s">
        <v>2197</v>
      </c>
      <c r="U1312" t="str">
        <f t="shared" si="291"/>
        <v>Brewer St</v>
      </c>
      <c r="V1312" t="s">
        <v>198</v>
      </c>
      <c r="W1312" t="str">
        <f t="shared" si="292"/>
        <v>Mount Auburn St</v>
      </c>
      <c r="X1312" t="str">
        <f>IF(ISBLANK(S1312),"Intersection","Non-Intersection")</f>
        <v>Intersection</v>
      </c>
      <c r="Y1312" t="s">
        <v>2198</v>
      </c>
      <c r="Z1312" t="str">
        <f t="shared" si="293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294"/>
        <v>40179</v>
      </c>
      <c r="D1313" s="4">
        <f t="shared" si="295"/>
        <v>0.85479452054794525</v>
      </c>
      <c r="E1313" s="3">
        <f t="shared" si="296"/>
        <v>2010</v>
      </c>
      <c r="F1313" s="3">
        <f t="shared" si="297"/>
        <v>11</v>
      </c>
      <c r="G1313" s="3">
        <f t="shared" si="298"/>
        <v>9</v>
      </c>
      <c r="H1313" s="3">
        <f t="shared" si="299"/>
        <v>16</v>
      </c>
      <c r="I1313" s="3">
        <f t="shared" si="300"/>
        <v>47</v>
      </c>
      <c r="J1313" s="3">
        <f t="shared" si="301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02"/>
        <v>YES</v>
      </c>
      <c r="Q1313" t="str">
        <f t="shared" si="303"/>
        <v>NO</v>
      </c>
      <c r="R1313" t="str">
        <f t="shared" si="304"/>
        <v>NO</v>
      </c>
      <c r="T1313" t="s">
        <v>74</v>
      </c>
      <c r="U1313" t="str">
        <f t="shared" si="291"/>
        <v>Hampshire St</v>
      </c>
      <c r="V1313" t="s">
        <v>189</v>
      </c>
      <c r="W1313" t="str">
        <f t="shared" si="292"/>
        <v>Windsor St</v>
      </c>
      <c r="X1313" t="str">
        <f>IF(ISBLANK(S1313),"Intersection","Non-Intersection")</f>
        <v>Intersection</v>
      </c>
      <c r="Y1313" t="s">
        <v>1447</v>
      </c>
      <c r="Z1313" t="str">
        <f t="shared" si="293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294"/>
        <v>40179</v>
      </c>
      <c r="D1314" s="4">
        <f t="shared" si="295"/>
        <v>0.85479452054794525</v>
      </c>
      <c r="E1314" s="3">
        <f t="shared" si="296"/>
        <v>2010</v>
      </c>
      <c r="F1314" s="3">
        <f t="shared" si="297"/>
        <v>11</v>
      </c>
      <c r="G1314" s="3">
        <f t="shared" si="298"/>
        <v>9</v>
      </c>
      <c r="H1314" s="3">
        <f t="shared" si="299"/>
        <v>17</v>
      </c>
      <c r="I1314" s="3">
        <f t="shared" si="300"/>
        <v>10</v>
      </c>
      <c r="J1314" s="3">
        <f t="shared" si="301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02"/>
        <v>YES</v>
      </c>
      <c r="Q1314" t="str">
        <f t="shared" si="303"/>
        <v>NO</v>
      </c>
      <c r="R1314" t="str">
        <f t="shared" si="304"/>
        <v>NO</v>
      </c>
      <c r="T1314" t="s">
        <v>260</v>
      </c>
      <c r="U1314" t="str">
        <f t="shared" si="291"/>
        <v>Third St</v>
      </c>
      <c r="V1314" t="s">
        <v>146</v>
      </c>
      <c r="W1314" t="str">
        <f t="shared" si="292"/>
        <v>Spring St</v>
      </c>
      <c r="X1314" t="str">
        <f>IF(ISBLANK(S1314),"Intersection","Non-Intersection")</f>
        <v>Intersection</v>
      </c>
      <c r="Y1314" t="s">
        <v>544</v>
      </c>
      <c r="Z1314" t="str">
        <f t="shared" si="293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294"/>
        <v>40179</v>
      </c>
      <c r="D1315" s="4">
        <f t="shared" si="295"/>
        <v>0.85479452054794525</v>
      </c>
      <c r="E1315" s="3">
        <f t="shared" si="296"/>
        <v>2010</v>
      </c>
      <c r="F1315" s="3">
        <f t="shared" si="297"/>
        <v>11</v>
      </c>
      <c r="G1315" s="3">
        <f t="shared" si="298"/>
        <v>9</v>
      </c>
      <c r="H1315" s="3">
        <f t="shared" si="299"/>
        <v>18</v>
      </c>
      <c r="I1315" s="3">
        <f t="shared" si="300"/>
        <v>1</v>
      </c>
      <c r="J1315" s="3">
        <f t="shared" si="301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02"/>
        <v>YES</v>
      </c>
      <c r="Q1315" t="str">
        <f t="shared" si="303"/>
        <v>NO</v>
      </c>
      <c r="R1315" t="str">
        <f t="shared" si="304"/>
        <v>YES</v>
      </c>
      <c r="T1315" t="s">
        <v>252</v>
      </c>
      <c r="U1315" t="str">
        <f t="shared" si="291"/>
        <v>Walden St</v>
      </c>
      <c r="V1315" t="s">
        <v>155</v>
      </c>
      <c r="W1315" t="str">
        <f t="shared" si="292"/>
        <v>Richdale Ave</v>
      </c>
      <c r="X1315" t="str">
        <f>IF(ISBLANK(S1315),"Intersection","Non-Intersection")</f>
        <v>Intersection</v>
      </c>
      <c r="Y1315" t="s">
        <v>1763</v>
      </c>
      <c r="Z1315" t="str">
        <f t="shared" si="293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294"/>
        <v>40179</v>
      </c>
      <c r="D1316" s="4">
        <f t="shared" si="295"/>
        <v>0.8575342465753425</v>
      </c>
      <c r="E1316" s="3">
        <f t="shared" si="296"/>
        <v>2010</v>
      </c>
      <c r="F1316" s="3">
        <f t="shared" si="297"/>
        <v>11</v>
      </c>
      <c r="G1316" s="3">
        <f t="shared" si="298"/>
        <v>10</v>
      </c>
      <c r="H1316" s="3">
        <f t="shared" si="299"/>
        <v>8</v>
      </c>
      <c r="I1316" s="3">
        <f t="shared" si="300"/>
        <v>4</v>
      </c>
      <c r="J1316" s="3">
        <f t="shared" si="301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02"/>
        <v>YES</v>
      </c>
      <c r="Q1316" t="str">
        <f t="shared" si="303"/>
        <v>YES</v>
      </c>
      <c r="R1316" t="str">
        <f t="shared" si="304"/>
        <v>NO</v>
      </c>
      <c r="T1316" t="s">
        <v>74</v>
      </c>
      <c r="U1316" t="str">
        <f t="shared" si="291"/>
        <v>Hampshire St</v>
      </c>
      <c r="V1316" t="s">
        <v>942</v>
      </c>
      <c r="W1316" t="str">
        <f t="shared" si="292"/>
        <v>Amory St</v>
      </c>
      <c r="X1316" t="str">
        <f>IF(ISBLANK(S1316),"Intersection","Non-Intersection")</f>
        <v>Intersection</v>
      </c>
      <c r="Y1316" t="s">
        <v>967</v>
      </c>
      <c r="Z1316" t="str">
        <f t="shared" si="293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294"/>
        <v>40179</v>
      </c>
      <c r="D1317" s="4">
        <f t="shared" si="295"/>
        <v>0.8575342465753425</v>
      </c>
      <c r="E1317" s="3">
        <f t="shared" si="296"/>
        <v>2010</v>
      </c>
      <c r="F1317" s="3">
        <f t="shared" si="297"/>
        <v>11</v>
      </c>
      <c r="G1317" s="3">
        <f t="shared" si="298"/>
        <v>10</v>
      </c>
      <c r="H1317" s="3">
        <f t="shared" si="299"/>
        <v>15</v>
      </c>
      <c r="I1317" s="3">
        <f t="shared" si="300"/>
        <v>14</v>
      </c>
      <c r="J1317" s="3">
        <f t="shared" si="301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02"/>
        <v>YES</v>
      </c>
      <c r="Q1317" t="str">
        <f t="shared" si="303"/>
        <v>NO</v>
      </c>
      <c r="R1317" t="str">
        <f t="shared" si="304"/>
        <v>NO</v>
      </c>
      <c r="T1317" t="s">
        <v>14</v>
      </c>
      <c r="U1317" t="str">
        <f t="shared" si="291"/>
        <v>Massachusetts Ave</v>
      </c>
      <c r="V1317" t="s">
        <v>2012</v>
      </c>
      <c r="W1317" t="str">
        <f t="shared" si="292"/>
        <v>Mellen St</v>
      </c>
      <c r="X1317" t="str">
        <f>IF(ISBLANK(S1317),"Intersection","Non-Intersection")</f>
        <v>Intersection</v>
      </c>
      <c r="Y1317" t="s">
        <v>2013</v>
      </c>
      <c r="Z1317" t="str">
        <f t="shared" si="293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294"/>
        <v>40179</v>
      </c>
      <c r="D1318" s="4">
        <f t="shared" si="295"/>
        <v>0.8575342465753425</v>
      </c>
      <c r="E1318" s="3">
        <f t="shared" si="296"/>
        <v>2010</v>
      </c>
      <c r="F1318" s="3">
        <f t="shared" si="297"/>
        <v>11</v>
      </c>
      <c r="G1318" s="3">
        <f t="shared" si="298"/>
        <v>10</v>
      </c>
      <c r="H1318" s="3">
        <f t="shared" si="299"/>
        <v>16</v>
      </c>
      <c r="I1318" s="3">
        <f t="shared" si="300"/>
        <v>28</v>
      </c>
      <c r="J1318" s="3">
        <f t="shared" si="301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02"/>
        <v>YES</v>
      </c>
      <c r="Q1318" t="str">
        <f t="shared" si="303"/>
        <v>YES</v>
      </c>
      <c r="R1318" t="str">
        <f t="shared" si="304"/>
        <v>NO</v>
      </c>
      <c r="T1318" t="s">
        <v>19</v>
      </c>
      <c r="U1318" t="str">
        <f t="shared" si="291"/>
        <v>Cambridge St</v>
      </c>
      <c r="V1318" t="s">
        <v>379</v>
      </c>
      <c r="W1318" t="str">
        <f t="shared" si="292"/>
        <v>Second St</v>
      </c>
      <c r="X1318" t="str">
        <f>IF(ISBLANK(S1318),"Intersection","Non-Intersection")</f>
        <v>Intersection</v>
      </c>
      <c r="Y1318" t="s">
        <v>2200</v>
      </c>
      <c r="Z1318" t="str">
        <f t="shared" si="293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294"/>
        <v>40179</v>
      </c>
      <c r="D1319" s="4">
        <f t="shared" si="295"/>
        <v>0.8575342465753425</v>
      </c>
      <c r="E1319" s="3">
        <f t="shared" si="296"/>
        <v>2010</v>
      </c>
      <c r="F1319" s="3">
        <f t="shared" si="297"/>
        <v>11</v>
      </c>
      <c r="G1319" s="3">
        <f t="shared" si="298"/>
        <v>10</v>
      </c>
      <c r="H1319" s="3">
        <f t="shared" si="299"/>
        <v>18</v>
      </c>
      <c r="I1319" s="3">
        <f t="shared" si="300"/>
        <v>0</v>
      </c>
      <c r="J1319" s="3">
        <f t="shared" si="301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02"/>
        <v>YES</v>
      </c>
      <c r="Q1319" t="str">
        <f t="shared" si="303"/>
        <v>NO</v>
      </c>
      <c r="R1319" t="str">
        <f t="shared" si="304"/>
        <v>NO</v>
      </c>
      <c r="T1319" t="s">
        <v>380</v>
      </c>
      <c r="U1319" t="str">
        <f t="shared" si="291"/>
        <v>Charles St</v>
      </c>
      <c r="V1319" t="s">
        <v>993</v>
      </c>
      <c r="W1319" t="str">
        <f t="shared" si="292"/>
        <v>Fifth St</v>
      </c>
      <c r="X1319" t="str">
        <f>IF(ISBLANK(S1319),"Intersection","Non-Intersection")</f>
        <v>Intersection</v>
      </c>
      <c r="Y1319" t="s">
        <v>2202</v>
      </c>
      <c r="Z1319" t="str">
        <f t="shared" si="293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294"/>
        <v>40179</v>
      </c>
      <c r="D1320" s="4">
        <f t="shared" si="295"/>
        <v>0.86027397260273974</v>
      </c>
      <c r="E1320" s="3">
        <f t="shared" si="296"/>
        <v>2010</v>
      </c>
      <c r="F1320" s="3">
        <f t="shared" si="297"/>
        <v>11</v>
      </c>
      <c r="G1320" s="3">
        <f t="shared" si="298"/>
        <v>11</v>
      </c>
      <c r="H1320" s="3">
        <f t="shared" si="299"/>
        <v>2</v>
      </c>
      <c r="I1320" s="3">
        <f t="shared" si="300"/>
        <v>0</v>
      </c>
      <c r="J1320" s="3">
        <f t="shared" si="301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02"/>
        <v>YES</v>
      </c>
      <c r="Q1320" t="str">
        <f t="shared" si="303"/>
        <v>NO</v>
      </c>
      <c r="R1320" t="str">
        <f t="shared" si="304"/>
        <v>NO</v>
      </c>
      <c r="S1320">
        <v>950</v>
      </c>
      <c r="T1320" t="s">
        <v>14</v>
      </c>
      <c r="U1320" t="str">
        <f t="shared" si="291"/>
        <v>Massachusetts Ave</v>
      </c>
      <c r="W1320" t="str">
        <f t="shared" si="292"/>
        <v/>
      </c>
      <c r="X1320" t="str">
        <f>IF(ISBLANK(S1320),"Intersection","Non-Intersection")</f>
        <v>Non-Intersection</v>
      </c>
      <c r="Y1320" t="s">
        <v>2204</v>
      </c>
      <c r="Z1320" t="str">
        <f t="shared" si="293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294"/>
        <v>40179</v>
      </c>
      <c r="D1321" s="4">
        <f t="shared" si="295"/>
        <v>0.86027397260273974</v>
      </c>
      <c r="E1321" s="3">
        <f t="shared" si="296"/>
        <v>2010</v>
      </c>
      <c r="F1321" s="3">
        <f t="shared" si="297"/>
        <v>11</v>
      </c>
      <c r="G1321" s="3">
        <f t="shared" si="298"/>
        <v>11</v>
      </c>
      <c r="H1321" s="3">
        <f t="shared" si="299"/>
        <v>21</v>
      </c>
      <c r="I1321" s="3">
        <f t="shared" si="300"/>
        <v>39</v>
      </c>
      <c r="J1321" s="3">
        <f t="shared" si="301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02"/>
        <v>YES</v>
      </c>
      <c r="Q1321" t="str">
        <f t="shared" si="303"/>
        <v>NO</v>
      </c>
      <c r="R1321" t="str">
        <f t="shared" si="304"/>
        <v>NO</v>
      </c>
      <c r="T1321" t="s">
        <v>1182</v>
      </c>
      <c r="U1321" t="str">
        <f t="shared" si="291"/>
        <v>Amherst St</v>
      </c>
      <c r="V1321" t="s">
        <v>2206</v>
      </c>
      <c r="W1321" t="str">
        <f t="shared" si="292"/>
        <v>Hayward St</v>
      </c>
      <c r="X1321" t="str">
        <f>IF(ISBLANK(S1321),"Intersection","Non-Intersection")</f>
        <v>Intersection</v>
      </c>
      <c r="Y1321" t="s">
        <v>2207</v>
      </c>
      <c r="Z1321" t="str">
        <f t="shared" si="293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294"/>
        <v>40179</v>
      </c>
      <c r="D1322" s="4">
        <f t="shared" si="295"/>
        <v>0.86027397260273974</v>
      </c>
      <c r="E1322" s="3">
        <f t="shared" si="296"/>
        <v>2010</v>
      </c>
      <c r="F1322" s="3">
        <f t="shared" si="297"/>
        <v>11</v>
      </c>
      <c r="G1322" s="3">
        <f t="shared" si="298"/>
        <v>11</v>
      </c>
      <c r="H1322" s="3">
        <f t="shared" si="299"/>
        <v>12</v>
      </c>
      <c r="I1322" s="3">
        <f t="shared" si="300"/>
        <v>30</v>
      </c>
      <c r="J1322" s="3">
        <f t="shared" si="301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02"/>
        <v>YES</v>
      </c>
      <c r="Q1322" t="str">
        <f t="shared" si="303"/>
        <v>NO</v>
      </c>
      <c r="R1322" t="str">
        <f t="shared" si="304"/>
        <v>NO</v>
      </c>
      <c r="S1322">
        <v>9</v>
      </c>
      <c r="T1322" t="s">
        <v>929</v>
      </c>
      <c r="U1322" t="str">
        <f t="shared" si="291"/>
        <v>Maynard Pl</v>
      </c>
      <c r="W1322" t="str">
        <f t="shared" si="292"/>
        <v/>
      </c>
      <c r="X1322" t="str">
        <f>IF(ISBLANK(S1322),"Intersection","Non-Intersection")</f>
        <v>Non-Intersection</v>
      </c>
      <c r="Y1322" t="s">
        <v>2209</v>
      </c>
      <c r="Z1322" t="str">
        <f t="shared" si="293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294"/>
        <v>40179</v>
      </c>
      <c r="D1323" s="4">
        <f t="shared" si="295"/>
        <v>0.86301369863013699</v>
      </c>
      <c r="E1323" s="3">
        <f t="shared" si="296"/>
        <v>2010</v>
      </c>
      <c r="F1323" s="3">
        <f t="shared" si="297"/>
        <v>11</v>
      </c>
      <c r="G1323" s="3">
        <f t="shared" si="298"/>
        <v>12</v>
      </c>
      <c r="H1323" s="3">
        <f t="shared" si="299"/>
        <v>5</v>
      </c>
      <c r="I1323" s="3">
        <f t="shared" si="300"/>
        <v>19</v>
      </c>
      <c r="J1323" s="3">
        <f t="shared" si="301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02"/>
        <v>YES</v>
      </c>
      <c r="Q1323" t="str">
        <f t="shared" si="303"/>
        <v>NO</v>
      </c>
      <c r="R1323" t="str">
        <f t="shared" si="304"/>
        <v>NO</v>
      </c>
      <c r="S1323" t="s">
        <v>2211</v>
      </c>
      <c r="T1323" t="s">
        <v>42</v>
      </c>
      <c r="U1323" t="str">
        <f t="shared" si="291"/>
        <v>Putnam Ave</v>
      </c>
      <c r="W1323" t="str">
        <f t="shared" si="292"/>
        <v/>
      </c>
      <c r="X1323" t="str">
        <f>IF(ISBLANK(S1323),"Intersection","Non-Intersection")</f>
        <v>Non-Intersection</v>
      </c>
      <c r="Y1323" t="s">
        <v>2212</v>
      </c>
      <c r="Z1323" t="str">
        <f t="shared" si="293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294"/>
        <v>40179</v>
      </c>
      <c r="D1324" s="4">
        <f t="shared" si="295"/>
        <v>0.86301369863013699</v>
      </c>
      <c r="E1324" s="3">
        <f t="shared" si="296"/>
        <v>2010</v>
      </c>
      <c r="F1324" s="3">
        <f t="shared" si="297"/>
        <v>11</v>
      </c>
      <c r="G1324" s="3">
        <f t="shared" si="298"/>
        <v>12</v>
      </c>
      <c r="H1324" s="3">
        <f t="shared" si="299"/>
        <v>8</v>
      </c>
      <c r="I1324" s="3">
        <f t="shared" si="300"/>
        <v>39</v>
      </c>
      <c r="J1324" s="3">
        <f t="shared" si="301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02"/>
        <v>YES</v>
      </c>
      <c r="Q1324" t="str">
        <f t="shared" si="303"/>
        <v>NO</v>
      </c>
      <c r="R1324" t="str">
        <f t="shared" si="304"/>
        <v>NO</v>
      </c>
      <c r="T1324" t="s">
        <v>710</v>
      </c>
      <c r="U1324" t="str">
        <f t="shared" si="291"/>
        <v>Fresh Pond Pky</v>
      </c>
      <c r="W1324" t="str">
        <f t="shared" si="292"/>
        <v/>
      </c>
      <c r="X1324" t="str">
        <f>IF(ISBLANK(S1324),"Intersection","Non-Intersection")</f>
        <v>Intersection</v>
      </c>
      <c r="Y1324" t="s">
        <v>726</v>
      </c>
      <c r="Z1324" t="str">
        <f t="shared" si="293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294"/>
        <v>40179</v>
      </c>
      <c r="D1325" s="4">
        <f t="shared" si="295"/>
        <v>0.86301369863013699</v>
      </c>
      <c r="E1325" s="3">
        <f t="shared" si="296"/>
        <v>2010</v>
      </c>
      <c r="F1325" s="3">
        <f t="shared" si="297"/>
        <v>11</v>
      </c>
      <c r="G1325" s="3">
        <f t="shared" si="298"/>
        <v>12</v>
      </c>
      <c r="H1325" s="3">
        <f t="shared" si="299"/>
        <v>10</v>
      </c>
      <c r="I1325" s="3">
        <f t="shared" si="300"/>
        <v>44</v>
      </c>
      <c r="J1325" s="3">
        <f t="shared" si="301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02"/>
        <v>YES</v>
      </c>
      <c r="Q1325" t="str">
        <f t="shared" si="303"/>
        <v>NO</v>
      </c>
      <c r="R1325" t="str">
        <f t="shared" si="304"/>
        <v>NO</v>
      </c>
      <c r="T1325" t="s">
        <v>269</v>
      </c>
      <c r="U1325" t="str">
        <f t="shared" si="291"/>
        <v>Porter Sq</v>
      </c>
      <c r="W1325" t="str">
        <f t="shared" si="292"/>
        <v/>
      </c>
      <c r="X1325" t="str">
        <f>IF(ISBLANK(S1325),"Intersection","Non-Intersection")</f>
        <v>Intersection</v>
      </c>
      <c r="Y1325" t="s">
        <v>923</v>
      </c>
      <c r="Z1325" t="str">
        <f t="shared" si="293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294"/>
        <v>40179</v>
      </c>
      <c r="D1326" s="4">
        <f t="shared" si="295"/>
        <v>0.86301369863013699</v>
      </c>
      <c r="E1326" s="3">
        <f t="shared" si="296"/>
        <v>2010</v>
      </c>
      <c r="F1326" s="3">
        <f t="shared" si="297"/>
        <v>11</v>
      </c>
      <c r="G1326" s="3">
        <f t="shared" si="298"/>
        <v>12</v>
      </c>
      <c r="H1326" s="3">
        <f t="shared" si="299"/>
        <v>10</v>
      </c>
      <c r="I1326" s="3">
        <f t="shared" si="300"/>
        <v>50</v>
      </c>
      <c r="J1326" s="3">
        <f t="shared" si="301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02"/>
        <v>YES</v>
      </c>
      <c r="Q1326" t="str">
        <f t="shared" si="303"/>
        <v>NO</v>
      </c>
      <c r="R1326" t="str">
        <f t="shared" si="304"/>
        <v>NO</v>
      </c>
      <c r="T1326" t="s">
        <v>185</v>
      </c>
      <c r="U1326" t="str">
        <f t="shared" si="291"/>
        <v>Garden St</v>
      </c>
      <c r="V1326" t="s">
        <v>14</v>
      </c>
      <c r="W1326" t="str">
        <f t="shared" si="292"/>
        <v>Massachusetts Ave</v>
      </c>
      <c r="X1326" t="str">
        <f>IF(ISBLANK(S1326),"Intersection","Non-Intersection")</f>
        <v>Intersection</v>
      </c>
      <c r="Y1326" t="s">
        <v>1003</v>
      </c>
      <c r="Z1326" t="str">
        <f t="shared" si="293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294"/>
        <v>40179</v>
      </c>
      <c r="D1327" s="4">
        <f t="shared" si="295"/>
        <v>0.86301369863013699</v>
      </c>
      <c r="E1327" s="3">
        <f t="shared" si="296"/>
        <v>2010</v>
      </c>
      <c r="F1327" s="3">
        <f t="shared" si="297"/>
        <v>11</v>
      </c>
      <c r="G1327" s="3">
        <f t="shared" si="298"/>
        <v>12</v>
      </c>
      <c r="H1327" s="3">
        <f t="shared" si="299"/>
        <v>15</v>
      </c>
      <c r="I1327" s="3">
        <f t="shared" si="300"/>
        <v>30</v>
      </c>
      <c r="J1327" s="3">
        <f t="shared" si="301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02"/>
        <v>YES</v>
      </c>
      <c r="Q1327" t="str">
        <f t="shared" si="303"/>
        <v>NO</v>
      </c>
      <c r="R1327" t="str">
        <f t="shared" si="304"/>
        <v>NO</v>
      </c>
      <c r="S1327">
        <v>17</v>
      </c>
      <c r="T1327" t="s">
        <v>1438</v>
      </c>
      <c r="U1327" t="str">
        <f t="shared" si="291"/>
        <v>Dunster St</v>
      </c>
      <c r="W1327" t="str">
        <f t="shared" si="292"/>
        <v/>
      </c>
      <c r="X1327" t="str">
        <f>IF(ISBLANK(S1327),"Intersection","Non-Intersection")</f>
        <v>Non-Intersection</v>
      </c>
      <c r="Y1327" t="s">
        <v>2214</v>
      </c>
      <c r="Z1327" t="str">
        <f t="shared" si="293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294"/>
        <v>40179</v>
      </c>
      <c r="D1328" s="4">
        <f t="shared" si="295"/>
        <v>0.86575342465753424</v>
      </c>
      <c r="E1328" s="3">
        <f t="shared" si="296"/>
        <v>2010</v>
      </c>
      <c r="F1328" s="3">
        <f t="shared" si="297"/>
        <v>11</v>
      </c>
      <c r="G1328" s="3">
        <f t="shared" si="298"/>
        <v>13</v>
      </c>
      <c r="H1328" s="3">
        <f t="shared" si="299"/>
        <v>3</v>
      </c>
      <c r="I1328" s="3">
        <f t="shared" si="300"/>
        <v>0</v>
      </c>
      <c r="J1328" s="3">
        <f t="shared" si="301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02"/>
        <v>YES</v>
      </c>
      <c r="Q1328" t="str">
        <f t="shared" si="303"/>
        <v>NO</v>
      </c>
      <c r="R1328" t="str">
        <f t="shared" si="304"/>
        <v>YES</v>
      </c>
      <c r="T1328" t="s">
        <v>14</v>
      </c>
      <c r="U1328" t="str">
        <f t="shared" si="291"/>
        <v>Massachusetts Ave</v>
      </c>
      <c r="V1328" t="s">
        <v>104</v>
      </c>
      <c r="W1328" t="str">
        <f t="shared" si="292"/>
        <v>Inman St</v>
      </c>
      <c r="X1328" t="str">
        <f>IF(ISBLANK(S1328),"Intersection","Non-Intersection")</f>
        <v>Intersection</v>
      </c>
      <c r="Y1328" t="s">
        <v>1129</v>
      </c>
      <c r="Z1328" t="str">
        <f t="shared" si="293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294"/>
        <v>40179</v>
      </c>
      <c r="D1329" s="4">
        <f t="shared" si="295"/>
        <v>0.86575342465753424</v>
      </c>
      <c r="E1329" s="3">
        <f t="shared" si="296"/>
        <v>2010</v>
      </c>
      <c r="F1329" s="3">
        <f t="shared" si="297"/>
        <v>11</v>
      </c>
      <c r="G1329" s="3">
        <f t="shared" si="298"/>
        <v>13</v>
      </c>
      <c r="H1329" s="3">
        <f t="shared" si="299"/>
        <v>7</v>
      </c>
      <c r="I1329" s="3">
        <f t="shared" si="300"/>
        <v>44</v>
      </c>
      <c r="J1329" s="3">
        <f t="shared" si="301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02"/>
        <v>YES</v>
      </c>
      <c r="Q1329" t="str">
        <f t="shared" si="303"/>
        <v>NO</v>
      </c>
      <c r="R1329" t="str">
        <f t="shared" si="304"/>
        <v>NO</v>
      </c>
      <c r="S1329">
        <v>1221</v>
      </c>
      <c r="T1329" t="s">
        <v>19</v>
      </c>
      <c r="U1329" t="str">
        <f t="shared" si="291"/>
        <v>Cambridge St</v>
      </c>
      <c r="V1329" t="s">
        <v>342</v>
      </c>
      <c r="W1329" t="str">
        <f t="shared" si="292"/>
        <v>Prospect St</v>
      </c>
      <c r="X1329" t="str">
        <f>IF(ISBLANK(S1329),"Intersection","Non-Intersection")</f>
        <v>Non-Intersection</v>
      </c>
      <c r="Y1329" t="s">
        <v>1557</v>
      </c>
      <c r="Z1329" t="str">
        <f t="shared" si="293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294"/>
        <v>40179</v>
      </c>
      <c r="D1330" s="4">
        <f t="shared" si="295"/>
        <v>0.86575342465753424</v>
      </c>
      <c r="E1330" s="3">
        <f t="shared" si="296"/>
        <v>2010</v>
      </c>
      <c r="F1330" s="3">
        <f t="shared" si="297"/>
        <v>11</v>
      </c>
      <c r="G1330" s="3">
        <f t="shared" si="298"/>
        <v>13</v>
      </c>
      <c r="H1330" s="3">
        <f t="shared" si="299"/>
        <v>9</v>
      </c>
      <c r="I1330" s="3">
        <f t="shared" si="300"/>
        <v>59</v>
      </c>
      <c r="J1330" s="3">
        <f t="shared" si="301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02"/>
        <v>YES</v>
      </c>
      <c r="Q1330" t="str">
        <f t="shared" si="303"/>
        <v>NO</v>
      </c>
      <c r="R1330" t="str">
        <f t="shared" si="304"/>
        <v>NO</v>
      </c>
      <c r="T1330" t="s">
        <v>192</v>
      </c>
      <c r="U1330" t="str">
        <f t="shared" si="291"/>
        <v>Hancock St</v>
      </c>
      <c r="V1330" t="s">
        <v>1598</v>
      </c>
      <c r="W1330" t="str">
        <f t="shared" si="292"/>
        <v>Chatham St</v>
      </c>
      <c r="X1330" t="str">
        <f>IF(ISBLANK(S1330),"Intersection","Non-Intersection")</f>
        <v>Intersection</v>
      </c>
      <c r="Y1330" t="s">
        <v>2216</v>
      </c>
      <c r="Z1330" t="str">
        <f t="shared" si="293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294"/>
        <v>40179</v>
      </c>
      <c r="D1331" s="4">
        <f t="shared" si="295"/>
        <v>0.86575342465753424</v>
      </c>
      <c r="E1331" s="3">
        <f t="shared" si="296"/>
        <v>2010</v>
      </c>
      <c r="F1331" s="3">
        <f t="shared" si="297"/>
        <v>11</v>
      </c>
      <c r="G1331" s="3">
        <f t="shared" si="298"/>
        <v>13</v>
      </c>
      <c r="H1331" s="3">
        <f t="shared" si="299"/>
        <v>13</v>
      </c>
      <c r="I1331" s="3">
        <f t="shared" si="300"/>
        <v>21</v>
      </c>
      <c r="J1331" s="3">
        <f t="shared" si="301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02"/>
        <v>YES</v>
      </c>
      <c r="Q1331" t="str">
        <f t="shared" si="303"/>
        <v>NO</v>
      </c>
      <c r="R1331" t="str">
        <f t="shared" si="304"/>
        <v>NO</v>
      </c>
      <c r="S1331">
        <v>178</v>
      </c>
      <c r="T1331" t="s">
        <v>170</v>
      </c>
      <c r="U1331" t="str">
        <f t="shared" si="291"/>
        <v>Alewife Brook Pky</v>
      </c>
      <c r="W1331" t="str">
        <f t="shared" si="292"/>
        <v/>
      </c>
      <c r="X1331" t="str">
        <f>IF(ISBLANK(S1331),"Intersection","Non-Intersection")</f>
        <v>Non-Intersection</v>
      </c>
      <c r="Y1331" t="s">
        <v>2218</v>
      </c>
      <c r="Z1331" t="str">
        <f t="shared" si="293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294"/>
        <v>40179</v>
      </c>
      <c r="D1332" s="4">
        <f t="shared" si="295"/>
        <v>0.86575342465753424</v>
      </c>
      <c r="E1332" s="3">
        <f t="shared" si="296"/>
        <v>2010</v>
      </c>
      <c r="F1332" s="3">
        <f t="shared" si="297"/>
        <v>11</v>
      </c>
      <c r="G1332" s="3">
        <f t="shared" si="298"/>
        <v>13</v>
      </c>
      <c r="H1332" s="3">
        <f t="shared" si="299"/>
        <v>14</v>
      </c>
      <c r="I1332" s="3">
        <f t="shared" si="300"/>
        <v>13</v>
      </c>
      <c r="J1332" s="3">
        <f t="shared" si="301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02"/>
        <v>YES</v>
      </c>
      <c r="Q1332" t="str">
        <f t="shared" si="303"/>
        <v>NO</v>
      </c>
      <c r="R1332" t="str">
        <f t="shared" si="304"/>
        <v>NO</v>
      </c>
      <c r="T1332" t="s">
        <v>24</v>
      </c>
      <c r="U1332" t="str">
        <f t="shared" si="291"/>
        <v>Coolidge Ave</v>
      </c>
      <c r="V1332" t="s">
        <v>351</v>
      </c>
      <c r="W1332" t="str">
        <f t="shared" si="292"/>
        <v>Cambridge Ctr</v>
      </c>
      <c r="X1332" t="str">
        <f>IF(ISBLANK(S1332),"Intersection","Non-Intersection")</f>
        <v>Intersection</v>
      </c>
      <c r="Y1332" t="s">
        <v>2220</v>
      </c>
      <c r="Z1332" t="str">
        <f t="shared" si="293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294"/>
        <v>40179</v>
      </c>
      <c r="D1333" s="4">
        <f t="shared" si="295"/>
        <v>0.86575342465753424</v>
      </c>
      <c r="E1333" s="3">
        <f t="shared" si="296"/>
        <v>2010</v>
      </c>
      <c r="F1333" s="3">
        <f t="shared" si="297"/>
        <v>11</v>
      </c>
      <c r="G1333" s="3">
        <f t="shared" si="298"/>
        <v>13</v>
      </c>
      <c r="H1333" s="3">
        <f t="shared" si="299"/>
        <v>18</v>
      </c>
      <c r="I1333" s="3">
        <f t="shared" si="300"/>
        <v>59</v>
      </c>
      <c r="J1333" s="3">
        <f t="shared" si="301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02"/>
        <v>YES</v>
      </c>
      <c r="Q1333" t="str">
        <f t="shared" si="303"/>
        <v>NO</v>
      </c>
      <c r="R1333" t="str">
        <f t="shared" si="304"/>
        <v>NO</v>
      </c>
      <c r="S1333">
        <v>5</v>
      </c>
      <c r="T1333" t="s">
        <v>326</v>
      </c>
      <c r="U1333" t="str">
        <f t="shared" si="291"/>
        <v>Jfk St</v>
      </c>
      <c r="W1333" t="str">
        <f t="shared" si="292"/>
        <v/>
      </c>
      <c r="X1333" t="str">
        <f>IF(ISBLANK(S1333),"Intersection","Non-Intersection")</f>
        <v>Non-Intersection</v>
      </c>
      <c r="Y1333" t="s">
        <v>2184</v>
      </c>
      <c r="Z1333" t="str">
        <f t="shared" si="293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294"/>
        <v>40179</v>
      </c>
      <c r="D1334" s="4">
        <f t="shared" si="295"/>
        <v>0.86575342465753424</v>
      </c>
      <c r="E1334" s="3">
        <f t="shared" si="296"/>
        <v>2010</v>
      </c>
      <c r="F1334" s="3">
        <f t="shared" si="297"/>
        <v>11</v>
      </c>
      <c r="G1334" s="3">
        <f t="shared" si="298"/>
        <v>13</v>
      </c>
      <c r="H1334" s="3">
        <f t="shared" si="299"/>
        <v>13</v>
      </c>
      <c r="I1334" s="3">
        <f t="shared" si="300"/>
        <v>53</v>
      </c>
      <c r="J1334" s="3">
        <f t="shared" si="301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02"/>
        <v>YES</v>
      </c>
      <c r="Q1334" t="str">
        <f t="shared" si="303"/>
        <v>NO</v>
      </c>
      <c r="R1334" t="str">
        <f t="shared" si="304"/>
        <v>NO</v>
      </c>
      <c r="T1334" t="s">
        <v>325</v>
      </c>
      <c r="U1334" t="str">
        <f t="shared" si="291"/>
        <v>Eliot St</v>
      </c>
      <c r="V1334" t="s">
        <v>162</v>
      </c>
      <c r="W1334" t="str">
        <f t="shared" si="292"/>
        <v>Bennett St</v>
      </c>
      <c r="X1334" t="str">
        <f>IF(ISBLANK(S1334),"Intersection","Non-Intersection")</f>
        <v>Intersection</v>
      </c>
      <c r="Y1334" t="s">
        <v>1229</v>
      </c>
      <c r="Z1334" t="str">
        <f t="shared" si="293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294"/>
        <v>40179</v>
      </c>
      <c r="D1335" s="4">
        <f t="shared" si="295"/>
        <v>0.87123287671232874</v>
      </c>
      <c r="E1335" s="3">
        <f t="shared" si="296"/>
        <v>2010</v>
      </c>
      <c r="F1335" s="3">
        <f t="shared" si="297"/>
        <v>11</v>
      </c>
      <c r="G1335" s="3">
        <f t="shared" si="298"/>
        <v>15</v>
      </c>
      <c r="H1335" s="3">
        <f t="shared" si="299"/>
        <v>23</v>
      </c>
      <c r="I1335" s="3">
        <f t="shared" si="300"/>
        <v>0</v>
      </c>
      <c r="J1335" s="3">
        <f t="shared" si="301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02"/>
        <v>YES</v>
      </c>
      <c r="Q1335" t="str">
        <f t="shared" si="303"/>
        <v>NO</v>
      </c>
      <c r="R1335" t="str">
        <f t="shared" si="304"/>
        <v>NO</v>
      </c>
      <c r="T1335" t="s">
        <v>924</v>
      </c>
      <c r="U1335" t="str">
        <f t="shared" si="291"/>
        <v>Carlisle St</v>
      </c>
      <c r="V1335" t="s">
        <v>342</v>
      </c>
      <c r="W1335" t="str">
        <f t="shared" si="292"/>
        <v>Prospect St</v>
      </c>
      <c r="X1335" t="str">
        <f>IF(ISBLANK(S1335),"Intersection","Non-Intersection")</f>
        <v>Intersection</v>
      </c>
      <c r="Y1335" t="s">
        <v>2221</v>
      </c>
      <c r="Z1335" t="str">
        <f t="shared" si="293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294"/>
        <v>40179</v>
      </c>
      <c r="D1336" s="4">
        <f t="shared" si="295"/>
        <v>0.87397260273972599</v>
      </c>
      <c r="E1336" s="3">
        <f t="shared" si="296"/>
        <v>2010</v>
      </c>
      <c r="F1336" s="3">
        <f t="shared" si="297"/>
        <v>11</v>
      </c>
      <c r="G1336" s="3">
        <f t="shared" si="298"/>
        <v>16</v>
      </c>
      <c r="H1336" s="3">
        <f t="shared" si="299"/>
        <v>6</v>
      </c>
      <c r="I1336" s="3">
        <f t="shared" si="300"/>
        <v>8</v>
      </c>
      <c r="J1336" s="3">
        <f t="shared" si="301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02"/>
        <v>YES</v>
      </c>
      <c r="Q1336" t="str">
        <f t="shared" si="303"/>
        <v>NO</v>
      </c>
      <c r="R1336" t="str">
        <f t="shared" si="304"/>
        <v>YES</v>
      </c>
      <c r="S1336">
        <v>575</v>
      </c>
      <c r="T1336" t="s">
        <v>14</v>
      </c>
      <c r="U1336" t="str">
        <f t="shared" si="291"/>
        <v>Massachusetts Ave</v>
      </c>
      <c r="W1336" t="str">
        <f t="shared" si="292"/>
        <v/>
      </c>
      <c r="X1336" t="str">
        <f>IF(ISBLANK(S1336),"Intersection","Non-Intersection")</f>
        <v>Non-Intersection</v>
      </c>
      <c r="Y1336" t="s">
        <v>2147</v>
      </c>
      <c r="Z1336" t="str">
        <f t="shared" si="293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294"/>
        <v>40179</v>
      </c>
      <c r="D1337" s="4">
        <f t="shared" si="295"/>
        <v>0.87397260273972599</v>
      </c>
      <c r="E1337" s="3">
        <f t="shared" si="296"/>
        <v>2010</v>
      </c>
      <c r="F1337" s="3">
        <f t="shared" si="297"/>
        <v>11</v>
      </c>
      <c r="G1337" s="3">
        <f t="shared" si="298"/>
        <v>16</v>
      </c>
      <c r="H1337" s="3">
        <f t="shared" si="299"/>
        <v>12</v>
      </c>
      <c r="I1337" s="3">
        <f t="shared" si="300"/>
        <v>45</v>
      </c>
      <c r="J1337" s="3">
        <f t="shared" si="301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02"/>
        <v>YES</v>
      </c>
      <c r="Q1337" t="str">
        <f t="shared" si="303"/>
        <v>NO</v>
      </c>
      <c r="R1337" t="str">
        <f t="shared" si="304"/>
        <v>NO</v>
      </c>
      <c r="S1337">
        <v>770</v>
      </c>
      <c r="T1337" t="s">
        <v>509</v>
      </c>
      <c r="U1337" t="str">
        <f t="shared" si="291"/>
        <v>Green St</v>
      </c>
      <c r="V1337" t="s">
        <v>14</v>
      </c>
      <c r="W1337" t="str">
        <f t="shared" si="292"/>
        <v>Massachusetts Ave</v>
      </c>
      <c r="X1337" t="str">
        <f>IF(ISBLANK(S1337),"Intersection","Non-Intersection")</f>
        <v>Non-Intersection</v>
      </c>
      <c r="Y1337" t="s">
        <v>2223</v>
      </c>
      <c r="Z1337" t="str">
        <f t="shared" si="293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294"/>
        <v>40179</v>
      </c>
      <c r="D1338" s="4">
        <f t="shared" si="295"/>
        <v>0.87671232876712324</v>
      </c>
      <c r="E1338" s="3">
        <f t="shared" si="296"/>
        <v>2010</v>
      </c>
      <c r="F1338" s="3">
        <f t="shared" si="297"/>
        <v>11</v>
      </c>
      <c r="G1338" s="3">
        <f t="shared" si="298"/>
        <v>17</v>
      </c>
      <c r="H1338" s="3">
        <f t="shared" si="299"/>
        <v>7</v>
      </c>
      <c r="I1338" s="3">
        <f t="shared" si="300"/>
        <v>54</v>
      </c>
      <c r="J1338" s="3">
        <f t="shared" si="301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02"/>
        <v>YES</v>
      </c>
      <c r="Q1338" t="str">
        <f t="shared" si="303"/>
        <v>NO</v>
      </c>
      <c r="R1338" t="str">
        <f t="shared" si="304"/>
        <v>YES</v>
      </c>
      <c r="T1338" t="s">
        <v>105</v>
      </c>
      <c r="U1338" t="str">
        <f t="shared" si="291"/>
        <v>Broadway</v>
      </c>
      <c r="V1338" t="s">
        <v>1053</v>
      </c>
      <c r="W1338" t="str">
        <f t="shared" si="292"/>
        <v>Clark St</v>
      </c>
      <c r="X1338" t="str">
        <f>IF(ISBLANK(S1338),"Intersection","Non-Intersection")</f>
        <v>Intersection</v>
      </c>
      <c r="Y1338" t="s">
        <v>2225</v>
      </c>
      <c r="Z1338" t="str">
        <f t="shared" si="293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294"/>
        <v>40179</v>
      </c>
      <c r="D1339" s="4">
        <f t="shared" si="295"/>
        <v>0.87671232876712324</v>
      </c>
      <c r="E1339" s="3">
        <f t="shared" si="296"/>
        <v>2010</v>
      </c>
      <c r="F1339" s="3">
        <f t="shared" si="297"/>
        <v>11</v>
      </c>
      <c r="G1339" s="3">
        <f t="shared" si="298"/>
        <v>17</v>
      </c>
      <c r="H1339" s="3">
        <f t="shared" si="299"/>
        <v>9</v>
      </c>
      <c r="I1339" s="3">
        <f t="shared" si="300"/>
        <v>0</v>
      </c>
      <c r="J1339" s="3">
        <f t="shared" si="301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02"/>
        <v>YES</v>
      </c>
      <c r="Q1339" t="str">
        <f t="shared" si="303"/>
        <v>NO</v>
      </c>
      <c r="R1339" t="str">
        <f t="shared" si="304"/>
        <v>NO</v>
      </c>
      <c r="T1339" t="s">
        <v>260</v>
      </c>
      <c r="U1339" t="str">
        <f t="shared" si="291"/>
        <v>Third St</v>
      </c>
      <c r="V1339" t="s">
        <v>19</v>
      </c>
      <c r="W1339" t="str">
        <f t="shared" si="292"/>
        <v>Cambridge St</v>
      </c>
      <c r="X1339" t="str">
        <f>IF(ISBLANK(S1339),"Intersection","Non-Intersection")</f>
        <v>Intersection</v>
      </c>
      <c r="Y1339" t="s">
        <v>2227</v>
      </c>
      <c r="Z1339" t="str">
        <f t="shared" si="293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294"/>
        <v>40179</v>
      </c>
      <c r="D1340" s="4">
        <f t="shared" si="295"/>
        <v>0.87671232876712324</v>
      </c>
      <c r="E1340" s="3">
        <f t="shared" si="296"/>
        <v>2010</v>
      </c>
      <c r="F1340" s="3">
        <f t="shared" si="297"/>
        <v>11</v>
      </c>
      <c r="G1340" s="3">
        <f t="shared" si="298"/>
        <v>17</v>
      </c>
      <c r="H1340" s="3">
        <f t="shared" si="299"/>
        <v>17</v>
      </c>
      <c r="I1340" s="3">
        <f t="shared" si="300"/>
        <v>3</v>
      </c>
      <c r="J1340" s="3">
        <f t="shared" si="301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02"/>
        <v>YES</v>
      </c>
      <c r="Q1340" t="str">
        <f t="shared" si="303"/>
        <v>NO</v>
      </c>
      <c r="R1340" t="str">
        <f t="shared" si="304"/>
        <v>NO</v>
      </c>
      <c r="T1340" t="s">
        <v>14</v>
      </c>
      <c r="U1340" t="str">
        <f t="shared" si="291"/>
        <v>Massachusetts Ave</v>
      </c>
      <c r="V1340" t="s">
        <v>185</v>
      </c>
      <c r="W1340" t="str">
        <f t="shared" si="292"/>
        <v>Garden St</v>
      </c>
      <c r="X1340" t="str">
        <f>IF(ISBLANK(S1340),"Intersection","Non-Intersection")</f>
        <v>Intersection</v>
      </c>
      <c r="Y1340" t="s">
        <v>1247</v>
      </c>
      <c r="Z1340" t="str">
        <f t="shared" si="293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294"/>
        <v>40179</v>
      </c>
      <c r="D1341" s="4">
        <f t="shared" si="295"/>
        <v>0.87671232876712324</v>
      </c>
      <c r="E1341" s="3">
        <f t="shared" si="296"/>
        <v>2010</v>
      </c>
      <c r="F1341" s="3">
        <f t="shared" si="297"/>
        <v>11</v>
      </c>
      <c r="G1341" s="3">
        <f t="shared" si="298"/>
        <v>17</v>
      </c>
      <c r="H1341" s="3">
        <f t="shared" si="299"/>
        <v>21</v>
      </c>
      <c r="I1341" s="3">
        <f t="shared" si="300"/>
        <v>7</v>
      </c>
      <c r="J1341" s="3">
        <f t="shared" si="301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02"/>
        <v>YES</v>
      </c>
      <c r="Q1341" t="str">
        <f t="shared" si="303"/>
        <v>NO</v>
      </c>
      <c r="R1341" t="str">
        <f t="shared" si="304"/>
        <v>NO</v>
      </c>
      <c r="T1341" t="s">
        <v>19</v>
      </c>
      <c r="U1341" t="str">
        <f t="shared" si="291"/>
        <v>Cambridge St</v>
      </c>
      <c r="V1341" t="s">
        <v>342</v>
      </c>
      <c r="W1341" t="str">
        <f t="shared" si="292"/>
        <v>Prospect St</v>
      </c>
      <c r="X1341" t="str">
        <f>IF(ISBLANK(S1341),"Intersection","Non-Intersection")</f>
        <v>Intersection</v>
      </c>
      <c r="Y1341" t="s">
        <v>821</v>
      </c>
      <c r="Z1341" t="str">
        <f t="shared" si="293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294"/>
        <v>40179</v>
      </c>
      <c r="D1342" s="4">
        <f t="shared" si="295"/>
        <v>0.87671232876712324</v>
      </c>
      <c r="E1342" s="3">
        <f t="shared" si="296"/>
        <v>2010</v>
      </c>
      <c r="F1342" s="3">
        <f t="shared" si="297"/>
        <v>11</v>
      </c>
      <c r="G1342" s="3">
        <f t="shared" si="298"/>
        <v>17</v>
      </c>
      <c r="H1342" s="3">
        <f t="shared" si="299"/>
        <v>12</v>
      </c>
      <c r="I1342" s="3">
        <f t="shared" si="300"/>
        <v>49</v>
      </c>
      <c r="J1342" s="3">
        <f t="shared" si="301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02"/>
        <v>YES</v>
      </c>
      <c r="Q1342" t="str">
        <f t="shared" si="303"/>
        <v>NO</v>
      </c>
      <c r="R1342" t="str">
        <f t="shared" si="304"/>
        <v>NO</v>
      </c>
      <c r="S1342">
        <v>777</v>
      </c>
      <c r="T1342" t="s">
        <v>203</v>
      </c>
      <c r="U1342" t="str">
        <f t="shared" si="291"/>
        <v>Memorial Dr</v>
      </c>
      <c r="W1342" t="str">
        <f t="shared" si="292"/>
        <v/>
      </c>
      <c r="X1342" t="str">
        <f>IF(ISBLANK(S1342),"Intersection","Non-Intersection")</f>
        <v>Non-Intersection</v>
      </c>
      <c r="Y1342" t="s">
        <v>496</v>
      </c>
      <c r="Z1342" t="str">
        <f t="shared" si="293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294"/>
        <v>40179</v>
      </c>
      <c r="D1343" s="4">
        <f t="shared" si="295"/>
        <v>0.8794520547945206</v>
      </c>
      <c r="E1343" s="3">
        <f t="shared" si="296"/>
        <v>2010</v>
      </c>
      <c r="F1343" s="3">
        <f t="shared" si="297"/>
        <v>11</v>
      </c>
      <c r="G1343" s="3">
        <f t="shared" si="298"/>
        <v>18</v>
      </c>
      <c r="H1343" s="3">
        <f t="shared" si="299"/>
        <v>17</v>
      </c>
      <c r="I1343" s="3">
        <f t="shared" si="300"/>
        <v>0</v>
      </c>
      <c r="J1343" s="3">
        <f t="shared" si="301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02"/>
        <v>YES</v>
      </c>
      <c r="Q1343" t="str">
        <f t="shared" si="303"/>
        <v>NO</v>
      </c>
      <c r="R1343" t="str">
        <f t="shared" si="304"/>
        <v>NO</v>
      </c>
      <c r="T1343" t="s">
        <v>14</v>
      </c>
      <c r="U1343" t="str">
        <f t="shared" si="291"/>
        <v>Massachusetts Ave</v>
      </c>
      <c r="V1343" t="s">
        <v>745</v>
      </c>
      <c r="W1343" t="str">
        <f t="shared" si="292"/>
        <v>Norfolk St</v>
      </c>
      <c r="X1343" t="str">
        <f>IF(ISBLANK(S1343),"Intersection","Non-Intersection")</f>
        <v>Intersection</v>
      </c>
      <c r="Y1343" t="s">
        <v>873</v>
      </c>
      <c r="Z1343" t="str">
        <f t="shared" si="293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294"/>
        <v>40179</v>
      </c>
      <c r="D1344" s="4">
        <f t="shared" si="295"/>
        <v>0.8794520547945206</v>
      </c>
      <c r="E1344" s="3">
        <f t="shared" si="296"/>
        <v>2010</v>
      </c>
      <c r="F1344" s="3">
        <f t="shared" si="297"/>
        <v>11</v>
      </c>
      <c r="G1344" s="3">
        <f t="shared" si="298"/>
        <v>18</v>
      </c>
      <c r="H1344" s="3">
        <f t="shared" si="299"/>
        <v>18</v>
      </c>
      <c r="I1344" s="3">
        <f t="shared" si="300"/>
        <v>0</v>
      </c>
      <c r="J1344" s="3">
        <f t="shared" si="301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02"/>
        <v>NO</v>
      </c>
      <c r="Q1344" t="str">
        <f t="shared" si="303"/>
        <v>YES</v>
      </c>
      <c r="R1344" t="str">
        <f t="shared" si="304"/>
        <v>NO</v>
      </c>
      <c r="S1344">
        <v>1783</v>
      </c>
      <c r="T1344" t="s">
        <v>14</v>
      </c>
      <c r="U1344" t="str">
        <f t="shared" si="291"/>
        <v>Massachusetts Ave</v>
      </c>
      <c r="W1344" t="str">
        <f t="shared" si="292"/>
        <v/>
      </c>
      <c r="X1344" t="str">
        <f>IF(ISBLANK(S1344),"Intersection","Non-Intersection")</f>
        <v>Non-Intersection</v>
      </c>
      <c r="Y1344" t="s">
        <v>2228</v>
      </c>
      <c r="Z1344" t="str">
        <f t="shared" si="293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294"/>
        <v>40179</v>
      </c>
      <c r="D1345" s="4">
        <f t="shared" si="295"/>
        <v>0.88219178082191785</v>
      </c>
      <c r="E1345" s="3">
        <f t="shared" si="296"/>
        <v>2010</v>
      </c>
      <c r="F1345" s="3">
        <f t="shared" si="297"/>
        <v>11</v>
      </c>
      <c r="G1345" s="3">
        <f t="shared" si="298"/>
        <v>19</v>
      </c>
      <c r="H1345" s="3">
        <f t="shared" si="299"/>
        <v>9</v>
      </c>
      <c r="I1345" s="3">
        <f t="shared" si="300"/>
        <v>30</v>
      </c>
      <c r="J1345" s="3">
        <f t="shared" si="301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02"/>
        <v>YES</v>
      </c>
      <c r="Q1345" t="str">
        <f t="shared" si="303"/>
        <v>NO</v>
      </c>
      <c r="R1345" t="str">
        <f t="shared" si="304"/>
        <v>NO</v>
      </c>
      <c r="S1345">
        <v>108</v>
      </c>
      <c r="T1345" t="s">
        <v>101</v>
      </c>
      <c r="U1345" t="str">
        <f t="shared" si="291"/>
        <v>Columbia St</v>
      </c>
      <c r="W1345" t="str">
        <f t="shared" si="292"/>
        <v/>
      </c>
      <c r="X1345" t="str">
        <f>IF(ISBLANK(S1345),"Intersection","Non-Intersection")</f>
        <v>Non-Intersection</v>
      </c>
      <c r="Y1345" t="s">
        <v>2230</v>
      </c>
      <c r="Z1345" t="str">
        <f t="shared" si="293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294"/>
        <v>40179</v>
      </c>
      <c r="D1346" s="4">
        <f t="shared" si="295"/>
        <v>0.88219178082191785</v>
      </c>
      <c r="E1346" s="3">
        <f t="shared" si="296"/>
        <v>2010</v>
      </c>
      <c r="F1346" s="3">
        <f t="shared" si="297"/>
        <v>11</v>
      </c>
      <c r="G1346" s="3">
        <f t="shared" si="298"/>
        <v>19</v>
      </c>
      <c r="H1346" s="3">
        <f t="shared" si="299"/>
        <v>9</v>
      </c>
      <c r="I1346" s="3">
        <f t="shared" si="300"/>
        <v>52</v>
      </c>
      <c r="J1346" s="3">
        <f t="shared" si="301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02"/>
        <v>YES</v>
      </c>
      <c r="Q1346" t="str">
        <f t="shared" si="303"/>
        <v>NO</v>
      </c>
      <c r="R1346" t="str">
        <f t="shared" si="304"/>
        <v>NO</v>
      </c>
      <c r="S1346">
        <v>101</v>
      </c>
      <c r="T1346" t="s">
        <v>32</v>
      </c>
      <c r="U1346" t="str">
        <f t="shared" si="291"/>
        <v>Main St</v>
      </c>
      <c r="W1346" t="str">
        <f t="shared" si="292"/>
        <v/>
      </c>
      <c r="X1346" t="str">
        <f>IF(ISBLANK(S1346),"Intersection","Non-Intersection")</f>
        <v>Non-Intersection</v>
      </c>
      <c r="Y1346" t="s">
        <v>2232</v>
      </c>
      <c r="Z1346" t="str">
        <f t="shared" si="293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294"/>
        <v>40179</v>
      </c>
      <c r="D1347" s="4">
        <f t="shared" si="295"/>
        <v>0.88219178082191785</v>
      </c>
      <c r="E1347" s="3">
        <f t="shared" si="296"/>
        <v>2010</v>
      </c>
      <c r="F1347" s="3">
        <f t="shared" si="297"/>
        <v>11</v>
      </c>
      <c r="G1347" s="3">
        <f t="shared" si="298"/>
        <v>19</v>
      </c>
      <c r="H1347" s="3">
        <f t="shared" si="299"/>
        <v>15</v>
      </c>
      <c r="I1347" s="3">
        <f t="shared" si="300"/>
        <v>34</v>
      </c>
      <c r="J1347" s="3">
        <f t="shared" si="301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02"/>
        <v>YES</v>
      </c>
      <c r="Q1347" t="str">
        <f t="shared" si="303"/>
        <v>NO</v>
      </c>
      <c r="R1347" t="str">
        <f t="shared" si="304"/>
        <v>NO</v>
      </c>
      <c r="S1347">
        <v>12</v>
      </c>
      <c r="T1347" t="s">
        <v>1013</v>
      </c>
      <c r="U1347" t="str">
        <f t="shared" ref="U1347:U1410" si="305">TRIM(PROPER(T1347))</f>
        <v>Blanchard Rd</v>
      </c>
      <c r="W1347" t="str">
        <f t="shared" ref="W1347:W1410" si="306">TRIM(PROPER(V1347))</f>
        <v/>
      </c>
      <c r="X1347" t="str">
        <f>IF(ISBLANK(S1347),"Intersection","Non-Intersection")</f>
        <v>Non-Intersection</v>
      </c>
      <c r="Y1347" t="s">
        <v>2234</v>
      </c>
      <c r="Z1347" t="str">
        <f t="shared" ref="Z1347:Z1410" si="307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294"/>
        <v>40179</v>
      </c>
      <c r="D1348" s="4">
        <f t="shared" si="295"/>
        <v>0.88219178082191785</v>
      </c>
      <c r="E1348" s="3">
        <f t="shared" si="296"/>
        <v>2010</v>
      </c>
      <c r="F1348" s="3">
        <f t="shared" si="297"/>
        <v>11</v>
      </c>
      <c r="G1348" s="3">
        <f t="shared" si="298"/>
        <v>19</v>
      </c>
      <c r="H1348" s="3">
        <f t="shared" si="299"/>
        <v>21</v>
      </c>
      <c r="I1348" s="3">
        <f t="shared" si="300"/>
        <v>21</v>
      </c>
      <c r="J1348" s="3">
        <f t="shared" si="301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02"/>
        <v>YES</v>
      </c>
      <c r="Q1348" t="str">
        <f t="shared" si="303"/>
        <v>YES</v>
      </c>
      <c r="R1348" t="str">
        <f t="shared" si="304"/>
        <v>NO</v>
      </c>
      <c r="T1348" t="s">
        <v>74</v>
      </c>
      <c r="U1348" t="str">
        <f t="shared" si="305"/>
        <v>Hampshire St</v>
      </c>
      <c r="V1348" t="s">
        <v>19</v>
      </c>
      <c r="W1348" t="str">
        <f t="shared" si="306"/>
        <v>Cambridge St</v>
      </c>
      <c r="X1348" t="str">
        <f>IF(ISBLANK(S1348),"Intersection","Non-Intersection")</f>
        <v>Intersection</v>
      </c>
      <c r="Y1348" t="s">
        <v>2236</v>
      </c>
      <c r="Z1348" t="str">
        <f t="shared" si="307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08">EOMONTH(B1349,MONTH(B1349)*-1)+1</f>
        <v>40179</v>
      </c>
      <c r="D1349" s="4">
        <f t="shared" ref="D1349:D1408" si="309">YEARFRAC(C1349,B1349,1)</f>
        <v>0.88219178082191785</v>
      </c>
      <c r="E1349" s="3">
        <f t="shared" ref="E1349:E1408" si="310">YEAR(B1349)</f>
        <v>2010</v>
      </c>
      <c r="F1349" s="3">
        <f t="shared" ref="F1349:F1408" si="311">MONTH(B1349)</f>
        <v>11</v>
      </c>
      <c r="G1349" s="3">
        <f t="shared" ref="G1349:G1408" si="312">DAY(B1349)</f>
        <v>19</v>
      </c>
      <c r="H1349" s="3">
        <f t="shared" ref="H1349:H1408" si="313">HOUR(B1349)</f>
        <v>15</v>
      </c>
      <c r="I1349" s="3">
        <f t="shared" ref="I1349:I1408" si="314">MINUTE(B1349)</f>
        <v>45</v>
      </c>
      <c r="J1349" s="3">
        <f t="shared" ref="J1349:J1408" si="315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16">IF(OR(N1349="Auto",O1349="Auto"),"YES",IF(OR(N1349="Taxi",O1349="Taxi"),"YES",IF(OR(N1349="Van",O1349="Van"),"YES",IF(OR(N1349="Truck",O1349="Truck"),"YES","NO"))))</f>
        <v>YES</v>
      </c>
      <c r="Q1349" t="str">
        <f t="shared" ref="Q1349:Q1408" si="317">IF(OR(N1349="Bicycle",O1349="Bicycle"),"YES","NO")</f>
        <v>NO</v>
      </c>
      <c r="R1349" t="str">
        <f t="shared" ref="R1349:R1408" si="318">IF(OR(N1349="Pedestrian",O1349="Pedestrian"),"YES","NO")</f>
        <v>NO</v>
      </c>
      <c r="T1349" t="s">
        <v>19</v>
      </c>
      <c r="U1349" t="str">
        <f t="shared" si="305"/>
        <v>Cambridge St</v>
      </c>
      <c r="W1349" t="str">
        <f t="shared" si="306"/>
        <v/>
      </c>
      <c r="X1349" t="str">
        <f>IF(ISBLANK(S1349),"Intersection","Non-Intersection")</f>
        <v>Intersection</v>
      </c>
      <c r="Y1349" t="s">
        <v>2237</v>
      </c>
      <c r="Z1349" t="str">
        <f t="shared" si="307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08"/>
        <v>40179</v>
      </c>
      <c r="D1350" s="4">
        <f t="shared" si="309"/>
        <v>0.88219178082191785</v>
      </c>
      <c r="E1350" s="3">
        <f t="shared" si="310"/>
        <v>2010</v>
      </c>
      <c r="F1350" s="3">
        <f t="shared" si="311"/>
        <v>11</v>
      </c>
      <c r="G1350" s="3">
        <f t="shared" si="312"/>
        <v>19</v>
      </c>
      <c r="H1350" s="3">
        <f t="shared" si="313"/>
        <v>8</v>
      </c>
      <c r="I1350" s="3">
        <f t="shared" si="314"/>
        <v>29</v>
      </c>
      <c r="J1350" s="3">
        <f t="shared" si="315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16"/>
        <v>YES</v>
      </c>
      <c r="Q1350" t="str">
        <f t="shared" si="317"/>
        <v>YES</v>
      </c>
      <c r="R1350" t="str">
        <f t="shared" si="318"/>
        <v>NO</v>
      </c>
      <c r="T1350" t="s">
        <v>42</v>
      </c>
      <c r="U1350" t="str">
        <f t="shared" si="305"/>
        <v>Putnam Ave</v>
      </c>
      <c r="V1350" t="s">
        <v>332</v>
      </c>
      <c r="W1350" t="str">
        <f t="shared" si="306"/>
        <v>Allston St</v>
      </c>
      <c r="X1350" t="str">
        <f>IF(ISBLANK(S1350),"Intersection","Non-Intersection")</f>
        <v>Intersection</v>
      </c>
      <c r="Y1350" t="s">
        <v>2238</v>
      </c>
      <c r="Z1350" t="str">
        <f t="shared" si="307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08"/>
        <v>40179</v>
      </c>
      <c r="D1351" s="4">
        <f t="shared" si="309"/>
        <v>0.88219178082191785</v>
      </c>
      <c r="E1351" s="3">
        <f t="shared" si="310"/>
        <v>2010</v>
      </c>
      <c r="F1351" s="3">
        <f t="shared" si="311"/>
        <v>11</v>
      </c>
      <c r="G1351" s="3">
        <f t="shared" si="312"/>
        <v>19</v>
      </c>
      <c r="H1351" s="3">
        <f t="shared" si="313"/>
        <v>9</v>
      </c>
      <c r="I1351" s="3">
        <f t="shared" si="314"/>
        <v>30</v>
      </c>
      <c r="J1351" s="3">
        <f t="shared" si="315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16"/>
        <v>YES</v>
      </c>
      <c r="Q1351" t="str">
        <f t="shared" si="317"/>
        <v>NO</v>
      </c>
      <c r="R1351" t="str">
        <f t="shared" si="318"/>
        <v>NO</v>
      </c>
      <c r="T1351" t="s">
        <v>14</v>
      </c>
      <c r="U1351" t="str">
        <f t="shared" si="305"/>
        <v>Massachusetts Ave</v>
      </c>
      <c r="V1351" t="s">
        <v>2240</v>
      </c>
      <c r="W1351" t="str">
        <f t="shared" si="306"/>
        <v>Bay St</v>
      </c>
      <c r="X1351" t="str">
        <f>IF(ISBLANK(S1351),"Intersection","Non-Intersection")</f>
        <v>Intersection</v>
      </c>
      <c r="Y1351" t="s">
        <v>2241</v>
      </c>
      <c r="Z1351" t="str">
        <f t="shared" si="307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08"/>
        <v>40179</v>
      </c>
      <c r="D1352" s="4">
        <f t="shared" si="309"/>
        <v>0.8849315068493151</v>
      </c>
      <c r="E1352" s="3">
        <f t="shared" si="310"/>
        <v>2010</v>
      </c>
      <c r="F1352" s="3">
        <f t="shared" si="311"/>
        <v>11</v>
      </c>
      <c r="G1352" s="3">
        <f t="shared" si="312"/>
        <v>20</v>
      </c>
      <c r="H1352" s="3">
        <f t="shared" si="313"/>
        <v>2</v>
      </c>
      <c r="I1352" s="3">
        <f t="shared" si="314"/>
        <v>0</v>
      </c>
      <c r="J1352" s="3">
        <f t="shared" si="315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16"/>
        <v>YES</v>
      </c>
      <c r="Q1352" t="str">
        <f t="shared" si="317"/>
        <v>NO</v>
      </c>
      <c r="R1352" t="str">
        <f t="shared" si="318"/>
        <v>NO</v>
      </c>
      <c r="S1352">
        <v>84</v>
      </c>
      <c r="T1352" t="s">
        <v>14</v>
      </c>
      <c r="U1352" t="str">
        <f t="shared" si="305"/>
        <v>Massachusetts Ave</v>
      </c>
      <c r="W1352" t="str">
        <f t="shared" si="306"/>
        <v/>
      </c>
      <c r="X1352" t="str">
        <f>IF(ISBLANK(S1352),"Intersection","Non-Intersection")</f>
        <v>Non-Intersection</v>
      </c>
      <c r="Y1352" t="s">
        <v>888</v>
      </c>
      <c r="Z1352" t="str">
        <f t="shared" si="307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08"/>
        <v>40179</v>
      </c>
      <c r="D1353" s="4">
        <f t="shared" si="309"/>
        <v>0.8849315068493151</v>
      </c>
      <c r="E1353" s="3">
        <f t="shared" si="310"/>
        <v>2010</v>
      </c>
      <c r="F1353" s="3">
        <f t="shared" si="311"/>
        <v>11</v>
      </c>
      <c r="G1353" s="3">
        <f t="shared" si="312"/>
        <v>20</v>
      </c>
      <c r="H1353" s="3">
        <f t="shared" si="313"/>
        <v>8</v>
      </c>
      <c r="I1353" s="3">
        <f t="shared" si="314"/>
        <v>30</v>
      </c>
      <c r="J1353" s="3">
        <f t="shared" si="315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16"/>
        <v>YES</v>
      </c>
      <c r="Q1353" t="str">
        <f t="shared" si="317"/>
        <v>YES</v>
      </c>
      <c r="R1353" t="str">
        <f t="shared" si="318"/>
        <v>NO</v>
      </c>
      <c r="T1353" t="s">
        <v>108</v>
      </c>
      <c r="U1353" t="str">
        <f t="shared" si="305"/>
        <v>Franklin St</v>
      </c>
      <c r="V1353" t="s">
        <v>2245</v>
      </c>
      <c r="W1353" t="str">
        <f t="shared" si="306"/>
        <v>Brookline Pl</v>
      </c>
      <c r="X1353" t="str">
        <f>IF(ISBLANK(S1353),"Intersection","Non-Intersection")</f>
        <v>Intersection</v>
      </c>
      <c r="Y1353" t="s">
        <v>2246</v>
      </c>
      <c r="Z1353" t="str">
        <f t="shared" si="307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08"/>
        <v>40179</v>
      </c>
      <c r="D1354" s="4">
        <f t="shared" si="309"/>
        <v>0.88767123287671235</v>
      </c>
      <c r="E1354" s="3">
        <f t="shared" si="310"/>
        <v>2010</v>
      </c>
      <c r="F1354" s="3">
        <f t="shared" si="311"/>
        <v>11</v>
      </c>
      <c r="G1354" s="3">
        <f t="shared" si="312"/>
        <v>21</v>
      </c>
      <c r="H1354" s="3">
        <f t="shared" si="313"/>
        <v>11</v>
      </c>
      <c r="I1354" s="3">
        <f t="shared" si="314"/>
        <v>25</v>
      </c>
      <c r="J1354" s="3">
        <f t="shared" si="315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16"/>
        <v>YES</v>
      </c>
      <c r="Q1354" t="str">
        <f t="shared" si="317"/>
        <v>YES</v>
      </c>
      <c r="R1354" t="str">
        <f t="shared" si="318"/>
        <v>NO</v>
      </c>
      <c r="T1354" t="s">
        <v>101</v>
      </c>
      <c r="U1354" t="str">
        <f t="shared" si="305"/>
        <v>Columbia St</v>
      </c>
      <c r="V1354" t="s">
        <v>74</v>
      </c>
      <c r="W1354" t="str">
        <f t="shared" si="306"/>
        <v>Hampshire St</v>
      </c>
      <c r="X1354" t="str">
        <f>IF(ISBLANK(S1354),"Intersection","Non-Intersection")</f>
        <v>Intersection</v>
      </c>
      <c r="Y1354" t="s">
        <v>773</v>
      </c>
      <c r="Z1354" t="str">
        <f t="shared" si="307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08"/>
        <v>40179</v>
      </c>
      <c r="D1355" s="4">
        <f t="shared" si="309"/>
        <v>0.88767123287671235</v>
      </c>
      <c r="E1355" s="3">
        <f t="shared" si="310"/>
        <v>2010</v>
      </c>
      <c r="F1355" s="3">
        <f t="shared" si="311"/>
        <v>11</v>
      </c>
      <c r="G1355" s="3">
        <f t="shared" si="312"/>
        <v>21</v>
      </c>
      <c r="H1355" s="3">
        <f t="shared" si="313"/>
        <v>19</v>
      </c>
      <c r="I1355" s="3">
        <f t="shared" si="314"/>
        <v>19</v>
      </c>
      <c r="J1355" s="3">
        <f t="shared" si="315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16"/>
        <v>YES</v>
      </c>
      <c r="Q1355" t="str">
        <f t="shared" si="317"/>
        <v>YES</v>
      </c>
      <c r="R1355" t="str">
        <f t="shared" si="318"/>
        <v>NO</v>
      </c>
      <c r="S1355">
        <v>1153</v>
      </c>
      <c r="T1355" t="s">
        <v>19</v>
      </c>
      <c r="U1355" t="str">
        <f t="shared" si="305"/>
        <v>Cambridge St</v>
      </c>
      <c r="W1355" t="str">
        <f t="shared" si="306"/>
        <v/>
      </c>
      <c r="X1355" t="str">
        <f>IF(ISBLANK(S1355),"Intersection","Non-Intersection")</f>
        <v>Non-Intersection</v>
      </c>
      <c r="Y1355" t="s">
        <v>2248</v>
      </c>
      <c r="Z1355" t="str">
        <f t="shared" si="307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08"/>
        <v>40179</v>
      </c>
      <c r="D1356" s="4">
        <f t="shared" si="309"/>
        <v>0.88767123287671235</v>
      </c>
      <c r="E1356" s="3">
        <f t="shared" si="310"/>
        <v>2010</v>
      </c>
      <c r="F1356" s="3">
        <f t="shared" si="311"/>
        <v>11</v>
      </c>
      <c r="G1356" s="3">
        <f t="shared" si="312"/>
        <v>21</v>
      </c>
      <c r="H1356" s="3">
        <f t="shared" si="313"/>
        <v>18</v>
      </c>
      <c r="I1356" s="3">
        <f t="shared" si="314"/>
        <v>30</v>
      </c>
      <c r="J1356" s="3">
        <f t="shared" si="315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16"/>
        <v>YES</v>
      </c>
      <c r="Q1356" t="str">
        <f t="shared" si="317"/>
        <v>NO</v>
      </c>
      <c r="R1356" t="str">
        <f t="shared" si="318"/>
        <v>NO</v>
      </c>
      <c r="S1356">
        <v>510</v>
      </c>
      <c r="T1356" t="s">
        <v>189</v>
      </c>
      <c r="U1356" t="str">
        <f t="shared" si="305"/>
        <v>Windsor St</v>
      </c>
      <c r="W1356" t="str">
        <f t="shared" si="306"/>
        <v/>
      </c>
      <c r="X1356" t="str">
        <f>IF(ISBLANK(S1356),"Intersection","Non-Intersection")</f>
        <v>Non-Intersection</v>
      </c>
      <c r="Y1356" t="s">
        <v>2250</v>
      </c>
      <c r="Z1356" t="str">
        <f t="shared" si="307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08"/>
        <v>40179</v>
      </c>
      <c r="D1357" s="4">
        <f t="shared" si="309"/>
        <v>0.88767123287671235</v>
      </c>
      <c r="E1357" s="3">
        <f t="shared" si="310"/>
        <v>2010</v>
      </c>
      <c r="F1357" s="3">
        <f t="shared" si="311"/>
        <v>11</v>
      </c>
      <c r="G1357" s="3">
        <f t="shared" si="312"/>
        <v>21</v>
      </c>
      <c r="H1357" s="3">
        <f t="shared" si="313"/>
        <v>21</v>
      </c>
      <c r="I1357" s="3">
        <f t="shared" si="314"/>
        <v>59</v>
      </c>
      <c r="J1357" s="3">
        <f t="shared" si="315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16"/>
        <v>YES</v>
      </c>
      <c r="Q1357" t="str">
        <f t="shared" si="317"/>
        <v>NO</v>
      </c>
      <c r="R1357" t="str">
        <f t="shared" si="318"/>
        <v>NO</v>
      </c>
      <c r="S1357">
        <v>29</v>
      </c>
      <c r="T1357" t="s">
        <v>2082</v>
      </c>
      <c r="U1357" t="str">
        <f t="shared" si="305"/>
        <v>Hutchinson St</v>
      </c>
      <c r="W1357" t="str">
        <f t="shared" si="306"/>
        <v/>
      </c>
      <c r="X1357" t="str">
        <f>IF(ISBLANK(S1357),"Intersection","Non-Intersection")</f>
        <v>Non-Intersection</v>
      </c>
      <c r="Y1357" t="s">
        <v>2252</v>
      </c>
      <c r="Z1357" t="str">
        <f t="shared" si="307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08"/>
        <v>40179</v>
      </c>
      <c r="D1358" s="4">
        <f t="shared" si="309"/>
        <v>0.88767123287671235</v>
      </c>
      <c r="E1358" s="3">
        <f t="shared" si="310"/>
        <v>2010</v>
      </c>
      <c r="F1358" s="3">
        <f t="shared" si="311"/>
        <v>11</v>
      </c>
      <c r="G1358" s="3">
        <f t="shared" si="312"/>
        <v>21</v>
      </c>
      <c r="H1358" s="3">
        <f t="shared" si="313"/>
        <v>15</v>
      </c>
      <c r="I1358" s="3">
        <f t="shared" si="314"/>
        <v>59</v>
      </c>
      <c r="J1358" s="3">
        <f t="shared" si="315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16"/>
        <v>YES</v>
      </c>
      <c r="Q1358" t="str">
        <f t="shared" si="317"/>
        <v>NO</v>
      </c>
      <c r="R1358" t="str">
        <f t="shared" si="318"/>
        <v>NO</v>
      </c>
      <c r="S1358">
        <v>100</v>
      </c>
      <c r="T1358" t="s">
        <v>1062</v>
      </c>
      <c r="U1358" t="str">
        <f t="shared" si="305"/>
        <v>Cambridgeside Pl</v>
      </c>
      <c r="W1358" t="str">
        <f t="shared" si="306"/>
        <v/>
      </c>
      <c r="X1358" t="str">
        <f>IF(ISBLANK(S1358),"Intersection","Non-Intersection")</f>
        <v>Non-Intersection</v>
      </c>
      <c r="Y1358" t="s">
        <v>1143</v>
      </c>
      <c r="Z1358" t="str">
        <f t="shared" si="307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08"/>
        <v>40179</v>
      </c>
      <c r="D1359" s="4">
        <f t="shared" si="309"/>
        <v>0.8904109589041096</v>
      </c>
      <c r="E1359" s="3">
        <f t="shared" si="310"/>
        <v>2010</v>
      </c>
      <c r="F1359" s="3">
        <f t="shared" si="311"/>
        <v>11</v>
      </c>
      <c r="G1359" s="3">
        <f t="shared" si="312"/>
        <v>22</v>
      </c>
      <c r="H1359" s="3">
        <f t="shared" si="313"/>
        <v>9</v>
      </c>
      <c r="I1359" s="3">
        <f t="shared" si="314"/>
        <v>24</v>
      </c>
      <c r="J1359" s="3">
        <f t="shared" si="315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16"/>
        <v>YES</v>
      </c>
      <c r="Q1359" t="str">
        <f t="shared" si="317"/>
        <v>NO</v>
      </c>
      <c r="R1359" t="str">
        <f t="shared" si="318"/>
        <v>NO</v>
      </c>
      <c r="S1359">
        <v>42</v>
      </c>
      <c r="T1359" t="s">
        <v>252</v>
      </c>
      <c r="U1359" t="str">
        <f t="shared" si="305"/>
        <v>Walden St</v>
      </c>
      <c r="W1359" t="str">
        <f t="shared" si="306"/>
        <v/>
      </c>
      <c r="X1359" t="str">
        <f>IF(ISBLANK(S1359),"Intersection","Non-Intersection")</f>
        <v>Non-Intersection</v>
      </c>
      <c r="Y1359" t="s">
        <v>2254</v>
      </c>
      <c r="Z1359" t="str">
        <f t="shared" si="307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08"/>
        <v>40179</v>
      </c>
      <c r="D1360" s="4">
        <f t="shared" si="309"/>
        <v>0.8904109589041096</v>
      </c>
      <c r="E1360" s="3">
        <f t="shared" si="310"/>
        <v>2010</v>
      </c>
      <c r="F1360" s="3">
        <f t="shared" si="311"/>
        <v>11</v>
      </c>
      <c r="G1360" s="3">
        <f t="shared" si="312"/>
        <v>22</v>
      </c>
      <c r="H1360" s="3">
        <f t="shared" si="313"/>
        <v>7</v>
      </c>
      <c r="I1360" s="3">
        <f t="shared" si="314"/>
        <v>54</v>
      </c>
      <c r="J1360" s="3">
        <f t="shared" si="315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16"/>
        <v>YES</v>
      </c>
      <c r="Q1360" t="str">
        <f t="shared" si="317"/>
        <v>NO</v>
      </c>
      <c r="R1360" t="str">
        <f t="shared" si="318"/>
        <v>NO</v>
      </c>
      <c r="T1360" t="s">
        <v>37</v>
      </c>
      <c r="U1360" t="str">
        <f t="shared" si="305"/>
        <v>Magazine St</v>
      </c>
      <c r="V1360" t="s">
        <v>86</v>
      </c>
      <c r="W1360" t="str">
        <f t="shared" si="306"/>
        <v>Granite St</v>
      </c>
      <c r="X1360" t="str">
        <f>IF(ISBLANK(S1360),"Intersection","Non-Intersection")</f>
        <v>Intersection</v>
      </c>
      <c r="Y1360" t="s">
        <v>2256</v>
      </c>
      <c r="Z1360" t="str">
        <f t="shared" si="307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08"/>
        <v>40179</v>
      </c>
      <c r="D1361" s="4">
        <f t="shared" si="309"/>
        <v>0.8904109589041096</v>
      </c>
      <c r="E1361" s="3">
        <f t="shared" si="310"/>
        <v>2010</v>
      </c>
      <c r="F1361" s="3">
        <f t="shared" si="311"/>
        <v>11</v>
      </c>
      <c r="G1361" s="3">
        <f t="shared" si="312"/>
        <v>22</v>
      </c>
      <c r="H1361" s="3">
        <f t="shared" si="313"/>
        <v>8</v>
      </c>
      <c r="I1361" s="3">
        <f t="shared" si="314"/>
        <v>15</v>
      </c>
      <c r="J1361" s="3">
        <f t="shared" si="315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16"/>
        <v>YES</v>
      </c>
      <c r="Q1361" t="str">
        <f t="shared" si="317"/>
        <v>YES</v>
      </c>
      <c r="R1361" t="str">
        <f t="shared" si="318"/>
        <v>NO</v>
      </c>
      <c r="S1361" t="s">
        <v>2258</v>
      </c>
      <c r="T1361" t="s">
        <v>74</v>
      </c>
      <c r="U1361" t="str">
        <f t="shared" si="305"/>
        <v>Hampshire St</v>
      </c>
      <c r="V1361" t="s">
        <v>587</v>
      </c>
      <c r="W1361" t="str">
        <f t="shared" si="306"/>
        <v>Webster Ave</v>
      </c>
      <c r="X1361" t="str">
        <f>IF(ISBLANK(S1361),"Intersection","Non-Intersection")</f>
        <v>Non-Intersection</v>
      </c>
      <c r="Y1361" t="s">
        <v>2259</v>
      </c>
      <c r="Z1361" t="str">
        <f t="shared" si="307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08"/>
        <v>40179</v>
      </c>
      <c r="D1362" s="4">
        <f t="shared" si="309"/>
        <v>0.8904109589041096</v>
      </c>
      <c r="E1362" s="3">
        <f t="shared" si="310"/>
        <v>2010</v>
      </c>
      <c r="F1362" s="3">
        <f t="shared" si="311"/>
        <v>11</v>
      </c>
      <c r="G1362" s="3">
        <f t="shared" si="312"/>
        <v>22</v>
      </c>
      <c r="H1362" s="3">
        <f t="shared" si="313"/>
        <v>9</v>
      </c>
      <c r="I1362" s="3">
        <f t="shared" si="314"/>
        <v>59</v>
      </c>
      <c r="J1362" s="3">
        <f t="shared" si="315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16"/>
        <v>YES</v>
      </c>
      <c r="Q1362" t="str">
        <f t="shared" si="317"/>
        <v>NO</v>
      </c>
      <c r="R1362" t="str">
        <f t="shared" si="318"/>
        <v>NO</v>
      </c>
      <c r="S1362">
        <v>241</v>
      </c>
      <c r="T1362" t="s">
        <v>133</v>
      </c>
      <c r="U1362" t="str">
        <f t="shared" si="305"/>
        <v>Harvard St</v>
      </c>
      <c r="W1362" t="str">
        <f t="shared" si="306"/>
        <v/>
      </c>
      <c r="X1362" t="str">
        <f>IF(ISBLANK(S1362),"Intersection","Non-Intersection")</f>
        <v>Non-Intersection</v>
      </c>
      <c r="Y1362" t="s">
        <v>2261</v>
      </c>
      <c r="Z1362" t="str">
        <f t="shared" si="307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08"/>
        <v>40179</v>
      </c>
      <c r="D1363" s="4">
        <f t="shared" si="309"/>
        <v>0.8904109589041096</v>
      </c>
      <c r="E1363" s="3">
        <f t="shared" si="310"/>
        <v>2010</v>
      </c>
      <c r="F1363" s="3">
        <f t="shared" si="311"/>
        <v>11</v>
      </c>
      <c r="G1363" s="3">
        <f t="shared" si="312"/>
        <v>22</v>
      </c>
      <c r="H1363" s="3">
        <f t="shared" si="313"/>
        <v>12</v>
      </c>
      <c r="I1363" s="3">
        <f t="shared" si="314"/>
        <v>59</v>
      </c>
      <c r="J1363" s="3">
        <f t="shared" si="315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16"/>
        <v>YES</v>
      </c>
      <c r="Q1363" t="str">
        <f t="shared" si="317"/>
        <v>NO</v>
      </c>
      <c r="R1363" t="str">
        <f t="shared" si="318"/>
        <v>YES</v>
      </c>
      <c r="S1363">
        <v>178</v>
      </c>
      <c r="T1363" t="s">
        <v>170</v>
      </c>
      <c r="U1363" t="str">
        <f t="shared" si="305"/>
        <v>Alewife Brook Pky</v>
      </c>
      <c r="W1363" t="str">
        <f t="shared" si="306"/>
        <v/>
      </c>
      <c r="X1363" t="str">
        <f>IF(ISBLANK(S1363),"Intersection","Non-Intersection")</f>
        <v>Non-Intersection</v>
      </c>
      <c r="Y1363" t="s">
        <v>2218</v>
      </c>
      <c r="Z1363" t="str">
        <f t="shared" si="307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08"/>
        <v>40179</v>
      </c>
      <c r="D1364" s="4">
        <f t="shared" si="309"/>
        <v>0.8904109589041096</v>
      </c>
      <c r="E1364" s="3">
        <f t="shared" si="310"/>
        <v>2010</v>
      </c>
      <c r="F1364" s="3">
        <f t="shared" si="311"/>
        <v>11</v>
      </c>
      <c r="G1364" s="3">
        <f t="shared" si="312"/>
        <v>22</v>
      </c>
      <c r="H1364" s="3">
        <f t="shared" si="313"/>
        <v>17</v>
      </c>
      <c r="I1364" s="3">
        <f t="shared" si="314"/>
        <v>12</v>
      </c>
      <c r="J1364" s="3">
        <f t="shared" si="315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16"/>
        <v>YES</v>
      </c>
      <c r="Q1364" t="str">
        <f t="shared" si="317"/>
        <v>NO</v>
      </c>
      <c r="R1364" t="str">
        <f t="shared" si="318"/>
        <v>NO</v>
      </c>
      <c r="T1364" t="s">
        <v>105</v>
      </c>
      <c r="U1364" t="str">
        <f t="shared" si="305"/>
        <v>Broadway</v>
      </c>
      <c r="V1364" t="s">
        <v>498</v>
      </c>
      <c r="W1364" t="str">
        <f t="shared" si="306"/>
        <v>Ellery St</v>
      </c>
      <c r="X1364" t="str">
        <f>IF(ISBLANK(S1364),"Intersection","Non-Intersection")</f>
        <v>Intersection</v>
      </c>
      <c r="Y1364" t="s">
        <v>499</v>
      </c>
      <c r="Z1364" t="str">
        <f t="shared" si="307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08"/>
        <v>40179</v>
      </c>
      <c r="D1365" s="4">
        <f t="shared" si="309"/>
        <v>0.8904109589041096</v>
      </c>
      <c r="E1365" s="3">
        <f t="shared" si="310"/>
        <v>2010</v>
      </c>
      <c r="F1365" s="3">
        <f t="shared" si="311"/>
        <v>11</v>
      </c>
      <c r="G1365" s="3">
        <f t="shared" si="312"/>
        <v>22</v>
      </c>
      <c r="H1365" s="3">
        <f t="shared" si="313"/>
        <v>21</v>
      </c>
      <c r="I1365" s="3">
        <f t="shared" si="314"/>
        <v>0</v>
      </c>
      <c r="J1365" s="3">
        <f t="shared" si="315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16"/>
        <v>YES</v>
      </c>
      <c r="Q1365" t="str">
        <f t="shared" si="317"/>
        <v>NO</v>
      </c>
      <c r="R1365" t="str">
        <f t="shared" si="318"/>
        <v>NO</v>
      </c>
      <c r="T1365" t="s">
        <v>252</v>
      </c>
      <c r="U1365" t="str">
        <f t="shared" si="305"/>
        <v>Walden St</v>
      </c>
      <c r="V1365" t="s">
        <v>291</v>
      </c>
      <c r="W1365" t="str">
        <f t="shared" si="306"/>
        <v>Raymond St</v>
      </c>
      <c r="X1365" t="str">
        <f>IF(ISBLANK(S1365),"Intersection","Non-Intersection")</f>
        <v>Intersection</v>
      </c>
      <c r="Y1365" t="s">
        <v>2263</v>
      </c>
      <c r="Z1365" t="str">
        <f t="shared" si="307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08"/>
        <v>40179</v>
      </c>
      <c r="D1366" s="4">
        <f t="shared" si="309"/>
        <v>0.89315068493150684</v>
      </c>
      <c r="E1366" s="3">
        <f t="shared" si="310"/>
        <v>2010</v>
      </c>
      <c r="F1366" s="3">
        <f t="shared" si="311"/>
        <v>11</v>
      </c>
      <c r="G1366" s="3">
        <f t="shared" si="312"/>
        <v>23</v>
      </c>
      <c r="H1366" s="3">
        <f t="shared" si="313"/>
        <v>17</v>
      </c>
      <c r="I1366" s="3">
        <f t="shared" si="314"/>
        <v>35</v>
      </c>
      <c r="J1366" s="3">
        <f t="shared" si="315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16"/>
        <v>YES</v>
      </c>
      <c r="Q1366" t="str">
        <f t="shared" si="317"/>
        <v>NO</v>
      </c>
      <c r="R1366" t="str">
        <f t="shared" si="318"/>
        <v>YES</v>
      </c>
      <c r="T1366" t="s">
        <v>129</v>
      </c>
      <c r="U1366" t="str">
        <f t="shared" si="305"/>
        <v>Cardinal Medeiros Ave</v>
      </c>
      <c r="V1366" t="s">
        <v>74</v>
      </c>
      <c r="W1366" t="str">
        <f t="shared" si="306"/>
        <v>Hampshire St</v>
      </c>
      <c r="X1366" t="str">
        <f>IF(ISBLANK(S1366),"Intersection","Non-Intersection")</f>
        <v>Intersection</v>
      </c>
      <c r="Y1366" t="s">
        <v>2265</v>
      </c>
      <c r="Z1366" t="str">
        <f t="shared" si="307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08"/>
        <v>40179</v>
      </c>
      <c r="D1367" s="4">
        <f t="shared" si="309"/>
        <v>0.89315068493150684</v>
      </c>
      <c r="E1367" s="3">
        <f t="shared" si="310"/>
        <v>2010</v>
      </c>
      <c r="F1367" s="3">
        <f t="shared" si="311"/>
        <v>11</v>
      </c>
      <c r="G1367" s="3">
        <f t="shared" si="312"/>
        <v>23</v>
      </c>
      <c r="H1367" s="3">
        <f t="shared" si="313"/>
        <v>15</v>
      </c>
      <c r="I1367" s="3">
        <f t="shared" si="314"/>
        <v>42</v>
      </c>
      <c r="J1367" s="3">
        <f t="shared" si="315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16"/>
        <v>YES</v>
      </c>
      <c r="Q1367" t="str">
        <f t="shared" si="317"/>
        <v>NO</v>
      </c>
      <c r="R1367" t="str">
        <f t="shared" si="318"/>
        <v>NO</v>
      </c>
      <c r="S1367">
        <v>75</v>
      </c>
      <c r="T1367" t="s">
        <v>1152</v>
      </c>
      <c r="U1367" t="str">
        <f t="shared" si="305"/>
        <v>Hamilton St</v>
      </c>
      <c r="W1367" t="str">
        <f t="shared" si="306"/>
        <v/>
      </c>
      <c r="X1367" t="str">
        <f>IF(ISBLANK(S1367),"Intersection","Non-Intersection")</f>
        <v>Non-Intersection</v>
      </c>
      <c r="Y1367" t="s">
        <v>2267</v>
      </c>
      <c r="Z1367" t="str">
        <f t="shared" si="307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08"/>
        <v>40179</v>
      </c>
      <c r="D1368" s="4">
        <f t="shared" si="309"/>
        <v>0.89315068493150684</v>
      </c>
      <c r="E1368" s="3">
        <f t="shared" si="310"/>
        <v>2010</v>
      </c>
      <c r="F1368" s="3">
        <f t="shared" si="311"/>
        <v>11</v>
      </c>
      <c r="G1368" s="3">
        <f t="shared" si="312"/>
        <v>23</v>
      </c>
      <c r="H1368" s="3">
        <f t="shared" si="313"/>
        <v>16</v>
      </c>
      <c r="I1368" s="3">
        <f t="shared" si="314"/>
        <v>9</v>
      </c>
      <c r="J1368" s="3">
        <f t="shared" si="315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16"/>
        <v>YES</v>
      </c>
      <c r="Q1368" t="str">
        <f t="shared" si="317"/>
        <v>NO</v>
      </c>
      <c r="R1368" t="str">
        <f t="shared" si="318"/>
        <v>NO</v>
      </c>
      <c r="T1368" t="s">
        <v>166</v>
      </c>
      <c r="U1368" t="str">
        <f t="shared" si="305"/>
        <v>Oxford Ave</v>
      </c>
      <c r="V1368" t="s">
        <v>2269</v>
      </c>
      <c r="W1368" t="str">
        <f t="shared" si="306"/>
        <v>Crescent St</v>
      </c>
      <c r="X1368" t="str">
        <f>IF(ISBLANK(S1368),"Intersection","Non-Intersection")</f>
        <v>Intersection</v>
      </c>
      <c r="Y1368" t="s">
        <v>2270</v>
      </c>
      <c r="Z1368" t="str">
        <f t="shared" si="307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08"/>
        <v>40179</v>
      </c>
      <c r="D1369" s="4">
        <f t="shared" si="309"/>
        <v>0.89315068493150684</v>
      </c>
      <c r="E1369" s="3">
        <f t="shared" si="310"/>
        <v>2010</v>
      </c>
      <c r="F1369" s="3">
        <f t="shared" si="311"/>
        <v>11</v>
      </c>
      <c r="G1369" s="3">
        <f t="shared" si="312"/>
        <v>23</v>
      </c>
      <c r="H1369" s="3">
        <f t="shared" si="313"/>
        <v>18</v>
      </c>
      <c r="I1369" s="3">
        <f t="shared" si="314"/>
        <v>0</v>
      </c>
      <c r="J1369" s="3">
        <f t="shared" si="315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16"/>
        <v>YES</v>
      </c>
      <c r="Q1369" t="str">
        <f t="shared" si="317"/>
        <v>NO</v>
      </c>
      <c r="R1369" t="str">
        <f t="shared" si="318"/>
        <v>NO</v>
      </c>
      <c r="T1369" t="s">
        <v>14</v>
      </c>
      <c r="U1369" t="str">
        <f t="shared" si="305"/>
        <v>Massachusetts Ave</v>
      </c>
      <c r="V1369" t="s">
        <v>185</v>
      </c>
      <c r="W1369" t="str">
        <f t="shared" si="306"/>
        <v>Garden St</v>
      </c>
      <c r="X1369" t="str">
        <f>IF(ISBLANK(S1369),"Intersection","Non-Intersection")</f>
        <v>Intersection</v>
      </c>
      <c r="Y1369" t="s">
        <v>1247</v>
      </c>
      <c r="Z1369" t="str">
        <f t="shared" si="307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08"/>
        <v>40179</v>
      </c>
      <c r="D1370" s="4">
        <f t="shared" si="309"/>
        <v>0.89315068493150684</v>
      </c>
      <c r="E1370" s="3">
        <f t="shared" si="310"/>
        <v>2010</v>
      </c>
      <c r="F1370" s="3">
        <f t="shared" si="311"/>
        <v>11</v>
      </c>
      <c r="G1370" s="3">
        <f t="shared" si="312"/>
        <v>23</v>
      </c>
      <c r="H1370" s="3">
        <f t="shared" si="313"/>
        <v>15</v>
      </c>
      <c r="I1370" s="3">
        <f t="shared" si="314"/>
        <v>0</v>
      </c>
      <c r="J1370" s="3">
        <f t="shared" si="315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16"/>
        <v>YES</v>
      </c>
      <c r="Q1370" t="str">
        <f t="shared" si="317"/>
        <v>NO</v>
      </c>
      <c r="R1370" t="str">
        <f t="shared" si="318"/>
        <v>NO</v>
      </c>
      <c r="T1370" t="s">
        <v>185</v>
      </c>
      <c r="U1370" t="str">
        <f t="shared" si="305"/>
        <v>Garden St</v>
      </c>
      <c r="V1370" t="s">
        <v>14</v>
      </c>
      <c r="W1370" t="str">
        <f t="shared" si="306"/>
        <v>Massachusetts Ave</v>
      </c>
      <c r="X1370" t="str">
        <f>IF(ISBLANK(S1370),"Intersection","Non-Intersection")</f>
        <v>Intersection</v>
      </c>
      <c r="Y1370" t="s">
        <v>1003</v>
      </c>
      <c r="Z1370" t="str">
        <f t="shared" si="307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08"/>
        <v>40179</v>
      </c>
      <c r="D1371" s="4">
        <f t="shared" si="309"/>
        <v>0.89589041095890409</v>
      </c>
      <c r="E1371" s="3">
        <f t="shared" si="310"/>
        <v>2010</v>
      </c>
      <c r="F1371" s="3">
        <f t="shared" si="311"/>
        <v>11</v>
      </c>
      <c r="G1371" s="3">
        <f t="shared" si="312"/>
        <v>24</v>
      </c>
      <c r="H1371" s="3">
        <f t="shared" si="313"/>
        <v>9</v>
      </c>
      <c r="I1371" s="3">
        <f t="shared" si="314"/>
        <v>30</v>
      </c>
      <c r="J1371" s="3">
        <f t="shared" si="315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16"/>
        <v>YES</v>
      </c>
      <c r="Q1371" t="str">
        <f t="shared" si="317"/>
        <v>NO</v>
      </c>
      <c r="R1371" t="str">
        <f t="shared" si="318"/>
        <v>NO</v>
      </c>
      <c r="T1371" t="s">
        <v>1502</v>
      </c>
      <c r="U1371" t="str">
        <f t="shared" si="305"/>
        <v>Gore St</v>
      </c>
      <c r="V1371" t="s">
        <v>379</v>
      </c>
      <c r="W1371" t="str">
        <f t="shared" si="306"/>
        <v>Second St</v>
      </c>
      <c r="X1371" t="str">
        <f>IF(ISBLANK(S1371),"Intersection","Non-Intersection")</f>
        <v>Intersection</v>
      </c>
      <c r="Y1371" t="s">
        <v>2272</v>
      </c>
      <c r="Z1371" t="str">
        <f t="shared" si="307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08"/>
        <v>40179</v>
      </c>
      <c r="D1372" s="4">
        <f t="shared" si="309"/>
        <v>0.89589041095890409</v>
      </c>
      <c r="E1372" s="3">
        <f t="shared" si="310"/>
        <v>2010</v>
      </c>
      <c r="F1372" s="3">
        <f t="shared" si="311"/>
        <v>11</v>
      </c>
      <c r="G1372" s="3">
        <f t="shared" si="312"/>
        <v>24</v>
      </c>
      <c r="H1372" s="3">
        <f t="shared" si="313"/>
        <v>11</v>
      </c>
      <c r="I1372" s="3">
        <f t="shared" si="314"/>
        <v>0</v>
      </c>
      <c r="J1372" s="3">
        <f t="shared" si="315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16"/>
        <v>YES</v>
      </c>
      <c r="Q1372" t="str">
        <f t="shared" si="317"/>
        <v>NO</v>
      </c>
      <c r="R1372" t="str">
        <f t="shared" si="318"/>
        <v>NO</v>
      </c>
      <c r="S1372">
        <v>200</v>
      </c>
      <c r="T1372" t="s">
        <v>170</v>
      </c>
      <c r="U1372" t="str">
        <f t="shared" si="305"/>
        <v>Alewife Brook Pky</v>
      </c>
      <c r="W1372" t="str">
        <f t="shared" si="306"/>
        <v/>
      </c>
      <c r="X1372" t="str">
        <f>IF(ISBLANK(S1372),"Intersection","Non-Intersection")</f>
        <v>Non-Intersection</v>
      </c>
      <c r="Y1372" t="s">
        <v>2274</v>
      </c>
      <c r="Z1372" t="str">
        <f t="shared" si="307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08"/>
        <v>40179</v>
      </c>
      <c r="D1373" s="4">
        <f t="shared" si="309"/>
        <v>0.89589041095890409</v>
      </c>
      <c r="E1373" s="3">
        <f t="shared" si="310"/>
        <v>2010</v>
      </c>
      <c r="F1373" s="3">
        <f t="shared" si="311"/>
        <v>11</v>
      </c>
      <c r="G1373" s="3">
        <f t="shared" si="312"/>
        <v>24</v>
      </c>
      <c r="H1373" s="3">
        <f t="shared" si="313"/>
        <v>12</v>
      </c>
      <c r="I1373" s="3">
        <f t="shared" si="314"/>
        <v>49</v>
      </c>
      <c r="J1373" s="3">
        <f t="shared" si="315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16"/>
        <v>YES</v>
      </c>
      <c r="Q1373" t="str">
        <f t="shared" si="317"/>
        <v>YES</v>
      </c>
      <c r="R1373" t="str">
        <f t="shared" si="318"/>
        <v>NO</v>
      </c>
      <c r="S1373">
        <v>267</v>
      </c>
      <c r="T1373" t="s">
        <v>70</v>
      </c>
      <c r="U1373" t="str">
        <f t="shared" si="305"/>
        <v>Pearl St</v>
      </c>
      <c r="V1373" t="s">
        <v>42</v>
      </c>
      <c r="W1373" t="str">
        <f t="shared" si="306"/>
        <v>Putnam Ave</v>
      </c>
      <c r="X1373" t="str">
        <f>IF(ISBLANK(S1373),"Intersection","Non-Intersection")</f>
        <v>Non-Intersection</v>
      </c>
      <c r="Y1373" t="s">
        <v>2276</v>
      </c>
      <c r="Z1373" t="str">
        <f t="shared" si="307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08"/>
        <v>40179</v>
      </c>
      <c r="D1374" s="4">
        <f t="shared" si="309"/>
        <v>0.89589041095890409</v>
      </c>
      <c r="E1374" s="3">
        <f t="shared" si="310"/>
        <v>2010</v>
      </c>
      <c r="F1374" s="3">
        <f t="shared" si="311"/>
        <v>11</v>
      </c>
      <c r="G1374" s="3">
        <f t="shared" si="312"/>
        <v>24</v>
      </c>
      <c r="H1374" s="3">
        <f t="shared" si="313"/>
        <v>12</v>
      </c>
      <c r="I1374" s="3">
        <f t="shared" si="314"/>
        <v>56</v>
      </c>
      <c r="J1374" s="3">
        <f t="shared" si="315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16"/>
        <v>YES</v>
      </c>
      <c r="Q1374" t="str">
        <f t="shared" si="317"/>
        <v>YES</v>
      </c>
      <c r="R1374" t="str">
        <f t="shared" si="318"/>
        <v>NO</v>
      </c>
      <c r="T1374" t="s">
        <v>326</v>
      </c>
      <c r="U1374" t="str">
        <f t="shared" si="305"/>
        <v>Jfk St</v>
      </c>
      <c r="V1374" t="s">
        <v>325</v>
      </c>
      <c r="W1374" t="str">
        <f t="shared" si="306"/>
        <v>Eliot St</v>
      </c>
      <c r="X1374" t="str">
        <f>IF(ISBLANK(S1374),"Intersection","Non-Intersection")</f>
        <v>Intersection</v>
      </c>
      <c r="Y1374" t="s">
        <v>1420</v>
      </c>
      <c r="Z1374" t="str">
        <f t="shared" si="307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08"/>
        <v>40179</v>
      </c>
      <c r="D1375" s="4">
        <f t="shared" si="309"/>
        <v>0.89589041095890409</v>
      </c>
      <c r="E1375" s="3">
        <f t="shared" si="310"/>
        <v>2010</v>
      </c>
      <c r="F1375" s="3">
        <f t="shared" si="311"/>
        <v>11</v>
      </c>
      <c r="G1375" s="3">
        <f t="shared" si="312"/>
        <v>24</v>
      </c>
      <c r="H1375" s="3">
        <f t="shared" si="313"/>
        <v>14</v>
      </c>
      <c r="I1375" s="3">
        <f t="shared" si="314"/>
        <v>12</v>
      </c>
      <c r="J1375" s="3">
        <f t="shared" si="315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16"/>
        <v>YES</v>
      </c>
      <c r="Q1375" t="str">
        <f t="shared" si="317"/>
        <v>NO</v>
      </c>
      <c r="R1375" t="str">
        <f t="shared" si="318"/>
        <v>NO</v>
      </c>
      <c r="S1375">
        <v>75</v>
      </c>
      <c r="T1375" t="s">
        <v>665</v>
      </c>
      <c r="U1375" t="str">
        <f t="shared" si="305"/>
        <v>New St</v>
      </c>
      <c r="W1375" t="str">
        <f t="shared" si="306"/>
        <v/>
      </c>
      <c r="X1375" t="str">
        <f>IF(ISBLANK(S1375),"Intersection","Non-Intersection")</f>
        <v>Non-Intersection</v>
      </c>
      <c r="Y1375" t="s">
        <v>2279</v>
      </c>
      <c r="Z1375" t="str">
        <f t="shared" si="307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08"/>
        <v>40179</v>
      </c>
      <c r="D1376" s="4">
        <f t="shared" si="309"/>
        <v>0.89863013698630134</v>
      </c>
      <c r="E1376" s="3">
        <f t="shared" si="310"/>
        <v>2010</v>
      </c>
      <c r="F1376" s="3">
        <f t="shared" si="311"/>
        <v>11</v>
      </c>
      <c r="G1376" s="3">
        <f t="shared" si="312"/>
        <v>25</v>
      </c>
      <c r="H1376" s="3">
        <f t="shared" si="313"/>
        <v>21</v>
      </c>
      <c r="I1376" s="3">
        <f t="shared" si="314"/>
        <v>24</v>
      </c>
      <c r="J1376" s="3">
        <f t="shared" si="315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16"/>
        <v>YES</v>
      </c>
      <c r="Q1376" t="str">
        <f t="shared" si="317"/>
        <v>NO</v>
      </c>
      <c r="R1376" t="str">
        <f t="shared" si="318"/>
        <v>NO</v>
      </c>
      <c r="S1376">
        <v>101</v>
      </c>
      <c r="T1376" t="s">
        <v>1024</v>
      </c>
      <c r="U1376" t="str">
        <f t="shared" si="305"/>
        <v>Kinnaird St</v>
      </c>
      <c r="W1376" t="str">
        <f t="shared" si="306"/>
        <v/>
      </c>
      <c r="X1376" t="str">
        <f>IF(ISBLANK(S1376),"Intersection","Non-Intersection")</f>
        <v>Non-Intersection</v>
      </c>
      <c r="Y1376" t="s">
        <v>2281</v>
      </c>
      <c r="Z1376" t="str">
        <f t="shared" si="307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08"/>
        <v>40179</v>
      </c>
      <c r="D1377" s="4">
        <f t="shared" si="309"/>
        <v>0.90136986301369859</v>
      </c>
      <c r="E1377" s="3">
        <f t="shared" si="310"/>
        <v>2010</v>
      </c>
      <c r="F1377" s="3">
        <f t="shared" si="311"/>
        <v>11</v>
      </c>
      <c r="G1377" s="3">
        <f t="shared" si="312"/>
        <v>26</v>
      </c>
      <c r="H1377" s="3">
        <f t="shared" si="313"/>
        <v>23</v>
      </c>
      <c r="I1377" s="3">
        <f t="shared" si="314"/>
        <v>0</v>
      </c>
      <c r="J1377" s="3">
        <f t="shared" si="315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16"/>
        <v>YES</v>
      </c>
      <c r="Q1377" t="str">
        <f t="shared" si="317"/>
        <v>NO</v>
      </c>
      <c r="R1377" t="str">
        <f t="shared" si="318"/>
        <v>NO</v>
      </c>
      <c r="T1377" t="s">
        <v>667</v>
      </c>
      <c r="U1377" t="str">
        <f t="shared" si="305"/>
        <v>Tremont St</v>
      </c>
      <c r="V1377" t="s">
        <v>19</v>
      </c>
      <c r="W1377" t="str">
        <f t="shared" si="306"/>
        <v>Cambridge St</v>
      </c>
      <c r="X1377" t="str">
        <f>IF(ISBLANK(S1377),"Intersection","Non-Intersection")</f>
        <v>Intersection</v>
      </c>
      <c r="Y1377" t="s">
        <v>2283</v>
      </c>
      <c r="Z1377" t="str">
        <f t="shared" si="307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08"/>
        <v>40179</v>
      </c>
      <c r="D1378" s="4">
        <f t="shared" si="309"/>
        <v>0.90136986301369859</v>
      </c>
      <c r="E1378" s="3">
        <f t="shared" si="310"/>
        <v>2010</v>
      </c>
      <c r="F1378" s="3">
        <f t="shared" si="311"/>
        <v>11</v>
      </c>
      <c r="G1378" s="3">
        <f t="shared" si="312"/>
        <v>26</v>
      </c>
      <c r="H1378" s="3">
        <f t="shared" si="313"/>
        <v>11</v>
      </c>
      <c r="I1378" s="3">
        <f t="shared" si="314"/>
        <v>1</v>
      </c>
      <c r="J1378" s="3">
        <f t="shared" si="315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16"/>
        <v>YES</v>
      </c>
      <c r="Q1378" t="str">
        <f t="shared" si="317"/>
        <v>NO</v>
      </c>
      <c r="R1378" t="str">
        <f t="shared" si="318"/>
        <v>NO</v>
      </c>
      <c r="S1378">
        <v>15</v>
      </c>
      <c r="T1378" t="s">
        <v>2285</v>
      </c>
      <c r="U1378" t="str">
        <f t="shared" si="305"/>
        <v>Homer Ave</v>
      </c>
      <c r="W1378" t="str">
        <f t="shared" si="306"/>
        <v/>
      </c>
      <c r="X1378" t="str">
        <f>IF(ISBLANK(S1378),"Intersection","Non-Intersection")</f>
        <v>Non-Intersection</v>
      </c>
      <c r="Y1378" t="s">
        <v>2286</v>
      </c>
      <c r="Z1378" t="str">
        <f t="shared" si="307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08"/>
        <v>40179</v>
      </c>
      <c r="D1379" s="4">
        <f t="shared" si="309"/>
        <v>0.90410958904109584</v>
      </c>
      <c r="E1379" s="3">
        <f t="shared" si="310"/>
        <v>2010</v>
      </c>
      <c r="F1379" s="3">
        <f t="shared" si="311"/>
        <v>11</v>
      </c>
      <c r="G1379" s="3">
        <f t="shared" si="312"/>
        <v>27</v>
      </c>
      <c r="H1379" s="3">
        <f t="shared" si="313"/>
        <v>8</v>
      </c>
      <c r="I1379" s="3">
        <f t="shared" si="314"/>
        <v>0</v>
      </c>
      <c r="J1379" s="3">
        <f t="shared" si="315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16"/>
        <v>YES</v>
      </c>
      <c r="Q1379" t="str">
        <f t="shared" si="317"/>
        <v>NO</v>
      </c>
      <c r="R1379" t="str">
        <f t="shared" si="318"/>
        <v>NO</v>
      </c>
      <c r="S1379">
        <v>12</v>
      </c>
      <c r="T1379" t="s">
        <v>2130</v>
      </c>
      <c r="U1379" t="str">
        <f t="shared" si="305"/>
        <v>Boardman St</v>
      </c>
      <c r="W1379" t="str">
        <f t="shared" si="306"/>
        <v/>
      </c>
      <c r="X1379" t="str">
        <f>IF(ISBLANK(S1379),"Intersection","Non-Intersection")</f>
        <v>Non-Intersection</v>
      </c>
      <c r="Y1379" t="s">
        <v>2288</v>
      </c>
      <c r="Z1379" t="str">
        <f t="shared" si="307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08"/>
        <v>40179</v>
      </c>
      <c r="D1380" s="4">
        <f t="shared" si="309"/>
        <v>0.90410958904109584</v>
      </c>
      <c r="E1380" s="3">
        <f t="shared" si="310"/>
        <v>2010</v>
      </c>
      <c r="F1380" s="3">
        <f t="shared" si="311"/>
        <v>11</v>
      </c>
      <c r="G1380" s="3">
        <f t="shared" si="312"/>
        <v>27</v>
      </c>
      <c r="H1380" s="3">
        <f t="shared" si="313"/>
        <v>19</v>
      </c>
      <c r="I1380" s="3">
        <f t="shared" si="314"/>
        <v>19</v>
      </c>
      <c r="J1380" s="3">
        <f t="shared" si="315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16"/>
        <v>YES</v>
      </c>
      <c r="Q1380" t="str">
        <f t="shared" si="317"/>
        <v>NO</v>
      </c>
      <c r="R1380" t="str">
        <f t="shared" si="318"/>
        <v>NO</v>
      </c>
      <c r="T1380" t="s">
        <v>453</v>
      </c>
      <c r="U1380" t="str">
        <f t="shared" si="305"/>
        <v>Brookline St</v>
      </c>
      <c r="V1380" t="s">
        <v>203</v>
      </c>
      <c r="W1380" t="str">
        <f t="shared" si="306"/>
        <v>Memorial Dr</v>
      </c>
      <c r="X1380" t="str">
        <f>IF(ISBLANK(S1380),"Intersection","Non-Intersection")</f>
        <v>Intersection</v>
      </c>
      <c r="Y1380" t="s">
        <v>2290</v>
      </c>
      <c r="Z1380" t="str">
        <f t="shared" si="307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08"/>
        <v>40179</v>
      </c>
      <c r="D1381" s="4">
        <f t="shared" si="309"/>
        <v>0.90410958904109584</v>
      </c>
      <c r="E1381" s="3">
        <f t="shared" si="310"/>
        <v>2010</v>
      </c>
      <c r="F1381" s="3">
        <f t="shared" si="311"/>
        <v>11</v>
      </c>
      <c r="G1381" s="3">
        <f t="shared" si="312"/>
        <v>27</v>
      </c>
      <c r="H1381" s="3">
        <f t="shared" si="313"/>
        <v>13</v>
      </c>
      <c r="I1381" s="3">
        <f t="shared" si="314"/>
        <v>9</v>
      </c>
      <c r="J1381" s="3">
        <f t="shared" si="315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16"/>
        <v>YES</v>
      </c>
      <c r="Q1381" t="str">
        <f t="shared" si="317"/>
        <v>NO</v>
      </c>
      <c r="R1381" t="str">
        <f t="shared" si="318"/>
        <v>NO</v>
      </c>
      <c r="S1381">
        <v>552</v>
      </c>
      <c r="T1381" t="s">
        <v>14</v>
      </c>
      <c r="U1381" t="str">
        <f t="shared" si="305"/>
        <v>Massachusetts Ave</v>
      </c>
      <c r="W1381" t="str">
        <f t="shared" si="306"/>
        <v/>
      </c>
      <c r="X1381" t="str">
        <f>IF(ISBLANK(S1381),"Intersection","Non-Intersection")</f>
        <v>Non-Intersection</v>
      </c>
      <c r="Y1381" t="s">
        <v>2292</v>
      </c>
      <c r="Z1381" t="str">
        <f t="shared" si="307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08"/>
        <v>40179</v>
      </c>
      <c r="D1382" s="4">
        <f t="shared" si="309"/>
        <v>0.90958904109589045</v>
      </c>
      <c r="E1382" s="3">
        <f t="shared" si="310"/>
        <v>2010</v>
      </c>
      <c r="F1382" s="3">
        <f t="shared" si="311"/>
        <v>11</v>
      </c>
      <c r="G1382" s="3">
        <f t="shared" si="312"/>
        <v>29</v>
      </c>
      <c r="H1382" s="3">
        <f t="shared" si="313"/>
        <v>9</v>
      </c>
      <c r="I1382" s="3">
        <f t="shared" si="314"/>
        <v>45</v>
      </c>
      <c r="J1382" s="3">
        <f t="shared" si="315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16"/>
        <v>YES</v>
      </c>
      <c r="Q1382" t="str">
        <f t="shared" si="317"/>
        <v>NO</v>
      </c>
      <c r="R1382" t="str">
        <f t="shared" si="318"/>
        <v>NO</v>
      </c>
      <c r="T1382" t="s">
        <v>27</v>
      </c>
      <c r="U1382" t="str">
        <f t="shared" si="305"/>
        <v>Western Ave</v>
      </c>
      <c r="V1382" t="s">
        <v>42</v>
      </c>
      <c r="W1382" t="str">
        <f t="shared" si="306"/>
        <v>Putnam Ave</v>
      </c>
      <c r="X1382" t="str">
        <f>IF(ISBLANK(S1382),"Intersection","Non-Intersection")</f>
        <v>Intersection</v>
      </c>
      <c r="Y1382" t="s">
        <v>1022</v>
      </c>
      <c r="Z1382" t="str">
        <f t="shared" si="307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08"/>
        <v>40179</v>
      </c>
      <c r="D1383" s="4">
        <f t="shared" si="309"/>
        <v>0.90958904109589045</v>
      </c>
      <c r="E1383" s="3">
        <f t="shared" si="310"/>
        <v>2010</v>
      </c>
      <c r="F1383" s="3">
        <f t="shared" si="311"/>
        <v>11</v>
      </c>
      <c r="G1383" s="3">
        <f t="shared" si="312"/>
        <v>29</v>
      </c>
      <c r="H1383" s="3">
        <f t="shared" si="313"/>
        <v>13</v>
      </c>
      <c r="I1383" s="3">
        <f t="shared" si="314"/>
        <v>15</v>
      </c>
      <c r="J1383" s="3">
        <f t="shared" si="315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16"/>
        <v>YES</v>
      </c>
      <c r="Q1383" t="str">
        <f t="shared" si="317"/>
        <v>NO</v>
      </c>
      <c r="R1383" t="str">
        <f t="shared" si="318"/>
        <v>NO</v>
      </c>
      <c r="S1383">
        <v>155</v>
      </c>
      <c r="T1383" t="s">
        <v>379</v>
      </c>
      <c r="U1383" t="str">
        <f t="shared" si="305"/>
        <v>Second St</v>
      </c>
      <c r="V1383" t="s">
        <v>556</v>
      </c>
      <c r="W1383" t="str">
        <f t="shared" si="306"/>
        <v>Bent St</v>
      </c>
      <c r="X1383" t="str">
        <f>IF(ISBLANK(S1383),"Intersection","Non-Intersection")</f>
        <v>Non-Intersection</v>
      </c>
      <c r="Y1383" t="s">
        <v>2294</v>
      </c>
      <c r="Z1383" t="str">
        <f t="shared" si="307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08"/>
        <v>40179</v>
      </c>
      <c r="D1384" s="4">
        <f t="shared" si="309"/>
        <v>0.90958904109589045</v>
      </c>
      <c r="E1384" s="3">
        <f t="shared" si="310"/>
        <v>2010</v>
      </c>
      <c r="F1384" s="3">
        <f t="shared" si="311"/>
        <v>11</v>
      </c>
      <c r="G1384" s="3">
        <f t="shared" si="312"/>
        <v>29</v>
      </c>
      <c r="H1384" s="3">
        <f t="shared" si="313"/>
        <v>16</v>
      </c>
      <c r="I1384" s="3">
        <f t="shared" si="314"/>
        <v>12</v>
      </c>
      <c r="J1384" s="3">
        <f t="shared" si="315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16"/>
        <v>YES</v>
      </c>
      <c r="Q1384" t="str">
        <f t="shared" si="317"/>
        <v>NO</v>
      </c>
      <c r="R1384" t="str">
        <f t="shared" si="318"/>
        <v>NO</v>
      </c>
      <c r="S1384">
        <v>340</v>
      </c>
      <c r="T1384" t="s">
        <v>42</v>
      </c>
      <c r="U1384" t="str">
        <f t="shared" si="305"/>
        <v>Putnam Ave</v>
      </c>
      <c r="W1384" t="str">
        <f t="shared" si="306"/>
        <v/>
      </c>
      <c r="X1384" t="str">
        <f>IF(ISBLANK(S1384),"Intersection","Non-Intersection")</f>
        <v>Non-Intersection</v>
      </c>
      <c r="Y1384" t="s">
        <v>1187</v>
      </c>
      <c r="Z1384" t="str">
        <f t="shared" si="307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08"/>
        <v>40179</v>
      </c>
      <c r="D1385" s="4">
        <f t="shared" si="309"/>
        <v>0.90958904109589045</v>
      </c>
      <c r="E1385" s="3">
        <f t="shared" si="310"/>
        <v>2010</v>
      </c>
      <c r="F1385" s="3">
        <f t="shared" si="311"/>
        <v>11</v>
      </c>
      <c r="G1385" s="3">
        <f t="shared" si="312"/>
        <v>29</v>
      </c>
      <c r="H1385" s="3">
        <f t="shared" si="313"/>
        <v>16</v>
      </c>
      <c r="I1385" s="3">
        <f t="shared" si="314"/>
        <v>19</v>
      </c>
      <c r="J1385" s="3">
        <f t="shared" si="315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16"/>
        <v>YES</v>
      </c>
      <c r="Q1385" t="str">
        <f t="shared" si="317"/>
        <v>NO</v>
      </c>
      <c r="R1385" t="str">
        <f t="shared" si="318"/>
        <v>NO</v>
      </c>
      <c r="T1385" t="s">
        <v>61</v>
      </c>
      <c r="U1385" t="str">
        <f t="shared" si="305"/>
        <v>First St</v>
      </c>
      <c r="V1385" t="s">
        <v>19</v>
      </c>
      <c r="W1385" t="str">
        <f t="shared" si="306"/>
        <v>Cambridge St</v>
      </c>
      <c r="X1385" t="str">
        <f>IF(ISBLANK(S1385),"Intersection","Non-Intersection")</f>
        <v>Intersection</v>
      </c>
      <c r="Y1385" t="s">
        <v>2296</v>
      </c>
      <c r="Z1385" t="str">
        <f t="shared" si="307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08"/>
        <v>40179</v>
      </c>
      <c r="D1386" s="4">
        <f t="shared" si="309"/>
        <v>0.90958904109589045</v>
      </c>
      <c r="E1386" s="3">
        <f t="shared" si="310"/>
        <v>2010</v>
      </c>
      <c r="F1386" s="3">
        <f t="shared" si="311"/>
        <v>11</v>
      </c>
      <c r="G1386" s="3">
        <f t="shared" si="312"/>
        <v>29</v>
      </c>
      <c r="H1386" s="3">
        <f t="shared" si="313"/>
        <v>18</v>
      </c>
      <c r="I1386" s="3">
        <f t="shared" si="314"/>
        <v>27</v>
      </c>
      <c r="J1386" s="3">
        <f t="shared" si="315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16"/>
        <v>YES</v>
      </c>
      <c r="Q1386" t="str">
        <f t="shared" si="317"/>
        <v>YES</v>
      </c>
      <c r="R1386" t="str">
        <f t="shared" si="318"/>
        <v>NO</v>
      </c>
      <c r="T1386" t="s">
        <v>105</v>
      </c>
      <c r="U1386" t="str">
        <f t="shared" si="305"/>
        <v>Broadway</v>
      </c>
      <c r="V1386" t="s">
        <v>342</v>
      </c>
      <c r="W1386" t="str">
        <f t="shared" si="306"/>
        <v>Prospect St</v>
      </c>
      <c r="X1386" t="str">
        <f>IF(ISBLANK(S1386),"Intersection","Non-Intersection")</f>
        <v>Intersection</v>
      </c>
      <c r="Y1386" t="s">
        <v>343</v>
      </c>
      <c r="Z1386" t="str">
        <f t="shared" si="307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08"/>
        <v>40179</v>
      </c>
      <c r="D1387" s="4">
        <f t="shared" si="309"/>
        <v>0.90958904109589045</v>
      </c>
      <c r="E1387" s="3">
        <f t="shared" si="310"/>
        <v>2010</v>
      </c>
      <c r="F1387" s="3">
        <f t="shared" si="311"/>
        <v>11</v>
      </c>
      <c r="G1387" s="3">
        <f t="shared" si="312"/>
        <v>29</v>
      </c>
      <c r="H1387" s="3">
        <f t="shared" si="313"/>
        <v>19</v>
      </c>
      <c r="I1387" s="3">
        <f t="shared" si="314"/>
        <v>15</v>
      </c>
      <c r="J1387" s="3">
        <f t="shared" si="315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16"/>
        <v>YES</v>
      </c>
      <c r="Q1387" t="str">
        <f t="shared" si="317"/>
        <v>NO</v>
      </c>
      <c r="R1387" t="str">
        <f t="shared" si="318"/>
        <v>YES</v>
      </c>
      <c r="T1387" t="s">
        <v>19</v>
      </c>
      <c r="U1387" t="str">
        <f t="shared" si="305"/>
        <v>Cambridge St</v>
      </c>
      <c r="V1387" t="s">
        <v>498</v>
      </c>
      <c r="W1387" t="str">
        <f t="shared" si="306"/>
        <v>Ellery St</v>
      </c>
      <c r="X1387" t="str">
        <f>IF(ISBLANK(S1387),"Intersection","Non-Intersection")</f>
        <v>Intersection</v>
      </c>
      <c r="Y1387" t="s">
        <v>2297</v>
      </c>
      <c r="Z1387" t="str">
        <f t="shared" si="307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08"/>
        <v>40179</v>
      </c>
      <c r="D1388" s="4">
        <f t="shared" si="309"/>
        <v>0.90958904109589045</v>
      </c>
      <c r="E1388" s="3">
        <f t="shared" si="310"/>
        <v>2010</v>
      </c>
      <c r="F1388" s="3">
        <f t="shared" si="311"/>
        <v>11</v>
      </c>
      <c r="G1388" s="3">
        <f t="shared" si="312"/>
        <v>29</v>
      </c>
      <c r="H1388" s="3">
        <f t="shared" si="313"/>
        <v>21</v>
      </c>
      <c r="I1388" s="3">
        <f t="shared" si="314"/>
        <v>30</v>
      </c>
      <c r="J1388" s="3">
        <f t="shared" si="315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16"/>
        <v>YES</v>
      </c>
      <c r="Q1388" t="str">
        <f t="shared" si="317"/>
        <v>NO</v>
      </c>
      <c r="R1388" t="str">
        <f t="shared" si="318"/>
        <v>NO</v>
      </c>
      <c r="S1388">
        <v>18</v>
      </c>
      <c r="T1388" t="s">
        <v>365</v>
      </c>
      <c r="U1388" t="str">
        <f t="shared" si="305"/>
        <v>Hurley St</v>
      </c>
      <c r="W1388" t="str">
        <f t="shared" si="306"/>
        <v/>
      </c>
      <c r="X1388" t="str">
        <f>IF(ISBLANK(S1388),"Intersection","Non-Intersection")</f>
        <v>Non-Intersection</v>
      </c>
      <c r="Y1388" t="s">
        <v>2299</v>
      </c>
      <c r="Z1388" t="str">
        <f t="shared" si="307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08"/>
        <v>40179</v>
      </c>
      <c r="D1389" s="4">
        <f t="shared" si="309"/>
        <v>0.9123287671232877</v>
      </c>
      <c r="E1389" s="3">
        <f t="shared" si="310"/>
        <v>2010</v>
      </c>
      <c r="F1389" s="3">
        <f t="shared" si="311"/>
        <v>11</v>
      </c>
      <c r="G1389" s="3">
        <f t="shared" si="312"/>
        <v>30</v>
      </c>
      <c r="H1389" s="3">
        <f t="shared" si="313"/>
        <v>7</v>
      </c>
      <c r="I1389" s="3">
        <f t="shared" si="314"/>
        <v>50</v>
      </c>
      <c r="J1389" s="3">
        <f t="shared" si="315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16"/>
        <v>YES</v>
      </c>
      <c r="Q1389" t="str">
        <f t="shared" si="317"/>
        <v>NO</v>
      </c>
      <c r="R1389" t="str">
        <f t="shared" si="318"/>
        <v>YES</v>
      </c>
      <c r="T1389" t="s">
        <v>105</v>
      </c>
      <c r="U1389" t="str">
        <f t="shared" si="305"/>
        <v>Broadway</v>
      </c>
      <c r="V1389" t="s">
        <v>805</v>
      </c>
      <c r="W1389" t="str">
        <f t="shared" si="306"/>
        <v>Trowbridge St</v>
      </c>
      <c r="X1389" t="str">
        <f>IF(ISBLANK(S1389),"Intersection","Non-Intersection")</f>
        <v>Intersection</v>
      </c>
      <c r="Y1389" t="s">
        <v>2301</v>
      </c>
      <c r="Z1389" t="str">
        <f t="shared" si="307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08"/>
        <v>40179</v>
      </c>
      <c r="D1390" s="4">
        <f t="shared" si="309"/>
        <v>0.9123287671232877</v>
      </c>
      <c r="E1390" s="3">
        <f t="shared" si="310"/>
        <v>2010</v>
      </c>
      <c r="F1390" s="3">
        <f t="shared" si="311"/>
        <v>11</v>
      </c>
      <c r="G1390" s="3">
        <f t="shared" si="312"/>
        <v>30</v>
      </c>
      <c r="H1390" s="3">
        <f t="shared" si="313"/>
        <v>8</v>
      </c>
      <c r="I1390" s="3">
        <f t="shared" si="314"/>
        <v>29</v>
      </c>
      <c r="J1390" s="3">
        <f t="shared" si="315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16"/>
        <v>YES</v>
      </c>
      <c r="Q1390" t="str">
        <f t="shared" si="317"/>
        <v>YES</v>
      </c>
      <c r="R1390" t="str">
        <f t="shared" si="318"/>
        <v>NO</v>
      </c>
      <c r="T1390" t="s">
        <v>198</v>
      </c>
      <c r="U1390" t="str">
        <f t="shared" si="305"/>
        <v>Mount Auburn St</v>
      </c>
      <c r="V1390" t="s">
        <v>42</v>
      </c>
      <c r="W1390" t="str">
        <f t="shared" si="306"/>
        <v>Putnam Ave</v>
      </c>
      <c r="X1390" t="str">
        <f>IF(ISBLANK(S1390),"Intersection","Non-Intersection")</f>
        <v>Intersection</v>
      </c>
      <c r="Y1390" t="s">
        <v>285</v>
      </c>
      <c r="Z1390" t="str">
        <f t="shared" si="307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08"/>
        <v>40179</v>
      </c>
      <c r="D1391" s="4">
        <f t="shared" si="309"/>
        <v>0.9123287671232877</v>
      </c>
      <c r="E1391" s="3">
        <f t="shared" si="310"/>
        <v>2010</v>
      </c>
      <c r="F1391" s="3">
        <f t="shared" si="311"/>
        <v>11</v>
      </c>
      <c r="G1391" s="3">
        <f t="shared" si="312"/>
        <v>30</v>
      </c>
      <c r="H1391" s="3">
        <f t="shared" si="313"/>
        <v>16</v>
      </c>
      <c r="I1391" s="3">
        <f t="shared" si="314"/>
        <v>35</v>
      </c>
      <c r="J1391" s="3">
        <f t="shared" si="315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16"/>
        <v>YES</v>
      </c>
      <c r="Q1391" t="str">
        <f t="shared" si="317"/>
        <v>NO</v>
      </c>
      <c r="R1391" t="str">
        <f t="shared" si="318"/>
        <v>NO</v>
      </c>
      <c r="S1391">
        <v>615</v>
      </c>
      <c r="T1391" t="s">
        <v>186</v>
      </c>
      <c r="U1391" t="str">
        <f t="shared" si="305"/>
        <v>Concord Ave</v>
      </c>
      <c r="W1391" t="str">
        <f t="shared" si="306"/>
        <v/>
      </c>
      <c r="X1391" t="str">
        <f>IF(ISBLANK(S1391),"Intersection","Non-Intersection")</f>
        <v>Non-Intersection</v>
      </c>
      <c r="Y1391" t="s">
        <v>2303</v>
      </c>
      <c r="Z1391" t="str">
        <f t="shared" si="307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08"/>
        <v>40179</v>
      </c>
      <c r="D1392" s="4">
        <f t="shared" si="309"/>
        <v>0.9123287671232877</v>
      </c>
      <c r="E1392" s="3">
        <f t="shared" si="310"/>
        <v>2010</v>
      </c>
      <c r="F1392" s="3">
        <f t="shared" si="311"/>
        <v>11</v>
      </c>
      <c r="G1392" s="3">
        <f t="shared" si="312"/>
        <v>30</v>
      </c>
      <c r="H1392" s="3">
        <f t="shared" si="313"/>
        <v>19</v>
      </c>
      <c r="I1392" s="3">
        <f t="shared" si="314"/>
        <v>40</v>
      </c>
      <c r="J1392" s="3">
        <f t="shared" si="315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16"/>
        <v>YES</v>
      </c>
      <c r="Q1392" t="str">
        <f t="shared" si="317"/>
        <v>NO</v>
      </c>
      <c r="R1392" t="str">
        <f t="shared" si="318"/>
        <v>NO</v>
      </c>
      <c r="T1392" t="s">
        <v>186</v>
      </c>
      <c r="U1392" t="str">
        <f t="shared" si="305"/>
        <v>Concord Ave</v>
      </c>
      <c r="V1392" t="s">
        <v>92</v>
      </c>
      <c r="W1392" t="str">
        <f t="shared" si="306"/>
        <v>Wheeler St</v>
      </c>
      <c r="X1392" t="str">
        <f>IF(ISBLANK(S1392),"Intersection","Non-Intersection")</f>
        <v>Intersection</v>
      </c>
      <c r="Y1392" t="s">
        <v>1072</v>
      </c>
      <c r="Z1392" t="str">
        <f t="shared" si="307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08"/>
        <v>40179</v>
      </c>
      <c r="D1393" s="4">
        <f t="shared" si="309"/>
        <v>0.91506849315068495</v>
      </c>
      <c r="E1393" s="3">
        <f t="shared" si="310"/>
        <v>2010</v>
      </c>
      <c r="F1393" s="3">
        <f t="shared" si="311"/>
        <v>12</v>
      </c>
      <c r="G1393" s="3">
        <f t="shared" si="312"/>
        <v>1</v>
      </c>
      <c r="H1393" s="3">
        <f t="shared" si="313"/>
        <v>7</v>
      </c>
      <c r="I1393" s="3">
        <f t="shared" si="314"/>
        <v>24</v>
      </c>
      <c r="J1393" s="3">
        <f t="shared" si="315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16"/>
        <v>YES</v>
      </c>
      <c r="Q1393" t="str">
        <f t="shared" si="317"/>
        <v>NO</v>
      </c>
      <c r="R1393" t="str">
        <f t="shared" si="318"/>
        <v>NO</v>
      </c>
      <c r="T1393" t="s">
        <v>1024</v>
      </c>
      <c r="U1393" t="str">
        <f t="shared" si="305"/>
        <v>Kinnaird St</v>
      </c>
      <c r="V1393" t="s">
        <v>27</v>
      </c>
      <c r="W1393" t="str">
        <f t="shared" si="306"/>
        <v>Western Ave</v>
      </c>
      <c r="X1393" t="str">
        <f>IF(ISBLANK(S1393),"Intersection","Non-Intersection")</f>
        <v>Intersection</v>
      </c>
      <c r="Y1393" t="s">
        <v>1638</v>
      </c>
      <c r="Z1393" t="str">
        <f t="shared" si="307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08"/>
        <v>40179</v>
      </c>
      <c r="D1394" s="4">
        <f t="shared" si="309"/>
        <v>0.91506849315068495</v>
      </c>
      <c r="E1394" s="3">
        <f t="shared" si="310"/>
        <v>2010</v>
      </c>
      <c r="F1394" s="3">
        <f t="shared" si="311"/>
        <v>12</v>
      </c>
      <c r="G1394" s="3">
        <f t="shared" si="312"/>
        <v>1</v>
      </c>
      <c r="H1394" s="3">
        <f t="shared" si="313"/>
        <v>14</v>
      </c>
      <c r="I1394" s="3">
        <f t="shared" si="314"/>
        <v>35</v>
      </c>
      <c r="J1394" s="3">
        <f t="shared" si="315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16"/>
        <v>YES</v>
      </c>
      <c r="Q1394" t="str">
        <f t="shared" si="317"/>
        <v>NO</v>
      </c>
      <c r="R1394" t="str">
        <f t="shared" si="318"/>
        <v>NO</v>
      </c>
      <c r="S1394">
        <v>102</v>
      </c>
      <c r="T1394" t="s">
        <v>155</v>
      </c>
      <c r="U1394" t="str">
        <f t="shared" si="305"/>
        <v>Richdale Ave</v>
      </c>
      <c r="W1394" t="str">
        <f t="shared" si="306"/>
        <v/>
      </c>
      <c r="X1394" t="str">
        <f>IF(ISBLANK(S1394),"Intersection","Non-Intersection")</f>
        <v>Non-Intersection</v>
      </c>
      <c r="Y1394" t="s">
        <v>2305</v>
      </c>
      <c r="Z1394" t="str">
        <f t="shared" si="307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08"/>
        <v>40179</v>
      </c>
      <c r="D1395" s="4">
        <f t="shared" si="309"/>
        <v>0.91506849315068495</v>
      </c>
      <c r="E1395" s="3">
        <f t="shared" si="310"/>
        <v>2010</v>
      </c>
      <c r="F1395" s="3">
        <f t="shared" si="311"/>
        <v>12</v>
      </c>
      <c r="G1395" s="3">
        <f t="shared" si="312"/>
        <v>1</v>
      </c>
      <c r="H1395" s="3">
        <f t="shared" si="313"/>
        <v>14</v>
      </c>
      <c r="I1395" s="3">
        <f t="shared" si="314"/>
        <v>0</v>
      </c>
      <c r="J1395" s="3">
        <f t="shared" si="315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16"/>
        <v>YES</v>
      </c>
      <c r="Q1395" t="str">
        <f t="shared" si="317"/>
        <v>NO</v>
      </c>
      <c r="R1395" t="str">
        <f t="shared" si="318"/>
        <v>NO</v>
      </c>
      <c r="S1395">
        <v>748</v>
      </c>
      <c r="T1395" t="s">
        <v>203</v>
      </c>
      <c r="U1395" t="str">
        <f t="shared" si="305"/>
        <v>Memorial Dr</v>
      </c>
      <c r="W1395" t="str">
        <f t="shared" si="306"/>
        <v/>
      </c>
      <c r="X1395" t="str">
        <f>IF(ISBLANK(S1395),"Intersection","Non-Intersection")</f>
        <v>Non-Intersection</v>
      </c>
      <c r="Y1395" t="s">
        <v>1731</v>
      </c>
      <c r="Z1395" t="str">
        <f t="shared" si="307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08"/>
        <v>40179</v>
      </c>
      <c r="D1396" s="4">
        <f t="shared" si="309"/>
        <v>0.91506849315068495</v>
      </c>
      <c r="E1396" s="3">
        <f t="shared" si="310"/>
        <v>2010</v>
      </c>
      <c r="F1396" s="3">
        <f t="shared" si="311"/>
        <v>12</v>
      </c>
      <c r="G1396" s="3">
        <f t="shared" si="312"/>
        <v>1</v>
      </c>
      <c r="H1396" s="3">
        <f t="shared" si="313"/>
        <v>16</v>
      </c>
      <c r="I1396" s="3">
        <f t="shared" si="314"/>
        <v>44</v>
      </c>
      <c r="J1396" s="3">
        <f t="shared" si="315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16"/>
        <v>YES</v>
      </c>
      <c r="Q1396" t="str">
        <f t="shared" si="317"/>
        <v>NO</v>
      </c>
      <c r="R1396" t="str">
        <f t="shared" si="318"/>
        <v>NO</v>
      </c>
      <c r="S1396">
        <v>240</v>
      </c>
      <c r="T1396" t="s">
        <v>195</v>
      </c>
      <c r="U1396" t="str">
        <f t="shared" si="305"/>
        <v>Sidney St</v>
      </c>
      <c r="W1396" t="str">
        <f t="shared" si="306"/>
        <v/>
      </c>
      <c r="X1396" t="str">
        <f>IF(ISBLANK(S1396),"Intersection","Non-Intersection")</f>
        <v>Non-Intersection</v>
      </c>
      <c r="Y1396" t="s">
        <v>2307</v>
      </c>
      <c r="Z1396" t="str">
        <f t="shared" si="307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08"/>
        <v>40179</v>
      </c>
      <c r="D1397" s="4">
        <f t="shared" si="309"/>
        <v>0.91506849315068495</v>
      </c>
      <c r="E1397" s="3">
        <f t="shared" si="310"/>
        <v>2010</v>
      </c>
      <c r="F1397" s="3">
        <f t="shared" si="311"/>
        <v>12</v>
      </c>
      <c r="G1397" s="3">
        <f t="shared" si="312"/>
        <v>1</v>
      </c>
      <c r="H1397" s="3">
        <f t="shared" si="313"/>
        <v>17</v>
      </c>
      <c r="I1397" s="3">
        <f t="shared" si="314"/>
        <v>20</v>
      </c>
      <c r="J1397" s="3">
        <f t="shared" si="315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16"/>
        <v>YES</v>
      </c>
      <c r="Q1397" t="str">
        <f t="shared" si="317"/>
        <v>NO</v>
      </c>
      <c r="R1397" t="str">
        <f t="shared" si="318"/>
        <v>YES</v>
      </c>
      <c r="T1397" t="s">
        <v>19</v>
      </c>
      <c r="U1397" t="str">
        <f t="shared" si="305"/>
        <v>Cambridge St</v>
      </c>
      <c r="V1397" t="s">
        <v>1006</v>
      </c>
      <c r="W1397" t="str">
        <f t="shared" si="306"/>
        <v>Irving St</v>
      </c>
      <c r="X1397" t="str">
        <f>IF(ISBLANK(S1397),"Intersection","Non-Intersection")</f>
        <v>Intersection</v>
      </c>
      <c r="Y1397" t="s">
        <v>2309</v>
      </c>
      <c r="Z1397" t="str">
        <f t="shared" si="307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08"/>
        <v>40179</v>
      </c>
      <c r="D1398" s="4">
        <f t="shared" si="309"/>
        <v>0.91506849315068495</v>
      </c>
      <c r="E1398" s="3">
        <f t="shared" si="310"/>
        <v>2010</v>
      </c>
      <c r="F1398" s="3">
        <f t="shared" si="311"/>
        <v>12</v>
      </c>
      <c r="G1398" s="3">
        <f t="shared" si="312"/>
        <v>1</v>
      </c>
      <c r="H1398" s="3">
        <f t="shared" si="313"/>
        <v>20</v>
      </c>
      <c r="I1398" s="3">
        <f t="shared" si="314"/>
        <v>0</v>
      </c>
      <c r="J1398" s="3">
        <f t="shared" si="315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16"/>
        <v>YES</v>
      </c>
      <c r="Q1398" t="str">
        <f t="shared" si="317"/>
        <v>NO</v>
      </c>
      <c r="R1398" t="str">
        <f t="shared" si="318"/>
        <v>NO</v>
      </c>
      <c r="S1398">
        <v>200</v>
      </c>
      <c r="T1398" t="s">
        <v>170</v>
      </c>
      <c r="U1398" t="str">
        <f t="shared" si="305"/>
        <v>Alewife Brook Pky</v>
      </c>
      <c r="W1398" t="str">
        <f t="shared" si="306"/>
        <v/>
      </c>
      <c r="X1398" t="str">
        <f>IF(ISBLANK(S1398),"Intersection","Non-Intersection")</f>
        <v>Non-Intersection</v>
      </c>
      <c r="Y1398" t="s">
        <v>2274</v>
      </c>
      <c r="Z1398" t="str">
        <f t="shared" si="307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08"/>
        <v>40179</v>
      </c>
      <c r="D1399" s="4">
        <f t="shared" si="309"/>
        <v>0.91506849315068495</v>
      </c>
      <c r="E1399" s="3">
        <f t="shared" si="310"/>
        <v>2010</v>
      </c>
      <c r="F1399" s="3">
        <f t="shared" si="311"/>
        <v>12</v>
      </c>
      <c r="G1399" s="3">
        <f t="shared" si="312"/>
        <v>1</v>
      </c>
      <c r="H1399" s="3">
        <f t="shared" si="313"/>
        <v>21</v>
      </c>
      <c r="I1399" s="3">
        <f t="shared" si="314"/>
        <v>49</v>
      </c>
      <c r="J1399" s="3">
        <f t="shared" si="315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16"/>
        <v>YES</v>
      </c>
      <c r="Q1399" t="str">
        <f t="shared" si="317"/>
        <v>NO</v>
      </c>
      <c r="R1399" t="str">
        <f t="shared" si="318"/>
        <v>NO</v>
      </c>
      <c r="T1399" t="s">
        <v>509</v>
      </c>
      <c r="U1399" t="str">
        <f t="shared" si="305"/>
        <v>Green St</v>
      </c>
      <c r="V1399" t="s">
        <v>27</v>
      </c>
      <c r="W1399" t="str">
        <f t="shared" si="306"/>
        <v>Western Ave</v>
      </c>
      <c r="X1399" t="str">
        <f>IF(ISBLANK(S1399),"Intersection","Non-Intersection")</f>
        <v>Intersection</v>
      </c>
      <c r="Y1399" t="s">
        <v>2311</v>
      </c>
      <c r="Z1399" t="str">
        <f t="shared" si="307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08"/>
        <v>40179</v>
      </c>
      <c r="D1400" s="4">
        <f t="shared" si="309"/>
        <v>0.91506849315068495</v>
      </c>
      <c r="E1400" s="3">
        <f t="shared" si="310"/>
        <v>2010</v>
      </c>
      <c r="F1400" s="3">
        <f t="shared" si="311"/>
        <v>12</v>
      </c>
      <c r="G1400" s="3">
        <f t="shared" si="312"/>
        <v>1</v>
      </c>
      <c r="H1400" s="3">
        <f t="shared" si="313"/>
        <v>12</v>
      </c>
      <c r="I1400" s="3">
        <f t="shared" si="314"/>
        <v>24</v>
      </c>
      <c r="J1400" s="3">
        <f t="shared" si="315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16"/>
        <v>YES</v>
      </c>
      <c r="Q1400" t="str">
        <f t="shared" si="317"/>
        <v>NO</v>
      </c>
      <c r="R1400" t="str">
        <f t="shared" si="318"/>
        <v>NO</v>
      </c>
      <c r="S1400">
        <v>36</v>
      </c>
      <c r="T1400" t="s">
        <v>141</v>
      </c>
      <c r="U1400" t="str">
        <f t="shared" si="305"/>
        <v>Standish St</v>
      </c>
      <c r="W1400" t="str">
        <f t="shared" si="306"/>
        <v/>
      </c>
      <c r="X1400" t="str">
        <f>IF(ISBLANK(S1400),"Intersection","Non-Intersection")</f>
        <v>Non-Intersection</v>
      </c>
      <c r="Y1400" t="s">
        <v>2313</v>
      </c>
      <c r="Z1400" t="str">
        <f t="shared" si="307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08"/>
        <v>40179</v>
      </c>
      <c r="D1401" s="4">
        <f t="shared" si="309"/>
        <v>0.9178082191780822</v>
      </c>
      <c r="E1401" s="3">
        <f t="shared" si="310"/>
        <v>2010</v>
      </c>
      <c r="F1401" s="3">
        <f t="shared" si="311"/>
        <v>12</v>
      </c>
      <c r="G1401" s="3">
        <f t="shared" si="312"/>
        <v>2</v>
      </c>
      <c r="H1401" s="3">
        <f t="shared" si="313"/>
        <v>8</v>
      </c>
      <c r="I1401" s="3">
        <f t="shared" si="314"/>
        <v>49</v>
      </c>
      <c r="J1401" s="3">
        <f t="shared" si="315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16"/>
        <v>YES</v>
      </c>
      <c r="Q1401" t="str">
        <f t="shared" si="317"/>
        <v>NO</v>
      </c>
      <c r="R1401" t="str">
        <f t="shared" si="318"/>
        <v>NO</v>
      </c>
      <c r="S1401">
        <v>22</v>
      </c>
      <c r="T1401" t="s">
        <v>185</v>
      </c>
      <c r="U1401" t="str">
        <f t="shared" si="305"/>
        <v>Garden St</v>
      </c>
      <c r="W1401" t="str">
        <f t="shared" si="306"/>
        <v/>
      </c>
      <c r="X1401" t="str">
        <f>IF(ISBLANK(S1401),"Intersection","Non-Intersection")</f>
        <v>Non-Intersection</v>
      </c>
      <c r="Y1401" t="s">
        <v>975</v>
      </c>
      <c r="Z1401" t="str">
        <f t="shared" si="307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08"/>
        <v>40179</v>
      </c>
      <c r="D1402" s="4">
        <f t="shared" si="309"/>
        <v>0.9178082191780822</v>
      </c>
      <c r="E1402" s="3">
        <f t="shared" si="310"/>
        <v>2010</v>
      </c>
      <c r="F1402" s="3">
        <f t="shared" si="311"/>
        <v>12</v>
      </c>
      <c r="G1402" s="3">
        <f t="shared" si="312"/>
        <v>2</v>
      </c>
      <c r="H1402" s="3">
        <f t="shared" si="313"/>
        <v>6</v>
      </c>
      <c r="I1402" s="3">
        <f t="shared" si="314"/>
        <v>59</v>
      </c>
      <c r="J1402" s="3">
        <f t="shared" si="315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16"/>
        <v>YES</v>
      </c>
      <c r="Q1402" t="str">
        <f t="shared" si="317"/>
        <v>NO</v>
      </c>
      <c r="R1402" t="str">
        <f t="shared" si="318"/>
        <v>NO</v>
      </c>
      <c r="S1402">
        <v>90</v>
      </c>
      <c r="T1402" t="s">
        <v>1152</v>
      </c>
      <c r="U1402" t="str">
        <f t="shared" si="305"/>
        <v>Hamilton St</v>
      </c>
      <c r="V1402" t="s">
        <v>453</v>
      </c>
      <c r="W1402" t="str">
        <f t="shared" si="306"/>
        <v>Brookline St</v>
      </c>
      <c r="X1402" t="str">
        <f>IF(ISBLANK(S1402),"Intersection","Non-Intersection")</f>
        <v>Non-Intersection</v>
      </c>
      <c r="Y1402" t="s">
        <v>2315</v>
      </c>
      <c r="Z1402" t="str">
        <f t="shared" si="307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08"/>
        <v>40179</v>
      </c>
      <c r="D1403" s="4">
        <f t="shared" si="309"/>
        <v>0.9178082191780822</v>
      </c>
      <c r="E1403" s="3">
        <f t="shared" si="310"/>
        <v>2010</v>
      </c>
      <c r="F1403" s="3">
        <f t="shared" si="311"/>
        <v>12</v>
      </c>
      <c r="G1403" s="3">
        <f t="shared" si="312"/>
        <v>2</v>
      </c>
      <c r="H1403" s="3">
        <f t="shared" si="313"/>
        <v>10</v>
      </c>
      <c r="I1403" s="3">
        <f t="shared" si="314"/>
        <v>44</v>
      </c>
      <c r="J1403" s="3">
        <f t="shared" si="315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16"/>
        <v>YES</v>
      </c>
      <c r="Q1403" t="str">
        <f t="shared" si="317"/>
        <v>NO</v>
      </c>
      <c r="R1403" t="str">
        <f t="shared" si="318"/>
        <v>NO</v>
      </c>
      <c r="S1403">
        <v>581</v>
      </c>
      <c r="T1403" t="s">
        <v>198</v>
      </c>
      <c r="U1403" t="str">
        <f t="shared" si="305"/>
        <v>Mount Auburn St</v>
      </c>
      <c r="W1403" t="str">
        <f t="shared" si="306"/>
        <v/>
      </c>
      <c r="X1403" t="str">
        <f>IF(ISBLANK(S1403),"Intersection","Non-Intersection")</f>
        <v>Non-Intersection</v>
      </c>
      <c r="Y1403" t="s">
        <v>2317</v>
      </c>
      <c r="Z1403" t="str">
        <f t="shared" si="307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08"/>
        <v>40179</v>
      </c>
      <c r="D1404" s="4">
        <f t="shared" si="309"/>
        <v>0.9178082191780822</v>
      </c>
      <c r="E1404" s="3">
        <f t="shared" si="310"/>
        <v>2010</v>
      </c>
      <c r="F1404" s="3">
        <f t="shared" si="311"/>
        <v>12</v>
      </c>
      <c r="G1404" s="3">
        <f t="shared" si="312"/>
        <v>2</v>
      </c>
      <c r="H1404" s="3">
        <f t="shared" si="313"/>
        <v>19</v>
      </c>
      <c r="I1404" s="3">
        <f t="shared" si="314"/>
        <v>30</v>
      </c>
      <c r="J1404" s="3">
        <f t="shared" si="315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16"/>
        <v>YES</v>
      </c>
      <c r="Q1404" t="str">
        <f t="shared" si="317"/>
        <v>NO</v>
      </c>
      <c r="R1404" t="str">
        <f t="shared" si="318"/>
        <v>NO</v>
      </c>
      <c r="T1404" t="s">
        <v>316</v>
      </c>
      <c r="U1404" t="str">
        <f t="shared" si="305"/>
        <v>Bishop Allen Dr</v>
      </c>
      <c r="V1404" t="s">
        <v>745</v>
      </c>
      <c r="W1404" t="str">
        <f t="shared" si="306"/>
        <v>Norfolk St</v>
      </c>
      <c r="X1404" t="str">
        <f>IF(ISBLANK(S1404),"Intersection","Non-Intersection")</f>
        <v>Intersection</v>
      </c>
      <c r="Y1404" t="s">
        <v>1891</v>
      </c>
      <c r="Z1404" t="str">
        <f t="shared" si="307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08"/>
        <v>40179</v>
      </c>
      <c r="D1405" s="4">
        <f t="shared" si="309"/>
        <v>0.92054794520547945</v>
      </c>
      <c r="E1405" s="3">
        <f t="shared" si="310"/>
        <v>2010</v>
      </c>
      <c r="F1405" s="3">
        <f t="shared" si="311"/>
        <v>12</v>
      </c>
      <c r="G1405" s="3">
        <f t="shared" si="312"/>
        <v>3</v>
      </c>
      <c r="H1405" s="3">
        <f t="shared" si="313"/>
        <v>8</v>
      </c>
      <c r="I1405" s="3">
        <f t="shared" si="314"/>
        <v>29</v>
      </c>
      <c r="J1405" s="3">
        <f t="shared" si="315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16"/>
        <v>YES</v>
      </c>
      <c r="Q1405" t="str">
        <f t="shared" si="317"/>
        <v>NO</v>
      </c>
      <c r="R1405" t="str">
        <f t="shared" si="318"/>
        <v>NO</v>
      </c>
      <c r="S1405">
        <v>16</v>
      </c>
      <c r="T1405" t="s">
        <v>185</v>
      </c>
      <c r="U1405" t="str">
        <f t="shared" si="305"/>
        <v>Garden St</v>
      </c>
      <c r="W1405" t="str">
        <f t="shared" si="306"/>
        <v/>
      </c>
      <c r="X1405" t="str">
        <f>IF(ISBLANK(S1405),"Intersection","Non-Intersection")</f>
        <v>Non-Intersection</v>
      </c>
      <c r="Y1405" t="s">
        <v>882</v>
      </c>
      <c r="Z1405" t="str">
        <f t="shared" si="307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08"/>
        <v>40179</v>
      </c>
      <c r="D1406" s="4">
        <f t="shared" si="309"/>
        <v>0.92054794520547945</v>
      </c>
      <c r="E1406" s="3">
        <f t="shared" si="310"/>
        <v>2010</v>
      </c>
      <c r="F1406" s="3">
        <f t="shared" si="311"/>
        <v>12</v>
      </c>
      <c r="G1406" s="3">
        <f t="shared" si="312"/>
        <v>3</v>
      </c>
      <c r="H1406" s="3">
        <f t="shared" si="313"/>
        <v>9</v>
      </c>
      <c r="I1406" s="3">
        <f t="shared" si="314"/>
        <v>14</v>
      </c>
      <c r="J1406" s="3">
        <f t="shared" si="315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16"/>
        <v>YES</v>
      </c>
      <c r="Q1406" t="str">
        <f t="shared" si="317"/>
        <v>NO</v>
      </c>
      <c r="R1406" t="str">
        <f t="shared" si="318"/>
        <v>NO</v>
      </c>
      <c r="T1406" t="s">
        <v>14</v>
      </c>
      <c r="U1406" t="str">
        <f t="shared" si="305"/>
        <v>Massachusetts Ave</v>
      </c>
      <c r="V1406" t="s">
        <v>185</v>
      </c>
      <c r="W1406" t="str">
        <f t="shared" si="306"/>
        <v>Garden St</v>
      </c>
      <c r="X1406" t="str">
        <f>IF(ISBLANK(S1406),"Intersection","Non-Intersection")</f>
        <v>Intersection</v>
      </c>
      <c r="Y1406" t="s">
        <v>1247</v>
      </c>
      <c r="Z1406" t="str">
        <f t="shared" si="307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08"/>
        <v>40179</v>
      </c>
      <c r="D1407" s="4">
        <f t="shared" si="309"/>
        <v>0.92054794520547945</v>
      </c>
      <c r="E1407" s="3">
        <f t="shared" si="310"/>
        <v>2010</v>
      </c>
      <c r="F1407" s="3">
        <f t="shared" si="311"/>
        <v>12</v>
      </c>
      <c r="G1407" s="3">
        <f t="shared" si="312"/>
        <v>3</v>
      </c>
      <c r="H1407" s="3">
        <f t="shared" si="313"/>
        <v>11</v>
      </c>
      <c r="I1407" s="3">
        <f t="shared" si="314"/>
        <v>15</v>
      </c>
      <c r="J1407" s="3">
        <f t="shared" si="315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16"/>
        <v>YES</v>
      </c>
      <c r="Q1407" t="str">
        <f t="shared" si="317"/>
        <v>NO</v>
      </c>
      <c r="R1407" t="str">
        <f t="shared" si="318"/>
        <v>NO</v>
      </c>
      <c r="S1407">
        <v>101</v>
      </c>
      <c r="T1407" t="s">
        <v>27</v>
      </c>
      <c r="U1407" t="str">
        <f t="shared" si="305"/>
        <v>Western Ave</v>
      </c>
      <c r="W1407" t="str">
        <f t="shared" si="306"/>
        <v/>
      </c>
      <c r="X1407" t="str">
        <f>IF(ISBLANK(S1407),"Intersection","Non-Intersection")</f>
        <v>Non-Intersection</v>
      </c>
      <c r="Y1407" t="s">
        <v>1603</v>
      </c>
      <c r="Z1407" t="str">
        <f t="shared" si="307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08"/>
        <v>40179</v>
      </c>
      <c r="D1408" s="4">
        <f t="shared" si="309"/>
        <v>0.92054794520547945</v>
      </c>
      <c r="E1408" s="3">
        <f t="shared" si="310"/>
        <v>2010</v>
      </c>
      <c r="F1408" s="3">
        <f t="shared" si="311"/>
        <v>12</v>
      </c>
      <c r="G1408" s="3">
        <f t="shared" si="312"/>
        <v>3</v>
      </c>
      <c r="H1408" s="3">
        <f t="shared" si="313"/>
        <v>19</v>
      </c>
      <c r="I1408" s="3">
        <f t="shared" si="314"/>
        <v>12</v>
      </c>
      <c r="J1408" s="3">
        <f t="shared" si="315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16"/>
        <v>YES</v>
      </c>
      <c r="Q1408" t="str">
        <f t="shared" si="317"/>
        <v>NO</v>
      </c>
      <c r="R1408" t="str">
        <f t="shared" si="318"/>
        <v>NO</v>
      </c>
      <c r="T1408" t="s">
        <v>105</v>
      </c>
      <c r="U1408" t="str">
        <f t="shared" si="305"/>
        <v>Broadway</v>
      </c>
      <c r="V1408" t="s">
        <v>2319</v>
      </c>
      <c r="W1408" t="str">
        <f t="shared" si="306"/>
        <v>Moore St</v>
      </c>
      <c r="X1408" t="str">
        <f>IF(ISBLANK(S1408),"Intersection","Non-Intersection")</f>
        <v>Intersection</v>
      </c>
      <c r="Y1408" t="s">
        <v>2320</v>
      </c>
      <c r="Z1408" t="str">
        <f t="shared" si="307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19">EOMONTH(B1409,MONTH(B1409)*-1)+1</f>
        <v>40179</v>
      </c>
      <c r="D1409" s="4">
        <f t="shared" ref="D1409:D1468" si="320">YEARFRAC(C1409,B1409,1)</f>
        <v>0.92054794520547945</v>
      </c>
      <c r="E1409" s="3">
        <f t="shared" ref="E1409:E1468" si="321">YEAR(B1409)</f>
        <v>2010</v>
      </c>
      <c r="F1409" s="3">
        <f t="shared" ref="F1409:F1468" si="322">MONTH(B1409)</f>
        <v>12</v>
      </c>
      <c r="G1409" s="3">
        <f t="shared" ref="G1409:G1468" si="323">DAY(B1409)</f>
        <v>3</v>
      </c>
      <c r="H1409" s="3">
        <f t="shared" ref="H1409:H1468" si="324">HOUR(B1409)</f>
        <v>19</v>
      </c>
      <c r="I1409" s="3">
        <f t="shared" ref="I1409:I1468" si="325">MINUTE(B1409)</f>
        <v>38</v>
      </c>
      <c r="J1409" s="3">
        <f t="shared" ref="J1409:J1468" si="326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27">IF(OR(N1409="Auto",O1409="Auto"),"YES",IF(OR(N1409="Taxi",O1409="Taxi"),"YES",IF(OR(N1409="Van",O1409="Van"),"YES",IF(OR(N1409="Truck",O1409="Truck"),"YES","NO"))))</f>
        <v>YES</v>
      </c>
      <c r="Q1409" t="str">
        <f t="shared" ref="Q1409:Q1468" si="328">IF(OR(N1409="Bicycle",O1409="Bicycle"),"YES","NO")</f>
        <v>NO</v>
      </c>
      <c r="R1409" t="str">
        <f t="shared" ref="R1409:R1468" si="329">IF(OR(N1409="Pedestrian",O1409="Pedestrian"),"YES","NO")</f>
        <v>NO</v>
      </c>
      <c r="T1409" t="s">
        <v>198</v>
      </c>
      <c r="U1409" t="str">
        <f t="shared" si="305"/>
        <v>Mount Auburn St</v>
      </c>
      <c r="V1409" t="s">
        <v>199</v>
      </c>
      <c r="W1409" t="str">
        <f t="shared" si="306"/>
        <v>Brattle St</v>
      </c>
      <c r="X1409" t="str">
        <f>IF(ISBLANK(S1409),"Intersection","Non-Intersection")</f>
        <v>Intersection</v>
      </c>
      <c r="Y1409" t="s">
        <v>767</v>
      </c>
      <c r="Z1409" t="str">
        <f t="shared" si="307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19"/>
        <v>40179</v>
      </c>
      <c r="D1410" s="4">
        <f t="shared" si="320"/>
        <v>0.92054794520547945</v>
      </c>
      <c r="E1410" s="3">
        <f t="shared" si="321"/>
        <v>2010</v>
      </c>
      <c r="F1410" s="3">
        <f t="shared" si="322"/>
        <v>12</v>
      </c>
      <c r="G1410" s="3">
        <f t="shared" si="323"/>
        <v>3</v>
      </c>
      <c r="H1410" s="3">
        <f t="shared" si="324"/>
        <v>22</v>
      </c>
      <c r="I1410" s="3">
        <f t="shared" si="325"/>
        <v>50</v>
      </c>
      <c r="J1410" s="3">
        <f t="shared" si="326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27"/>
        <v>YES</v>
      </c>
      <c r="Q1410" t="str">
        <f t="shared" si="328"/>
        <v>NO</v>
      </c>
      <c r="R1410" t="str">
        <f t="shared" si="329"/>
        <v>NO</v>
      </c>
      <c r="T1410" t="s">
        <v>178</v>
      </c>
      <c r="U1410" t="str">
        <f t="shared" si="305"/>
        <v>Pleasant St</v>
      </c>
      <c r="V1410" t="s">
        <v>332</v>
      </c>
      <c r="W1410" t="str">
        <f t="shared" si="306"/>
        <v>Allston St</v>
      </c>
      <c r="X1410" t="str">
        <f>IF(ISBLANK(S1410),"Intersection","Non-Intersection")</f>
        <v>Intersection</v>
      </c>
      <c r="Y1410" t="s">
        <v>1542</v>
      </c>
      <c r="Z1410" t="str">
        <f t="shared" si="307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19"/>
        <v>40179</v>
      </c>
      <c r="D1411" s="4">
        <f t="shared" si="320"/>
        <v>0.92054794520547945</v>
      </c>
      <c r="E1411" s="3">
        <f t="shared" si="321"/>
        <v>2010</v>
      </c>
      <c r="F1411" s="3">
        <f t="shared" si="322"/>
        <v>12</v>
      </c>
      <c r="G1411" s="3">
        <f t="shared" si="323"/>
        <v>3</v>
      </c>
      <c r="H1411" s="3">
        <f t="shared" si="324"/>
        <v>8</v>
      </c>
      <c r="I1411" s="3">
        <f t="shared" si="325"/>
        <v>0</v>
      </c>
      <c r="J1411" s="3">
        <f t="shared" si="326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27"/>
        <v>YES</v>
      </c>
      <c r="Q1411" t="str">
        <f t="shared" si="328"/>
        <v>NO</v>
      </c>
      <c r="R1411" t="str">
        <f t="shared" si="329"/>
        <v>NO</v>
      </c>
      <c r="S1411">
        <v>55</v>
      </c>
      <c r="T1411" t="s">
        <v>2322</v>
      </c>
      <c r="U1411" t="str">
        <f t="shared" ref="U1411:U1474" si="330">TRIM(PROPER(T1411))</f>
        <v>Brewster St</v>
      </c>
      <c r="W1411" t="str">
        <f t="shared" ref="W1411:W1474" si="331">TRIM(PROPER(V1411))</f>
        <v/>
      </c>
      <c r="X1411" t="str">
        <f>IF(ISBLANK(S1411),"Intersection","Non-Intersection")</f>
        <v>Non-Intersection</v>
      </c>
      <c r="Y1411" t="s">
        <v>2323</v>
      </c>
      <c r="Z1411" t="str">
        <f t="shared" ref="Z1411:Z1474" si="332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19"/>
        <v>40179</v>
      </c>
      <c r="D1412" s="4">
        <f t="shared" si="320"/>
        <v>0.92328767123287669</v>
      </c>
      <c r="E1412" s="3">
        <f t="shared" si="321"/>
        <v>2010</v>
      </c>
      <c r="F1412" s="3">
        <f t="shared" si="322"/>
        <v>12</v>
      </c>
      <c r="G1412" s="3">
        <f t="shared" si="323"/>
        <v>4</v>
      </c>
      <c r="H1412" s="3">
        <f t="shared" si="324"/>
        <v>2</v>
      </c>
      <c r="I1412" s="3">
        <f t="shared" si="325"/>
        <v>36</v>
      </c>
      <c r="J1412" s="3">
        <f t="shared" si="326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27"/>
        <v>YES</v>
      </c>
      <c r="Q1412" t="str">
        <f t="shared" si="328"/>
        <v>NO</v>
      </c>
      <c r="R1412" t="str">
        <f t="shared" si="329"/>
        <v>NO</v>
      </c>
      <c r="S1412">
        <v>25</v>
      </c>
      <c r="T1412" t="s">
        <v>2325</v>
      </c>
      <c r="U1412" t="str">
        <f t="shared" si="330"/>
        <v>Marcella St</v>
      </c>
      <c r="W1412" t="str">
        <f t="shared" si="331"/>
        <v/>
      </c>
      <c r="X1412" t="str">
        <f>IF(ISBLANK(S1412),"Intersection","Non-Intersection")</f>
        <v>Non-Intersection</v>
      </c>
      <c r="Y1412" t="s">
        <v>2326</v>
      </c>
      <c r="Z1412" t="str">
        <f t="shared" si="332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19"/>
        <v>40179</v>
      </c>
      <c r="D1413" s="4">
        <f t="shared" si="320"/>
        <v>0.92328767123287669</v>
      </c>
      <c r="E1413" s="3">
        <f t="shared" si="321"/>
        <v>2010</v>
      </c>
      <c r="F1413" s="3">
        <f t="shared" si="322"/>
        <v>12</v>
      </c>
      <c r="G1413" s="3">
        <f t="shared" si="323"/>
        <v>4</v>
      </c>
      <c r="H1413" s="3">
        <f t="shared" si="324"/>
        <v>13</v>
      </c>
      <c r="I1413" s="3">
        <f t="shared" si="325"/>
        <v>54</v>
      </c>
      <c r="J1413" s="3">
        <f t="shared" si="326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27"/>
        <v>YES</v>
      </c>
      <c r="Q1413" t="str">
        <f t="shared" si="328"/>
        <v>NO</v>
      </c>
      <c r="R1413" t="str">
        <f t="shared" si="329"/>
        <v>NO</v>
      </c>
      <c r="T1413" t="s">
        <v>50</v>
      </c>
      <c r="U1413" t="str">
        <f t="shared" si="330"/>
        <v>Belmont St</v>
      </c>
      <c r="V1413" t="s">
        <v>899</v>
      </c>
      <c r="W1413" t="str">
        <f t="shared" si="331"/>
        <v>Cushing St</v>
      </c>
      <c r="X1413" t="str">
        <f>IF(ISBLANK(S1413),"Intersection","Non-Intersection")</f>
        <v>Intersection</v>
      </c>
      <c r="Y1413" t="s">
        <v>900</v>
      </c>
      <c r="Z1413" t="str">
        <f t="shared" si="332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19"/>
        <v>40179</v>
      </c>
      <c r="D1414" s="4">
        <f t="shared" si="320"/>
        <v>0.92328767123287669</v>
      </c>
      <c r="E1414" s="3">
        <f t="shared" si="321"/>
        <v>2010</v>
      </c>
      <c r="F1414" s="3">
        <f t="shared" si="322"/>
        <v>12</v>
      </c>
      <c r="G1414" s="3">
        <f t="shared" si="323"/>
        <v>4</v>
      </c>
      <c r="H1414" s="3">
        <f t="shared" si="324"/>
        <v>14</v>
      </c>
      <c r="I1414" s="3">
        <f t="shared" si="325"/>
        <v>0</v>
      </c>
      <c r="J1414" s="3">
        <f t="shared" si="326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27"/>
        <v>YES</v>
      </c>
      <c r="Q1414" t="str">
        <f t="shared" si="328"/>
        <v>NO</v>
      </c>
      <c r="R1414" t="str">
        <f t="shared" si="329"/>
        <v>NO</v>
      </c>
      <c r="S1414">
        <v>60</v>
      </c>
      <c r="T1414" t="s">
        <v>166</v>
      </c>
      <c r="U1414" t="str">
        <f t="shared" si="330"/>
        <v>Oxford Ave</v>
      </c>
      <c r="W1414" t="str">
        <f t="shared" si="331"/>
        <v/>
      </c>
      <c r="X1414" t="str">
        <f>IF(ISBLANK(S1414),"Intersection","Non-Intersection")</f>
        <v>Non-Intersection</v>
      </c>
      <c r="Y1414" t="s">
        <v>2328</v>
      </c>
      <c r="Z1414" t="str">
        <f t="shared" si="332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19"/>
        <v>40179</v>
      </c>
      <c r="D1415" s="4">
        <f t="shared" si="320"/>
        <v>0.92328767123287669</v>
      </c>
      <c r="E1415" s="3">
        <f t="shared" si="321"/>
        <v>2010</v>
      </c>
      <c r="F1415" s="3">
        <f t="shared" si="322"/>
        <v>12</v>
      </c>
      <c r="G1415" s="3">
        <f t="shared" si="323"/>
        <v>4</v>
      </c>
      <c r="H1415" s="3">
        <f t="shared" si="324"/>
        <v>18</v>
      </c>
      <c r="I1415" s="3">
        <f t="shared" si="325"/>
        <v>0</v>
      </c>
      <c r="J1415" s="3">
        <f t="shared" si="326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27"/>
        <v>NO</v>
      </c>
      <c r="Q1415" t="str">
        <f t="shared" si="328"/>
        <v>YES</v>
      </c>
      <c r="R1415" t="str">
        <f t="shared" si="329"/>
        <v>YES</v>
      </c>
      <c r="T1415" t="s">
        <v>14</v>
      </c>
      <c r="U1415" t="str">
        <f t="shared" si="330"/>
        <v>Massachusetts Ave</v>
      </c>
      <c r="V1415" t="s">
        <v>1088</v>
      </c>
      <c r="W1415" t="str">
        <f t="shared" si="331"/>
        <v>Temple St</v>
      </c>
      <c r="X1415" t="str">
        <f>IF(ISBLANK(S1415),"Intersection","Non-Intersection")</f>
        <v>Intersection</v>
      </c>
      <c r="Y1415" t="s">
        <v>1089</v>
      </c>
      <c r="Z1415" t="str">
        <f t="shared" si="332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19"/>
        <v>40179</v>
      </c>
      <c r="D1416" s="4">
        <f t="shared" si="320"/>
        <v>0.92328767123287669</v>
      </c>
      <c r="E1416" s="3">
        <f t="shared" si="321"/>
        <v>2010</v>
      </c>
      <c r="F1416" s="3">
        <f t="shared" si="322"/>
        <v>12</v>
      </c>
      <c r="G1416" s="3">
        <f t="shared" si="323"/>
        <v>4</v>
      </c>
      <c r="H1416" s="3">
        <f t="shared" si="324"/>
        <v>20</v>
      </c>
      <c r="I1416" s="3">
        <f t="shared" si="325"/>
        <v>13</v>
      </c>
      <c r="J1416" s="3">
        <f t="shared" si="326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27"/>
        <v>YES</v>
      </c>
      <c r="Q1416" t="str">
        <f t="shared" si="328"/>
        <v>NO</v>
      </c>
      <c r="R1416" t="str">
        <f t="shared" si="329"/>
        <v>NO</v>
      </c>
      <c r="S1416">
        <v>270</v>
      </c>
      <c r="T1416" t="s">
        <v>509</v>
      </c>
      <c r="U1416" t="str">
        <f t="shared" si="330"/>
        <v>Green St</v>
      </c>
      <c r="W1416" t="str">
        <f t="shared" si="331"/>
        <v/>
      </c>
      <c r="X1416" t="str">
        <f>IF(ISBLANK(S1416),"Intersection","Non-Intersection")</f>
        <v>Non-Intersection</v>
      </c>
      <c r="Y1416" t="s">
        <v>2330</v>
      </c>
      <c r="Z1416" t="str">
        <f t="shared" si="332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19"/>
        <v>40179</v>
      </c>
      <c r="D1417" s="4">
        <f t="shared" si="320"/>
        <v>0.92602739726027394</v>
      </c>
      <c r="E1417" s="3">
        <f t="shared" si="321"/>
        <v>2010</v>
      </c>
      <c r="F1417" s="3">
        <f t="shared" si="322"/>
        <v>12</v>
      </c>
      <c r="G1417" s="3">
        <f t="shared" si="323"/>
        <v>5</v>
      </c>
      <c r="H1417" s="3">
        <f t="shared" si="324"/>
        <v>19</v>
      </c>
      <c r="I1417" s="3">
        <f t="shared" si="325"/>
        <v>37</v>
      </c>
      <c r="J1417" s="3">
        <f t="shared" si="326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27"/>
        <v>YES</v>
      </c>
      <c r="Q1417" t="str">
        <f t="shared" si="328"/>
        <v>NO</v>
      </c>
      <c r="R1417" t="str">
        <f t="shared" si="329"/>
        <v>NO</v>
      </c>
      <c r="T1417" t="s">
        <v>37</v>
      </c>
      <c r="U1417" t="str">
        <f t="shared" si="330"/>
        <v>Magazine St</v>
      </c>
      <c r="V1417" t="s">
        <v>312</v>
      </c>
      <c r="W1417" t="str">
        <f t="shared" si="331"/>
        <v>Auburn St</v>
      </c>
      <c r="X1417" t="str">
        <f>IF(ISBLANK(S1417),"Intersection","Non-Intersection")</f>
        <v>Intersection</v>
      </c>
      <c r="Y1417" t="s">
        <v>313</v>
      </c>
      <c r="Z1417" t="str">
        <f t="shared" si="332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19"/>
        <v>40179</v>
      </c>
      <c r="D1418" s="4">
        <f t="shared" si="320"/>
        <v>0.92602739726027394</v>
      </c>
      <c r="E1418" s="3">
        <f t="shared" si="321"/>
        <v>2010</v>
      </c>
      <c r="F1418" s="3">
        <f t="shared" si="322"/>
        <v>12</v>
      </c>
      <c r="G1418" s="3">
        <f t="shared" si="323"/>
        <v>5</v>
      </c>
      <c r="H1418" s="3">
        <f t="shared" si="324"/>
        <v>13</v>
      </c>
      <c r="I1418" s="3">
        <f t="shared" si="325"/>
        <v>31</v>
      </c>
      <c r="J1418" s="3">
        <f t="shared" si="326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27"/>
        <v>YES</v>
      </c>
      <c r="Q1418" t="str">
        <f t="shared" si="328"/>
        <v>YES</v>
      </c>
      <c r="R1418" t="str">
        <f t="shared" si="329"/>
        <v>NO</v>
      </c>
      <c r="S1418">
        <v>1672</v>
      </c>
      <c r="T1418" t="s">
        <v>14</v>
      </c>
      <c r="U1418" t="str">
        <f t="shared" si="330"/>
        <v>Massachusetts Ave</v>
      </c>
      <c r="V1418" t="s">
        <v>740</v>
      </c>
      <c r="W1418" t="str">
        <f t="shared" si="331"/>
        <v>Hudson St</v>
      </c>
      <c r="X1418" t="str">
        <f>IF(ISBLANK(S1418),"Intersection","Non-Intersection")</f>
        <v>Non-Intersection</v>
      </c>
      <c r="Y1418" t="s">
        <v>2332</v>
      </c>
      <c r="Z1418" t="str">
        <f t="shared" si="332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19"/>
        <v>40179</v>
      </c>
      <c r="D1419" s="4">
        <f t="shared" si="320"/>
        <v>0.92602739726027394</v>
      </c>
      <c r="E1419" s="3">
        <f t="shared" si="321"/>
        <v>2010</v>
      </c>
      <c r="F1419" s="3">
        <f t="shared" si="322"/>
        <v>12</v>
      </c>
      <c r="G1419" s="3">
        <f t="shared" si="323"/>
        <v>5</v>
      </c>
      <c r="H1419" s="3">
        <f t="shared" si="324"/>
        <v>15</v>
      </c>
      <c r="I1419" s="3">
        <f t="shared" si="325"/>
        <v>30</v>
      </c>
      <c r="J1419" s="3">
        <f t="shared" si="326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27"/>
        <v>YES</v>
      </c>
      <c r="Q1419" t="str">
        <f t="shared" si="328"/>
        <v>NO</v>
      </c>
      <c r="R1419" t="str">
        <f t="shared" si="329"/>
        <v>NO</v>
      </c>
      <c r="S1419">
        <v>799</v>
      </c>
      <c r="T1419" t="s">
        <v>186</v>
      </c>
      <c r="U1419" t="str">
        <f t="shared" si="330"/>
        <v>Concord Ave</v>
      </c>
      <c r="W1419" t="str">
        <f t="shared" si="331"/>
        <v/>
      </c>
      <c r="X1419" t="str">
        <f>IF(ISBLANK(S1419),"Intersection","Non-Intersection")</f>
        <v>Non-Intersection</v>
      </c>
      <c r="Y1419" t="s">
        <v>482</v>
      </c>
      <c r="Z1419" t="str">
        <f t="shared" si="332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19"/>
        <v>40179</v>
      </c>
      <c r="D1420" s="4">
        <f t="shared" si="320"/>
        <v>0.92876712328767119</v>
      </c>
      <c r="E1420" s="3">
        <f t="shared" si="321"/>
        <v>2010</v>
      </c>
      <c r="F1420" s="3">
        <f t="shared" si="322"/>
        <v>12</v>
      </c>
      <c r="G1420" s="3">
        <f t="shared" si="323"/>
        <v>6</v>
      </c>
      <c r="H1420" s="3">
        <f t="shared" si="324"/>
        <v>17</v>
      </c>
      <c r="I1420" s="3">
        <f t="shared" si="325"/>
        <v>19</v>
      </c>
      <c r="J1420" s="3">
        <f t="shared" si="326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27"/>
        <v>YES</v>
      </c>
      <c r="Q1420" t="str">
        <f t="shared" si="328"/>
        <v>YES</v>
      </c>
      <c r="R1420" t="str">
        <f t="shared" si="329"/>
        <v>NO</v>
      </c>
      <c r="T1420" t="s">
        <v>105</v>
      </c>
      <c r="U1420" t="str">
        <f t="shared" si="330"/>
        <v>Broadway</v>
      </c>
      <c r="V1420" t="s">
        <v>189</v>
      </c>
      <c r="W1420" t="str">
        <f t="shared" si="331"/>
        <v>Windsor St</v>
      </c>
      <c r="X1420" t="str">
        <f>IF(ISBLANK(S1420),"Intersection","Non-Intersection")</f>
        <v>Intersection</v>
      </c>
      <c r="Y1420" t="s">
        <v>477</v>
      </c>
      <c r="Z1420" t="str">
        <f t="shared" si="332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19"/>
        <v>40179</v>
      </c>
      <c r="D1421" s="4">
        <f t="shared" si="320"/>
        <v>0.92876712328767119</v>
      </c>
      <c r="E1421" s="3">
        <f t="shared" si="321"/>
        <v>2010</v>
      </c>
      <c r="F1421" s="3">
        <f t="shared" si="322"/>
        <v>12</v>
      </c>
      <c r="G1421" s="3">
        <f t="shared" si="323"/>
        <v>6</v>
      </c>
      <c r="H1421" s="3">
        <f t="shared" si="324"/>
        <v>15</v>
      </c>
      <c r="I1421" s="3">
        <f t="shared" si="325"/>
        <v>0</v>
      </c>
      <c r="J1421" s="3">
        <f t="shared" si="326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27"/>
        <v>YES</v>
      </c>
      <c r="Q1421" t="str">
        <f t="shared" si="328"/>
        <v>NO</v>
      </c>
      <c r="R1421" t="str">
        <f t="shared" si="329"/>
        <v>NO</v>
      </c>
      <c r="T1421" t="s">
        <v>1742</v>
      </c>
      <c r="U1421" t="str">
        <f t="shared" si="330"/>
        <v>Bow St</v>
      </c>
      <c r="V1421" t="s">
        <v>198</v>
      </c>
      <c r="W1421" t="str">
        <f t="shared" si="331"/>
        <v>Mount Auburn St</v>
      </c>
      <c r="X1421" t="str">
        <f>IF(ISBLANK(S1421),"Intersection","Non-Intersection")</f>
        <v>Intersection</v>
      </c>
      <c r="Y1421" t="s">
        <v>2334</v>
      </c>
      <c r="Z1421" t="str">
        <f t="shared" si="332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19"/>
        <v>40179</v>
      </c>
      <c r="D1422" s="4">
        <f t="shared" si="320"/>
        <v>0.93150684931506844</v>
      </c>
      <c r="E1422" s="3">
        <f t="shared" si="321"/>
        <v>2010</v>
      </c>
      <c r="F1422" s="3">
        <f t="shared" si="322"/>
        <v>12</v>
      </c>
      <c r="G1422" s="3">
        <f t="shared" si="323"/>
        <v>7</v>
      </c>
      <c r="H1422" s="3">
        <f t="shared" si="324"/>
        <v>9</v>
      </c>
      <c r="I1422" s="3">
        <f t="shared" si="325"/>
        <v>0</v>
      </c>
      <c r="J1422" s="3">
        <f t="shared" si="326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27"/>
        <v>YES</v>
      </c>
      <c r="Q1422" t="str">
        <f t="shared" si="328"/>
        <v>YES</v>
      </c>
      <c r="R1422" t="str">
        <f t="shared" si="329"/>
        <v>NO</v>
      </c>
      <c r="T1422" t="s">
        <v>186</v>
      </c>
      <c r="U1422" t="str">
        <f t="shared" si="330"/>
        <v>Concord Ave</v>
      </c>
      <c r="V1422" t="s">
        <v>1132</v>
      </c>
      <c r="W1422" t="str">
        <f t="shared" si="331"/>
        <v>Moulton St</v>
      </c>
      <c r="X1422" t="str">
        <f>IF(ISBLANK(S1422),"Intersection","Non-Intersection")</f>
        <v>Intersection</v>
      </c>
      <c r="Y1422" t="s">
        <v>1133</v>
      </c>
      <c r="Z1422" t="str">
        <f t="shared" si="332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19"/>
        <v>40179</v>
      </c>
      <c r="D1423" s="4">
        <f t="shared" si="320"/>
        <v>0.93150684931506844</v>
      </c>
      <c r="E1423" s="3">
        <f t="shared" si="321"/>
        <v>2010</v>
      </c>
      <c r="F1423" s="3">
        <f t="shared" si="322"/>
        <v>12</v>
      </c>
      <c r="G1423" s="3">
        <f t="shared" si="323"/>
        <v>7</v>
      </c>
      <c r="H1423" s="3">
        <f t="shared" si="324"/>
        <v>14</v>
      </c>
      <c r="I1423" s="3">
        <f t="shared" si="325"/>
        <v>0</v>
      </c>
      <c r="J1423" s="3">
        <f t="shared" si="326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27"/>
        <v>YES</v>
      </c>
      <c r="Q1423" t="str">
        <f t="shared" si="328"/>
        <v>YES</v>
      </c>
      <c r="R1423" t="str">
        <f t="shared" si="329"/>
        <v>NO</v>
      </c>
      <c r="T1423" t="s">
        <v>105</v>
      </c>
      <c r="U1423" t="str">
        <f t="shared" si="330"/>
        <v>Broadway</v>
      </c>
      <c r="V1423" t="s">
        <v>104</v>
      </c>
      <c r="W1423" t="str">
        <f t="shared" si="331"/>
        <v>Inman St</v>
      </c>
      <c r="X1423" t="str">
        <f>IF(ISBLANK(S1423),"Intersection","Non-Intersection")</f>
        <v>Intersection</v>
      </c>
      <c r="Y1423" t="s">
        <v>2336</v>
      </c>
      <c r="Z1423" t="str">
        <f t="shared" si="332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19"/>
        <v>40179</v>
      </c>
      <c r="D1424" s="4">
        <f t="shared" si="320"/>
        <v>0.93150684931506844</v>
      </c>
      <c r="E1424" s="3">
        <f t="shared" si="321"/>
        <v>2010</v>
      </c>
      <c r="F1424" s="3">
        <f t="shared" si="322"/>
        <v>12</v>
      </c>
      <c r="G1424" s="3">
        <f t="shared" si="323"/>
        <v>7</v>
      </c>
      <c r="H1424" s="3">
        <f t="shared" si="324"/>
        <v>15</v>
      </c>
      <c r="I1424" s="3">
        <f t="shared" si="325"/>
        <v>55</v>
      </c>
      <c r="J1424" s="3">
        <f t="shared" si="326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27"/>
        <v>YES</v>
      </c>
      <c r="Q1424" t="str">
        <f t="shared" si="328"/>
        <v>NO</v>
      </c>
      <c r="R1424" t="str">
        <f t="shared" si="329"/>
        <v>NO</v>
      </c>
      <c r="T1424" t="s">
        <v>199</v>
      </c>
      <c r="U1424" t="str">
        <f t="shared" si="330"/>
        <v>Brattle St</v>
      </c>
      <c r="V1424" t="s">
        <v>791</v>
      </c>
      <c r="W1424" t="str">
        <f t="shared" si="331"/>
        <v>Palmer St</v>
      </c>
      <c r="X1424" t="str">
        <f>IF(ISBLANK(S1424),"Intersection","Non-Intersection")</f>
        <v>Intersection</v>
      </c>
      <c r="Y1424" t="s">
        <v>792</v>
      </c>
      <c r="Z1424" t="str">
        <f t="shared" si="332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19"/>
        <v>40179</v>
      </c>
      <c r="D1425" s="4">
        <f t="shared" si="320"/>
        <v>0.93150684931506844</v>
      </c>
      <c r="E1425" s="3">
        <f t="shared" si="321"/>
        <v>2010</v>
      </c>
      <c r="F1425" s="3">
        <f t="shared" si="322"/>
        <v>12</v>
      </c>
      <c r="G1425" s="3">
        <f t="shared" si="323"/>
        <v>7</v>
      </c>
      <c r="H1425" s="3">
        <f t="shared" si="324"/>
        <v>17</v>
      </c>
      <c r="I1425" s="3">
        <f t="shared" si="325"/>
        <v>35</v>
      </c>
      <c r="J1425" s="3">
        <f t="shared" si="326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27"/>
        <v>YES</v>
      </c>
      <c r="Q1425" t="str">
        <f t="shared" si="328"/>
        <v>NO</v>
      </c>
      <c r="R1425" t="str">
        <f t="shared" si="329"/>
        <v>YES</v>
      </c>
      <c r="T1425" t="s">
        <v>14</v>
      </c>
      <c r="U1425" t="str">
        <f t="shared" si="330"/>
        <v>Massachusetts Ave</v>
      </c>
      <c r="V1425" t="s">
        <v>70</v>
      </c>
      <c r="W1425" t="str">
        <f t="shared" si="331"/>
        <v>Pearl St</v>
      </c>
      <c r="X1425" t="str">
        <f>IF(ISBLANK(S1425),"Intersection","Non-Intersection")</f>
        <v>Intersection</v>
      </c>
      <c r="Y1425" t="s">
        <v>855</v>
      </c>
      <c r="Z1425" t="str">
        <f t="shared" si="332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19"/>
        <v>40179</v>
      </c>
      <c r="D1426" s="4">
        <f t="shared" si="320"/>
        <v>0.93150684931506844</v>
      </c>
      <c r="E1426" s="3">
        <f t="shared" si="321"/>
        <v>2010</v>
      </c>
      <c r="F1426" s="3">
        <f t="shared" si="322"/>
        <v>12</v>
      </c>
      <c r="G1426" s="3">
        <f t="shared" si="323"/>
        <v>7</v>
      </c>
      <c r="H1426" s="3">
        <f t="shared" si="324"/>
        <v>9</v>
      </c>
      <c r="I1426" s="3">
        <f t="shared" si="325"/>
        <v>42</v>
      </c>
      <c r="J1426" s="3">
        <f t="shared" si="326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27"/>
        <v>YES</v>
      </c>
      <c r="Q1426" t="str">
        <f t="shared" si="328"/>
        <v>NO</v>
      </c>
      <c r="R1426" t="str">
        <f t="shared" si="329"/>
        <v>YES</v>
      </c>
      <c r="S1426">
        <v>225</v>
      </c>
      <c r="T1426" t="s">
        <v>74</v>
      </c>
      <c r="U1426" t="str">
        <f t="shared" si="330"/>
        <v>Hampshire St</v>
      </c>
      <c r="V1426" t="s">
        <v>19</v>
      </c>
      <c r="W1426" t="str">
        <f t="shared" si="331"/>
        <v>Cambridge St</v>
      </c>
      <c r="X1426" t="str">
        <f>IF(ISBLANK(S1426),"Intersection","Non-Intersection")</f>
        <v>Non-Intersection</v>
      </c>
      <c r="Y1426" t="s">
        <v>2338</v>
      </c>
      <c r="Z1426" t="str">
        <f t="shared" si="332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19"/>
        <v>40179</v>
      </c>
      <c r="D1427" s="4">
        <f t="shared" si="320"/>
        <v>0.93150684931506844</v>
      </c>
      <c r="E1427" s="3">
        <f t="shared" si="321"/>
        <v>2010</v>
      </c>
      <c r="F1427" s="3">
        <f t="shared" si="322"/>
        <v>12</v>
      </c>
      <c r="G1427" s="3">
        <f t="shared" si="323"/>
        <v>7</v>
      </c>
      <c r="H1427" s="3">
        <f t="shared" si="324"/>
        <v>9</v>
      </c>
      <c r="I1427" s="3">
        <f t="shared" si="325"/>
        <v>30</v>
      </c>
      <c r="J1427" s="3">
        <f t="shared" si="326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27"/>
        <v>YES</v>
      </c>
      <c r="Q1427" t="str">
        <f t="shared" si="328"/>
        <v>NO</v>
      </c>
      <c r="R1427" t="str">
        <f t="shared" si="329"/>
        <v>NO</v>
      </c>
      <c r="S1427">
        <v>125</v>
      </c>
      <c r="T1427" t="s">
        <v>198</v>
      </c>
      <c r="U1427" t="str">
        <f t="shared" si="330"/>
        <v>Mount Auburn St</v>
      </c>
      <c r="W1427" t="str">
        <f t="shared" si="331"/>
        <v/>
      </c>
      <c r="X1427" t="str">
        <f>IF(ISBLANK(S1427),"Intersection","Non-Intersection")</f>
        <v>Non-Intersection</v>
      </c>
      <c r="Y1427" t="s">
        <v>2340</v>
      </c>
      <c r="Z1427" t="str">
        <f t="shared" si="332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19"/>
        <v>40179</v>
      </c>
      <c r="D1428" s="4">
        <f t="shared" si="320"/>
        <v>0.93150684931506844</v>
      </c>
      <c r="E1428" s="3">
        <f t="shared" si="321"/>
        <v>2010</v>
      </c>
      <c r="F1428" s="3">
        <f t="shared" si="322"/>
        <v>12</v>
      </c>
      <c r="G1428" s="3">
        <f t="shared" si="323"/>
        <v>7</v>
      </c>
      <c r="H1428" s="3">
        <f t="shared" si="324"/>
        <v>9</v>
      </c>
      <c r="I1428" s="3">
        <f t="shared" si="325"/>
        <v>45</v>
      </c>
      <c r="J1428" s="3">
        <f t="shared" si="326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27"/>
        <v>YES</v>
      </c>
      <c r="Q1428" t="str">
        <f t="shared" si="328"/>
        <v>NO</v>
      </c>
      <c r="R1428" t="str">
        <f t="shared" si="329"/>
        <v>NO</v>
      </c>
      <c r="T1428" t="s">
        <v>325</v>
      </c>
      <c r="U1428" t="str">
        <f t="shared" si="330"/>
        <v>Eliot St</v>
      </c>
      <c r="V1428" t="s">
        <v>162</v>
      </c>
      <c r="W1428" t="str">
        <f t="shared" si="331"/>
        <v>Bennett St</v>
      </c>
      <c r="X1428" t="str">
        <f>IF(ISBLANK(S1428),"Intersection","Non-Intersection")</f>
        <v>Intersection</v>
      </c>
      <c r="Y1428" t="s">
        <v>1229</v>
      </c>
      <c r="Z1428" t="str">
        <f t="shared" si="332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19"/>
        <v>40179</v>
      </c>
      <c r="D1429" s="4">
        <f t="shared" si="320"/>
        <v>0.93150684931506844</v>
      </c>
      <c r="E1429" s="3">
        <f t="shared" si="321"/>
        <v>2010</v>
      </c>
      <c r="F1429" s="3">
        <f t="shared" si="322"/>
        <v>12</v>
      </c>
      <c r="G1429" s="3">
        <f t="shared" si="323"/>
        <v>7</v>
      </c>
      <c r="H1429" s="3">
        <f t="shared" si="324"/>
        <v>9</v>
      </c>
      <c r="I1429" s="3">
        <f t="shared" si="325"/>
        <v>50</v>
      </c>
      <c r="J1429" s="3">
        <f t="shared" si="326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27"/>
        <v>YES</v>
      </c>
      <c r="Q1429" t="str">
        <f t="shared" si="328"/>
        <v>NO</v>
      </c>
      <c r="R1429" t="str">
        <f t="shared" si="329"/>
        <v>NO</v>
      </c>
      <c r="T1429" t="s">
        <v>198</v>
      </c>
      <c r="U1429" t="str">
        <f t="shared" si="330"/>
        <v>Mount Auburn St</v>
      </c>
      <c r="V1429" t="s">
        <v>935</v>
      </c>
      <c r="W1429" t="str">
        <f t="shared" si="331"/>
        <v>Hawthorne St</v>
      </c>
      <c r="X1429" t="str">
        <f>IF(ISBLANK(S1429),"Intersection","Non-Intersection")</f>
        <v>Intersection</v>
      </c>
      <c r="Y1429" t="s">
        <v>1887</v>
      </c>
      <c r="Z1429" t="str">
        <f t="shared" si="332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19"/>
        <v>40179</v>
      </c>
      <c r="D1430" s="4">
        <f t="shared" si="320"/>
        <v>0.93150684931506844</v>
      </c>
      <c r="E1430" s="3">
        <f t="shared" si="321"/>
        <v>2010</v>
      </c>
      <c r="F1430" s="3">
        <f t="shared" si="322"/>
        <v>12</v>
      </c>
      <c r="G1430" s="3">
        <f t="shared" si="323"/>
        <v>7</v>
      </c>
      <c r="H1430" s="3">
        <f t="shared" si="324"/>
        <v>11</v>
      </c>
      <c r="I1430" s="3">
        <f t="shared" si="325"/>
        <v>10</v>
      </c>
      <c r="J1430" s="3">
        <f t="shared" si="326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27"/>
        <v>YES</v>
      </c>
      <c r="Q1430" t="str">
        <f t="shared" si="328"/>
        <v>NO</v>
      </c>
      <c r="R1430" t="str">
        <f t="shared" si="329"/>
        <v>NO</v>
      </c>
      <c r="S1430">
        <v>725</v>
      </c>
      <c r="T1430" t="s">
        <v>186</v>
      </c>
      <c r="U1430" t="str">
        <f t="shared" si="330"/>
        <v>Concord Ave</v>
      </c>
      <c r="W1430" t="str">
        <f t="shared" si="331"/>
        <v/>
      </c>
      <c r="X1430" t="str">
        <f>IF(ISBLANK(S1430),"Intersection","Non-Intersection")</f>
        <v>Non-Intersection</v>
      </c>
      <c r="Y1430" t="s">
        <v>617</v>
      </c>
      <c r="Z1430" t="str">
        <f t="shared" si="332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19"/>
        <v>40179</v>
      </c>
      <c r="D1431" s="4">
        <f t="shared" si="320"/>
        <v>0.9342465753424658</v>
      </c>
      <c r="E1431" s="3">
        <f t="shared" si="321"/>
        <v>2010</v>
      </c>
      <c r="F1431" s="3">
        <f t="shared" si="322"/>
        <v>12</v>
      </c>
      <c r="G1431" s="3">
        <f t="shared" si="323"/>
        <v>8</v>
      </c>
      <c r="H1431" s="3">
        <f t="shared" si="324"/>
        <v>13</v>
      </c>
      <c r="I1431" s="3">
        <f t="shared" si="325"/>
        <v>35</v>
      </c>
      <c r="J1431" s="3">
        <f t="shared" si="326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27"/>
        <v>YES</v>
      </c>
      <c r="Q1431" t="str">
        <f t="shared" si="328"/>
        <v>YES</v>
      </c>
      <c r="R1431" t="str">
        <f t="shared" si="329"/>
        <v>NO</v>
      </c>
      <c r="T1431" t="s">
        <v>119</v>
      </c>
      <c r="U1431" t="str">
        <f t="shared" si="330"/>
        <v>Albany St</v>
      </c>
      <c r="V1431" t="s">
        <v>14</v>
      </c>
      <c r="W1431" t="str">
        <f t="shared" si="331"/>
        <v>Massachusetts Ave</v>
      </c>
      <c r="X1431" t="str">
        <f>IF(ISBLANK(S1431),"Intersection","Non-Intersection")</f>
        <v>Intersection</v>
      </c>
      <c r="Y1431" t="s">
        <v>1000</v>
      </c>
      <c r="Z1431" t="str">
        <f t="shared" si="332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19"/>
        <v>40179</v>
      </c>
      <c r="D1432" s="4">
        <f t="shared" si="320"/>
        <v>0.9342465753424658</v>
      </c>
      <c r="E1432" s="3">
        <f t="shared" si="321"/>
        <v>2010</v>
      </c>
      <c r="F1432" s="3">
        <f t="shared" si="322"/>
        <v>12</v>
      </c>
      <c r="G1432" s="3">
        <f t="shared" si="323"/>
        <v>8</v>
      </c>
      <c r="H1432" s="3">
        <f t="shared" si="324"/>
        <v>10</v>
      </c>
      <c r="I1432" s="3">
        <f t="shared" si="325"/>
        <v>30</v>
      </c>
      <c r="J1432" s="3">
        <f t="shared" si="326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27"/>
        <v>YES</v>
      </c>
      <c r="Q1432" t="str">
        <f t="shared" si="328"/>
        <v>NO</v>
      </c>
      <c r="R1432" t="str">
        <f t="shared" si="329"/>
        <v>NO</v>
      </c>
      <c r="T1432" t="s">
        <v>105</v>
      </c>
      <c r="U1432" t="str">
        <f t="shared" si="330"/>
        <v>Broadway</v>
      </c>
      <c r="V1432" t="s">
        <v>498</v>
      </c>
      <c r="W1432" t="str">
        <f t="shared" si="331"/>
        <v>Ellery St</v>
      </c>
      <c r="X1432" t="str">
        <f>IF(ISBLANK(S1432),"Intersection","Non-Intersection")</f>
        <v>Intersection</v>
      </c>
      <c r="Y1432" t="s">
        <v>499</v>
      </c>
      <c r="Z1432" t="str">
        <f t="shared" si="332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19"/>
        <v>40179</v>
      </c>
      <c r="D1433" s="4">
        <f t="shared" si="320"/>
        <v>0.9342465753424658</v>
      </c>
      <c r="E1433" s="3">
        <f t="shared" si="321"/>
        <v>2010</v>
      </c>
      <c r="F1433" s="3">
        <f t="shared" si="322"/>
        <v>12</v>
      </c>
      <c r="G1433" s="3">
        <f t="shared" si="323"/>
        <v>8</v>
      </c>
      <c r="H1433" s="3">
        <f t="shared" si="324"/>
        <v>0</v>
      </c>
      <c r="I1433" s="3">
        <f t="shared" si="325"/>
        <v>30</v>
      </c>
      <c r="J1433" s="3">
        <f t="shared" si="326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27"/>
        <v>YES</v>
      </c>
      <c r="Q1433" t="str">
        <f t="shared" si="328"/>
        <v>NO</v>
      </c>
      <c r="R1433" t="str">
        <f t="shared" si="329"/>
        <v>NO</v>
      </c>
      <c r="T1433" t="s">
        <v>14</v>
      </c>
      <c r="U1433" t="str">
        <f t="shared" si="330"/>
        <v>Massachusetts Ave</v>
      </c>
      <c r="V1433" t="s">
        <v>15</v>
      </c>
      <c r="W1433" t="str">
        <f t="shared" si="331"/>
        <v>Rindge Ave</v>
      </c>
      <c r="X1433" t="str">
        <f>IF(ISBLANK(S1433),"Intersection","Non-Intersection")</f>
        <v>Intersection</v>
      </c>
      <c r="Y1433" t="s">
        <v>16</v>
      </c>
      <c r="Z1433" t="str">
        <f t="shared" si="332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19"/>
        <v>40179</v>
      </c>
      <c r="D1434" s="4">
        <f t="shared" si="320"/>
        <v>0.9342465753424658</v>
      </c>
      <c r="E1434" s="3">
        <f t="shared" si="321"/>
        <v>2010</v>
      </c>
      <c r="F1434" s="3">
        <f t="shared" si="322"/>
        <v>12</v>
      </c>
      <c r="G1434" s="3">
        <f t="shared" si="323"/>
        <v>8</v>
      </c>
      <c r="H1434" s="3">
        <f t="shared" si="324"/>
        <v>11</v>
      </c>
      <c r="I1434" s="3">
        <f t="shared" si="325"/>
        <v>10</v>
      </c>
      <c r="J1434" s="3">
        <f t="shared" si="326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27"/>
        <v>YES</v>
      </c>
      <c r="Q1434" t="str">
        <f t="shared" si="328"/>
        <v>NO</v>
      </c>
      <c r="R1434" t="str">
        <f t="shared" si="329"/>
        <v>NO</v>
      </c>
      <c r="T1434" t="s">
        <v>142</v>
      </c>
      <c r="U1434" t="str">
        <f t="shared" si="330"/>
        <v>Huron Ave</v>
      </c>
      <c r="V1434" t="s">
        <v>521</v>
      </c>
      <c r="W1434" t="str">
        <f t="shared" si="331"/>
        <v>Lakeview Ave</v>
      </c>
      <c r="X1434" t="str">
        <f>IF(ISBLANK(S1434),"Intersection","Non-Intersection")</f>
        <v>Intersection</v>
      </c>
      <c r="Y1434" t="s">
        <v>2342</v>
      </c>
      <c r="Z1434" t="str">
        <f t="shared" si="332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19"/>
        <v>40179</v>
      </c>
      <c r="D1435" s="4">
        <f t="shared" si="320"/>
        <v>0.93698630136986305</v>
      </c>
      <c r="E1435" s="3">
        <f t="shared" si="321"/>
        <v>2010</v>
      </c>
      <c r="F1435" s="3">
        <f t="shared" si="322"/>
        <v>12</v>
      </c>
      <c r="G1435" s="3">
        <f t="shared" si="323"/>
        <v>9</v>
      </c>
      <c r="H1435" s="3">
        <f t="shared" si="324"/>
        <v>14</v>
      </c>
      <c r="I1435" s="3">
        <f t="shared" si="325"/>
        <v>29</v>
      </c>
      <c r="J1435" s="3">
        <f t="shared" si="326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27"/>
        <v>YES</v>
      </c>
      <c r="Q1435" t="str">
        <f t="shared" si="328"/>
        <v>NO</v>
      </c>
      <c r="R1435" t="str">
        <f t="shared" si="329"/>
        <v>NO</v>
      </c>
      <c r="T1435" t="s">
        <v>1182</v>
      </c>
      <c r="U1435" t="str">
        <f t="shared" si="330"/>
        <v>Amherst St</v>
      </c>
      <c r="V1435" t="s">
        <v>2206</v>
      </c>
      <c r="W1435" t="str">
        <f t="shared" si="331"/>
        <v>Hayward St</v>
      </c>
      <c r="X1435" t="str">
        <f>IF(ISBLANK(S1435),"Intersection","Non-Intersection")</f>
        <v>Intersection</v>
      </c>
      <c r="Y1435" t="s">
        <v>2207</v>
      </c>
      <c r="Z1435" t="str">
        <f t="shared" si="332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19"/>
        <v>40179</v>
      </c>
      <c r="D1436" s="4">
        <f t="shared" si="320"/>
        <v>0.93698630136986305</v>
      </c>
      <c r="E1436" s="3">
        <f t="shared" si="321"/>
        <v>2010</v>
      </c>
      <c r="F1436" s="3">
        <f t="shared" si="322"/>
        <v>12</v>
      </c>
      <c r="G1436" s="3">
        <f t="shared" si="323"/>
        <v>9</v>
      </c>
      <c r="H1436" s="3">
        <f t="shared" si="324"/>
        <v>15</v>
      </c>
      <c r="I1436" s="3">
        <f t="shared" si="325"/>
        <v>53</v>
      </c>
      <c r="J1436" s="3">
        <f t="shared" si="326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27"/>
        <v>YES</v>
      </c>
      <c r="Q1436" t="str">
        <f t="shared" si="328"/>
        <v>NO</v>
      </c>
      <c r="R1436" t="str">
        <f t="shared" si="329"/>
        <v>NO</v>
      </c>
      <c r="T1436" t="s">
        <v>587</v>
      </c>
      <c r="U1436" t="str">
        <f t="shared" si="330"/>
        <v>Webster Ave</v>
      </c>
      <c r="V1436" t="s">
        <v>2344</v>
      </c>
      <c r="W1436" t="str">
        <f t="shared" si="331"/>
        <v>Bristol St</v>
      </c>
      <c r="X1436" t="str">
        <f>IF(ISBLANK(S1436),"Intersection","Non-Intersection")</f>
        <v>Intersection</v>
      </c>
      <c r="Y1436" t="s">
        <v>2345</v>
      </c>
      <c r="Z1436" t="str">
        <f t="shared" si="332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19"/>
        <v>40179</v>
      </c>
      <c r="D1437" s="4">
        <f t="shared" si="320"/>
        <v>0.93698630136986305</v>
      </c>
      <c r="E1437" s="3">
        <f t="shared" si="321"/>
        <v>2010</v>
      </c>
      <c r="F1437" s="3">
        <f t="shared" si="322"/>
        <v>12</v>
      </c>
      <c r="G1437" s="3">
        <f t="shared" si="323"/>
        <v>9</v>
      </c>
      <c r="H1437" s="3">
        <f t="shared" si="324"/>
        <v>16</v>
      </c>
      <c r="I1437" s="3">
        <f t="shared" si="325"/>
        <v>40</v>
      </c>
      <c r="J1437" s="3">
        <f t="shared" si="326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27"/>
        <v>YES</v>
      </c>
      <c r="Q1437" t="str">
        <f t="shared" si="328"/>
        <v>NO</v>
      </c>
      <c r="R1437" t="str">
        <f t="shared" si="329"/>
        <v>NO</v>
      </c>
      <c r="T1437" t="s">
        <v>260</v>
      </c>
      <c r="U1437" t="str">
        <f t="shared" si="330"/>
        <v>Third St</v>
      </c>
      <c r="V1437" t="s">
        <v>1502</v>
      </c>
      <c r="W1437" t="str">
        <f t="shared" si="331"/>
        <v>Gore St</v>
      </c>
      <c r="X1437" t="str">
        <f>IF(ISBLANK(S1437),"Intersection","Non-Intersection")</f>
        <v>Intersection</v>
      </c>
      <c r="Y1437" t="s">
        <v>1503</v>
      </c>
      <c r="Z1437" t="str">
        <f t="shared" si="332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19"/>
        <v>40179</v>
      </c>
      <c r="D1438" s="4">
        <f t="shared" si="320"/>
        <v>0.93698630136986305</v>
      </c>
      <c r="E1438" s="3">
        <f t="shared" si="321"/>
        <v>2010</v>
      </c>
      <c r="F1438" s="3">
        <f t="shared" si="322"/>
        <v>12</v>
      </c>
      <c r="G1438" s="3">
        <f t="shared" si="323"/>
        <v>9</v>
      </c>
      <c r="H1438" s="3">
        <f t="shared" si="324"/>
        <v>22</v>
      </c>
      <c r="I1438" s="3">
        <f t="shared" si="325"/>
        <v>38</v>
      </c>
      <c r="J1438" s="3">
        <f t="shared" si="326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27"/>
        <v>YES</v>
      </c>
      <c r="Q1438" t="str">
        <f t="shared" si="328"/>
        <v>NO</v>
      </c>
      <c r="R1438" t="str">
        <f t="shared" si="329"/>
        <v>NO</v>
      </c>
      <c r="S1438">
        <v>2225</v>
      </c>
      <c r="T1438" t="s">
        <v>14</v>
      </c>
      <c r="U1438" t="str">
        <f t="shared" si="330"/>
        <v>Massachusetts Ave</v>
      </c>
      <c r="W1438" t="str">
        <f t="shared" si="331"/>
        <v/>
      </c>
      <c r="X1438" t="str">
        <f>IF(ISBLANK(S1438),"Intersection","Non-Intersection")</f>
        <v>Non-Intersection</v>
      </c>
      <c r="Y1438" t="s">
        <v>2195</v>
      </c>
      <c r="Z1438" t="str">
        <f t="shared" si="332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19"/>
        <v>40179</v>
      </c>
      <c r="D1439" s="4">
        <f t="shared" si="320"/>
        <v>0.93698630136986305</v>
      </c>
      <c r="E1439" s="3">
        <f t="shared" si="321"/>
        <v>2010</v>
      </c>
      <c r="F1439" s="3">
        <f t="shared" si="322"/>
        <v>12</v>
      </c>
      <c r="G1439" s="3">
        <f t="shared" si="323"/>
        <v>9</v>
      </c>
      <c r="H1439" s="3">
        <f t="shared" si="324"/>
        <v>8</v>
      </c>
      <c r="I1439" s="3">
        <f t="shared" si="325"/>
        <v>0</v>
      </c>
      <c r="J1439" s="3">
        <f t="shared" si="326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27"/>
        <v>YES</v>
      </c>
      <c r="Q1439" t="str">
        <f t="shared" si="328"/>
        <v>NO</v>
      </c>
      <c r="R1439" t="str">
        <f t="shared" si="329"/>
        <v>NO</v>
      </c>
      <c r="T1439" t="s">
        <v>1062</v>
      </c>
      <c r="U1439" t="str">
        <f t="shared" si="330"/>
        <v>Cambridgeside Pl</v>
      </c>
      <c r="W1439" t="str">
        <f t="shared" si="331"/>
        <v/>
      </c>
      <c r="X1439" t="str">
        <f>IF(ISBLANK(S1439),"Intersection","Non-Intersection")</f>
        <v>Intersection</v>
      </c>
      <c r="Y1439" t="s">
        <v>1283</v>
      </c>
      <c r="Z1439" t="str">
        <f t="shared" si="332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19"/>
        <v>40179</v>
      </c>
      <c r="D1440" s="4">
        <f t="shared" si="320"/>
        <v>0.93698630136986305</v>
      </c>
      <c r="E1440" s="3">
        <f t="shared" si="321"/>
        <v>2010</v>
      </c>
      <c r="F1440" s="3">
        <f t="shared" si="322"/>
        <v>12</v>
      </c>
      <c r="G1440" s="3">
        <f t="shared" si="323"/>
        <v>9</v>
      </c>
      <c r="H1440" s="3">
        <f t="shared" si="324"/>
        <v>18</v>
      </c>
      <c r="I1440" s="3">
        <f t="shared" si="325"/>
        <v>59</v>
      </c>
      <c r="J1440" s="3">
        <f t="shared" si="326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27"/>
        <v>YES</v>
      </c>
      <c r="Q1440" t="str">
        <f t="shared" si="328"/>
        <v>NO</v>
      </c>
      <c r="R1440" t="str">
        <f t="shared" si="329"/>
        <v>NO</v>
      </c>
      <c r="T1440" t="s">
        <v>2192</v>
      </c>
      <c r="U1440" t="str">
        <f t="shared" si="330"/>
        <v>Montague St</v>
      </c>
      <c r="V1440" t="s">
        <v>1244</v>
      </c>
      <c r="W1440" t="str">
        <f t="shared" si="331"/>
        <v>Ballord Pl</v>
      </c>
      <c r="X1440" t="str">
        <f>IF(ISBLANK(S1440),"Intersection","Non-Intersection")</f>
        <v>Intersection</v>
      </c>
      <c r="Y1440" t="s">
        <v>2347</v>
      </c>
      <c r="Z1440" t="str">
        <f t="shared" si="332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19"/>
        <v>40179</v>
      </c>
      <c r="D1441" s="4">
        <f t="shared" si="320"/>
        <v>0.9397260273972603</v>
      </c>
      <c r="E1441" s="3">
        <f t="shared" si="321"/>
        <v>2010</v>
      </c>
      <c r="F1441" s="3">
        <f t="shared" si="322"/>
        <v>12</v>
      </c>
      <c r="G1441" s="3">
        <f t="shared" si="323"/>
        <v>10</v>
      </c>
      <c r="H1441" s="3">
        <f t="shared" si="324"/>
        <v>7</v>
      </c>
      <c r="I1441" s="3">
        <f t="shared" si="325"/>
        <v>30</v>
      </c>
      <c r="J1441" s="3">
        <f t="shared" si="326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27"/>
        <v>YES</v>
      </c>
      <c r="Q1441" t="str">
        <f t="shared" si="328"/>
        <v>NO</v>
      </c>
      <c r="R1441" t="str">
        <f t="shared" si="329"/>
        <v>YES</v>
      </c>
      <c r="S1441">
        <v>16</v>
      </c>
      <c r="T1441" t="s">
        <v>133</v>
      </c>
      <c r="U1441" t="str">
        <f t="shared" si="330"/>
        <v>Harvard St</v>
      </c>
      <c r="W1441" t="str">
        <f t="shared" si="331"/>
        <v/>
      </c>
      <c r="X1441" t="str">
        <f>IF(ISBLANK(S1441),"Intersection","Non-Intersection")</f>
        <v>Non-Intersection</v>
      </c>
      <c r="Y1441" t="s">
        <v>2349</v>
      </c>
      <c r="Z1441" t="str">
        <f t="shared" si="332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19"/>
        <v>40179</v>
      </c>
      <c r="D1442" s="4">
        <f t="shared" si="320"/>
        <v>0.9397260273972603</v>
      </c>
      <c r="E1442" s="3">
        <f t="shared" si="321"/>
        <v>2010</v>
      </c>
      <c r="F1442" s="3">
        <f t="shared" si="322"/>
        <v>12</v>
      </c>
      <c r="G1442" s="3">
        <f t="shared" si="323"/>
        <v>10</v>
      </c>
      <c r="H1442" s="3">
        <f t="shared" si="324"/>
        <v>17</v>
      </c>
      <c r="I1442" s="3">
        <f t="shared" si="325"/>
        <v>19</v>
      </c>
      <c r="J1442" s="3">
        <f t="shared" si="326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27"/>
        <v>YES</v>
      </c>
      <c r="Q1442" t="str">
        <f t="shared" si="328"/>
        <v>NO</v>
      </c>
      <c r="R1442" t="str">
        <f t="shared" si="329"/>
        <v>NO</v>
      </c>
      <c r="T1442" t="s">
        <v>342</v>
      </c>
      <c r="U1442" t="str">
        <f t="shared" si="330"/>
        <v>Prospect St</v>
      </c>
      <c r="V1442" t="s">
        <v>133</v>
      </c>
      <c r="W1442" t="str">
        <f t="shared" si="331"/>
        <v>Harvard St</v>
      </c>
      <c r="X1442" t="str">
        <f>IF(ISBLANK(S1442),"Intersection","Non-Intersection")</f>
        <v>Intersection</v>
      </c>
      <c r="Y1442" t="s">
        <v>884</v>
      </c>
      <c r="Z1442" t="str">
        <f t="shared" si="332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19"/>
        <v>40179</v>
      </c>
      <c r="D1443" s="4">
        <f t="shared" si="320"/>
        <v>0.94246575342465755</v>
      </c>
      <c r="E1443" s="3">
        <f t="shared" si="321"/>
        <v>2010</v>
      </c>
      <c r="F1443" s="3">
        <f t="shared" si="322"/>
        <v>12</v>
      </c>
      <c r="G1443" s="3">
        <f t="shared" si="323"/>
        <v>11</v>
      </c>
      <c r="H1443" s="3">
        <f t="shared" si="324"/>
        <v>1</v>
      </c>
      <c r="I1443" s="3">
        <f t="shared" si="325"/>
        <v>44</v>
      </c>
      <c r="J1443" s="3">
        <f t="shared" si="326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27"/>
        <v>YES</v>
      </c>
      <c r="Q1443" t="str">
        <f t="shared" si="328"/>
        <v>NO</v>
      </c>
      <c r="R1443" t="str">
        <f t="shared" si="329"/>
        <v>NO</v>
      </c>
      <c r="S1443">
        <v>15</v>
      </c>
      <c r="T1443" t="s">
        <v>512</v>
      </c>
      <c r="U1443" t="str">
        <f t="shared" si="330"/>
        <v>Mount Vernon St</v>
      </c>
      <c r="W1443" t="str">
        <f t="shared" si="331"/>
        <v/>
      </c>
      <c r="X1443" t="str">
        <f>IF(ISBLANK(S1443),"Intersection","Non-Intersection")</f>
        <v>Non-Intersection</v>
      </c>
      <c r="Y1443" t="s">
        <v>2351</v>
      </c>
      <c r="Z1443" t="str">
        <f t="shared" si="332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19"/>
        <v>40179</v>
      </c>
      <c r="D1444" s="4">
        <f t="shared" si="320"/>
        <v>0.94246575342465755</v>
      </c>
      <c r="E1444" s="3">
        <f t="shared" si="321"/>
        <v>2010</v>
      </c>
      <c r="F1444" s="3">
        <f t="shared" si="322"/>
        <v>12</v>
      </c>
      <c r="G1444" s="3">
        <f t="shared" si="323"/>
        <v>11</v>
      </c>
      <c r="H1444" s="3">
        <f t="shared" si="324"/>
        <v>16</v>
      </c>
      <c r="I1444" s="3">
        <f t="shared" si="325"/>
        <v>44</v>
      </c>
      <c r="J1444" s="3">
        <f t="shared" si="326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27"/>
        <v>YES</v>
      </c>
      <c r="Q1444" t="str">
        <f t="shared" si="328"/>
        <v>NO</v>
      </c>
      <c r="R1444" t="str">
        <f t="shared" si="329"/>
        <v>NO</v>
      </c>
      <c r="T1444" t="s">
        <v>42</v>
      </c>
      <c r="U1444" t="str">
        <f t="shared" si="330"/>
        <v>Putnam Ave</v>
      </c>
      <c r="V1444" t="s">
        <v>178</v>
      </c>
      <c r="W1444" t="str">
        <f t="shared" si="331"/>
        <v>Pleasant St</v>
      </c>
      <c r="X1444" t="str">
        <f>IF(ISBLANK(S1444),"Intersection","Non-Intersection")</f>
        <v>Intersection</v>
      </c>
      <c r="Y1444" t="s">
        <v>179</v>
      </c>
      <c r="Z1444" t="str">
        <f t="shared" si="332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19"/>
        <v>40179</v>
      </c>
      <c r="D1445" s="4">
        <f t="shared" si="320"/>
        <v>0.9452054794520548</v>
      </c>
      <c r="E1445" s="3">
        <f t="shared" si="321"/>
        <v>2010</v>
      </c>
      <c r="F1445" s="3">
        <f t="shared" si="322"/>
        <v>12</v>
      </c>
      <c r="G1445" s="3">
        <f t="shared" si="323"/>
        <v>12</v>
      </c>
      <c r="H1445" s="3">
        <f t="shared" si="324"/>
        <v>8</v>
      </c>
      <c r="I1445" s="3">
        <f t="shared" si="325"/>
        <v>16</v>
      </c>
      <c r="J1445" s="3">
        <f t="shared" si="326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27"/>
        <v>YES</v>
      </c>
      <c r="Q1445" t="str">
        <f t="shared" si="328"/>
        <v>NO</v>
      </c>
      <c r="R1445" t="str">
        <f t="shared" si="329"/>
        <v>NO</v>
      </c>
      <c r="T1445" t="s">
        <v>14</v>
      </c>
      <c r="U1445" t="str">
        <f t="shared" si="330"/>
        <v>Massachusetts Ave</v>
      </c>
      <c r="V1445" t="s">
        <v>199</v>
      </c>
      <c r="W1445" t="str">
        <f t="shared" si="331"/>
        <v>Brattle St</v>
      </c>
      <c r="X1445" t="str">
        <f>IF(ISBLANK(S1445),"Intersection","Non-Intersection")</f>
        <v>Intersection</v>
      </c>
      <c r="Y1445" t="s">
        <v>2353</v>
      </c>
      <c r="Z1445" t="str">
        <f t="shared" si="332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19"/>
        <v>40179</v>
      </c>
      <c r="D1446" s="4">
        <f t="shared" si="320"/>
        <v>0.9452054794520548</v>
      </c>
      <c r="E1446" s="3">
        <f t="shared" si="321"/>
        <v>2010</v>
      </c>
      <c r="F1446" s="3">
        <f t="shared" si="322"/>
        <v>12</v>
      </c>
      <c r="G1446" s="3">
        <f t="shared" si="323"/>
        <v>12</v>
      </c>
      <c r="H1446" s="3">
        <f t="shared" si="324"/>
        <v>18</v>
      </c>
      <c r="I1446" s="3">
        <f t="shared" si="325"/>
        <v>0</v>
      </c>
      <c r="J1446" s="3">
        <f t="shared" si="326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27"/>
        <v>YES</v>
      </c>
      <c r="Q1446" t="str">
        <f t="shared" si="328"/>
        <v>NO</v>
      </c>
      <c r="R1446" t="str">
        <f t="shared" si="329"/>
        <v>NO</v>
      </c>
      <c r="S1446">
        <v>100</v>
      </c>
      <c r="T1446" t="s">
        <v>1062</v>
      </c>
      <c r="U1446" t="str">
        <f t="shared" si="330"/>
        <v>Cambridgeside Pl</v>
      </c>
      <c r="W1446" t="str">
        <f t="shared" si="331"/>
        <v/>
      </c>
      <c r="X1446" t="str">
        <f>IF(ISBLANK(S1446),"Intersection","Non-Intersection")</f>
        <v>Non-Intersection</v>
      </c>
      <c r="Y1446" t="s">
        <v>1143</v>
      </c>
      <c r="Z1446" t="str">
        <f t="shared" si="332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19"/>
        <v>40179</v>
      </c>
      <c r="D1447" s="4">
        <f t="shared" si="320"/>
        <v>0.9452054794520548</v>
      </c>
      <c r="E1447" s="3">
        <f t="shared" si="321"/>
        <v>2010</v>
      </c>
      <c r="F1447" s="3">
        <f t="shared" si="322"/>
        <v>12</v>
      </c>
      <c r="G1447" s="3">
        <f t="shared" si="323"/>
        <v>12</v>
      </c>
      <c r="H1447" s="3">
        <f t="shared" si="324"/>
        <v>15</v>
      </c>
      <c r="I1447" s="3">
        <f t="shared" si="325"/>
        <v>30</v>
      </c>
      <c r="J1447" s="3">
        <f t="shared" si="326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27"/>
        <v>YES</v>
      </c>
      <c r="Q1447" t="str">
        <f t="shared" si="328"/>
        <v>NO</v>
      </c>
      <c r="R1447" t="str">
        <f t="shared" si="329"/>
        <v>NO</v>
      </c>
      <c r="T1447" t="s">
        <v>14</v>
      </c>
      <c r="U1447" t="str">
        <f t="shared" si="330"/>
        <v>Massachusetts Ave</v>
      </c>
      <c r="V1447" t="s">
        <v>977</v>
      </c>
      <c r="W1447" t="str">
        <f t="shared" si="331"/>
        <v>Russell St</v>
      </c>
      <c r="X1447" t="str">
        <f>IF(ISBLANK(S1447),"Intersection","Non-Intersection")</f>
        <v>Intersection</v>
      </c>
      <c r="Y1447" t="s">
        <v>978</v>
      </c>
      <c r="Z1447" t="str">
        <f t="shared" si="332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19"/>
        <v>40179</v>
      </c>
      <c r="D1448" s="4">
        <f t="shared" si="320"/>
        <v>0.9452054794520548</v>
      </c>
      <c r="E1448" s="3">
        <f t="shared" si="321"/>
        <v>2010</v>
      </c>
      <c r="F1448" s="3">
        <f t="shared" si="322"/>
        <v>12</v>
      </c>
      <c r="G1448" s="3">
        <f t="shared" si="323"/>
        <v>12</v>
      </c>
      <c r="H1448" s="3">
        <f t="shared" si="324"/>
        <v>16</v>
      </c>
      <c r="I1448" s="3">
        <f t="shared" si="325"/>
        <v>30</v>
      </c>
      <c r="J1448" s="3">
        <f t="shared" si="326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27"/>
        <v>YES</v>
      </c>
      <c r="Q1448" t="str">
        <f t="shared" si="328"/>
        <v>NO</v>
      </c>
      <c r="R1448" t="str">
        <f t="shared" si="329"/>
        <v>NO</v>
      </c>
      <c r="T1448" t="s">
        <v>667</v>
      </c>
      <c r="U1448" t="str">
        <f t="shared" si="330"/>
        <v>Tremont St</v>
      </c>
      <c r="V1448" t="s">
        <v>19</v>
      </c>
      <c r="W1448" t="str">
        <f t="shared" si="331"/>
        <v>Cambridge St</v>
      </c>
      <c r="X1448" t="str">
        <f>IF(ISBLANK(S1448),"Intersection","Non-Intersection")</f>
        <v>Intersection</v>
      </c>
      <c r="Y1448" t="s">
        <v>2283</v>
      </c>
      <c r="Z1448" t="str">
        <f t="shared" si="332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19"/>
        <v>40179</v>
      </c>
      <c r="D1449" s="4">
        <f t="shared" si="320"/>
        <v>0.94794520547945205</v>
      </c>
      <c r="E1449" s="3">
        <f t="shared" si="321"/>
        <v>2010</v>
      </c>
      <c r="F1449" s="3">
        <f t="shared" si="322"/>
        <v>12</v>
      </c>
      <c r="G1449" s="3">
        <f t="shared" si="323"/>
        <v>13</v>
      </c>
      <c r="H1449" s="3">
        <f t="shared" si="324"/>
        <v>6</v>
      </c>
      <c r="I1449" s="3">
        <f t="shared" si="325"/>
        <v>52</v>
      </c>
      <c r="J1449" s="3">
        <f t="shared" si="326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27"/>
        <v>YES</v>
      </c>
      <c r="Q1449" t="str">
        <f t="shared" si="328"/>
        <v>NO</v>
      </c>
      <c r="R1449" t="str">
        <f t="shared" si="329"/>
        <v>NO</v>
      </c>
      <c r="S1449">
        <v>1868</v>
      </c>
      <c r="T1449" t="s">
        <v>14</v>
      </c>
      <c r="U1449" t="str">
        <f t="shared" si="330"/>
        <v>Massachusetts Ave</v>
      </c>
      <c r="V1449" t="s">
        <v>550</v>
      </c>
      <c r="W1449" t="str">
        <f t="shared" si="331"/>
        <v>Upland Rd</v>
      </c>
      <c r="X1449" t="str">
        <f>IF(ISBLANK(S1449),"Intersection","Non-Intersection")</f>
        <v>Non-Intersection</v>
      </c>
      <c r="Y1449" t="s">
        <v>1937</v>
      </c>
      <c r="Z1449" t="str">
        <f t="shared" si="332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19"/>
        <v>40179</v>
      </c>
      <c r="D1450" s="4">
        <f t="shared" si="320"/>
        <v>0.94794520547945205</v>
      </c>
      <c r="E1450" s="3">
        <f t="shared" si="321"/>
        <v>2010</v>
      </c>
      <c r="F1450" s="3">
        <f t="shared" si="322"/>
        <v>12</v>
      </c>
      <c r="G1450" s="3">
        <f t="shared" si="323"/>
        <v>13</v>
      </c>
      <c r="H1450" s="3">
        <f t="shared" si="324"/>
        <v>9</v>
      </c>
      <c r="I1450" s="3">
        <f t="shared" si="325"/>
        <v>0</v>
      </c>
      <c r="J1450" s="3">
        <f t="shared" si="326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27"/>
        <v>YES</v>
      </c>
      <c r="Q1450" t="str">
        <f t="shared" si="328"/>
        <v>YES</v>
      </c>
      <c r="R1450" t="str">
        <f t="shared" si="329"/>
        <v>NO</v>
      </c>
      <c r="S1450">
        <v>874</v>
      </c>
      <c r="T1450" t="s">
        <v>14</v>
      </c>
      <c r="U1450" t="str">
        <f t="shared" si="330"/>
        <v>Massachusetts Ave</v>
      </c>
      <c r="V1450" t="s">
        <v>2158</v>
      </c>
      <c r="W1450" t="str">
        <f t="shared" si="331"/>
        <v>Lee St</v>
      </c>
      <c r="X1450" t="str">
        <f>IF(ISBLANK(S1450),"Intersection","Non-Intersection")</f>
        <v>Non-Intersection</v>
      </c>
      <c r="Y1450" t="s">
        <v>2355</v>
      </c>
      <c r="Z1450" t="str">
        <f t="shared" si="332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19"/>
        <v>40179</v>
      </c>
      <c r="D1451" s="4">
        <f t="shared" si="320"/>
        <v>0.94794520547945205</v>
      </c>
      <c r="E1451" s="3">
        <f t="shared" si="321"/>
        <v>2010</v>
      </c>
      <c r="F1451" s="3">
        <f t="shared" si="322"/>
        <v>12</v>
      </c>
      <c r="G1451" s="3">
        <f t="shared" si="323"/>
        <v>13</v>
      </c>
      <c r="H1451" s="3">
        <f t="shared" si="324"/>
        <v>16</v>
      </c>
      <c r="I1451" s="3">
        <f t="shared" si="325"/>
        <v>27</v>
      </c>
      <c r="J1451" s="3">
        <f t="shared" si="326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27"/>
        <v>YES</v>
      </c>
      <c r="Q1451" t="str">
        <f t="shared" si="328"/>
        <v>NO</v>
      </c>
      <c r="R1451" t="str">
        <f t="shared" si="329"/>
        <v>NO</v>
      </c>
      <c r="T1451" t="s">
        <v>105</v>
      </c>
      <c r="U1451" t="str">
        <f t="shared" si="330"/>
        <v>Broadway</v>
      </c>
      <c r="V1451" t="s">
        <v>288</v>
      </c>
      <c r="W1451" t="str">
        <f t="shared" si="331"/>
        <v>Galileo Galilei Way</v>
      </c>
      <c r="X1451" t="str">
        <f>IF(ISBLANK(S1451),"Intersection","Non-Intersection")</f>
        <v>Intersection</v>
      </c>
      <c r="Y1451" t="s">
        <v>289</v>
      </c>
      <c r="Z1451" t="str">
        <f t="shared" si="332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19"/>
        <v>40179</v>
      </c>
      <c r="D1452" s="4">
        <f t="shared" si="320"/>
        <v>0.94794520547945205</v>
      </c>
      <c r="E1452" s="3">
        <f t="shared" si="321"/>
        <v>2010</v>
      </c>
      <c r="F1452" s="3">
        <f t="shared" si="322"/>
        <v>12</v>
      </c>
      <c r="G1452" s="3">
        <f t="shared" si="323"/>
        <v>13</v>
      </c>
      <c r="H1452" s="3">
        <f t="shared" si="324"/>
        <v>16</v>
      </c>
      <c r="I1452" s="3">
        <f t="shared" si="325"/>
        <v>59</v>
      </c>
      <c r="J1452" s="3">
        <f t="shared" si="326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27"/>
        <v>YES</v>
      </c>
      <c r="Q1452" t="str">
        <f t="shared" si="328"/>
        <v>NO</v>
      </c>
      <c r="R1452" t="str">
        <f t="shared" si="329"/>
        <v>NO</v>
      </c>
      <c r="S1452">
        <v>80</v>
      </c>
      <c r="T1452" t="s">
        <v>249</v>
      </c>
      <c r="U1452" t="str">
        <f t="shared" si="330"/>
        <v>Landsdowne St</v>
      </c>
      <c r="W1452" t="str">
        <f t="shared" si="331"/>
        <v/>
      </c>
      <c r="X1452" t="str">
        <f>IF(ISBLANK(S1452),"Intersection","Non-Intersection")</f>
        <v>Non-Intersection</v>
      </c>
      <c r="Y1452" t="s">
        <v>2357</v>
      </c>
      <c r="Z1452" t="str">
        <f t="shared" si="332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19"/>
        <v>40179</v>
      </c>
      <c r="D1453" s="4">
        <f t="shared" si="320"/>
        <v>0.94794520547945205</v>
      </c>
      <c r="E1453" s="3">
        <f t="shared" si="321"/>
        <v>2010</v>
      </c>
      <c r="F1453" s="3">
        <f t="shared" si="322"/>
        <v>12</v>
      </c>
      <c r="G1453" s="3">
        <f t="shared" si="323"/>
        <v>13</v>
      </c>
      <c r="H1453" s="3">
        <f t="shared" si="324"/>
        <v>13</v>
      </c>
      <c r="I1453" s="3">
        <f t="shared" si="325"/>
        <v>9</v>
      </c>
      <c r="J1453" s="3">
        <f t="shared" si="326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27"/>
        <v>YES</v>
      </c>
      <c r="Q1453" t="str">
        <f t="shared" si="328"/>
        <v>NO</v>
      </c>
      <c r="R1453" t="str">
        <f t="shared" si="329"/>
        <v>NO</v>
      </c>
      <c r="S1453">
        <v>186</v>
      </c>
      <c r="T1453" t="s">
        <v>170</v>
      </c>
      <c r="U1453" t="str">
        <f t="shared" si="330"/>
        <v>Alewife Brook Pky</v>
      </c>
      <c r="W1453" t="str">
        <f t="shared" si="331"/>
        <v/>
      </c>
      <c r="X1453" t="str">
        <f>IF(ISBLANK(S1453),"Intersection","Non-Intersection")</f>
        <v>Non-Intersection</v>
      </c>
      <c r="Y1453" t="s">
        <v>242</v>
      </c>
      <c r="Z1453" t="str">
        <f t="shared" si="332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19"/>
        <v>40179</v>
      </c>
      <c r="D1454" s="4">
        <f t="shared" si="320"/>
        <v>0.94794520547945205</v>
      </c>
      <c r="E1454" s="3">
        <f t="shared" si="321"/>
        <v>2010</v>
      </c>
      <c r="F1454" s="3">
        <f t="shared" si="322"/>
        <v>12</v>
      </c>
      <c r="G1454" s="3">
        <f t="shared" si="323"/>
        <v>13</v>
      </c>
      <c r="H1454" s="3">
        <f t="shared" si="324"/>
        <v>14</v>
      </c>
      <c r="I1454" s="3">
        <f t="shared" si="325"/>
        <v>0</v>
      </c>
      <c r="J1454" s="3">
        <f t="shared" si="326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27"/>
        <v>YES</v>
      </c>
      <c r="Q1454" t="str">
        <f t="shared" si="328"/>
        <v>NO</v>
      </c>
      <c r="R1454" t="str">
        <f t="shared" si="329"/>
        <v>NO</v>
      </c>
      <c r="S1454" t="s">
        <v>2359</v>
      </c>
      <c r="T1454" t="s">
        <v>1016</v>
      </c>
      <c r="U1454" t="str">
        <f t="shared" si="330"/>
        <v>Maple Ave</v>
      </c>
      <c r="V1454" t="s">
        <v>814</v>
      </c>
      <c r="W1454" t="str">
        <f t="shared" si="331"/>
        <v>Marie Ave</v>
      </c>
      <c r="X1454" t="str">
        <f>IF(ISBLANK(S1454),"Intersection","Non-Intersection")</f>
        <v>Non-Intersection</v>
      </c>
      <c r="Y1454" t="s">
        <v>2360</v>
      </c>
      <c r="Z1454" t="str">
        <f t="shared" si="332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19"/>
        <v>40179</v>
      </c>
      <c r="D1455" s="4">
        <f t="shared" si="320"/>
        <v>0.94794520547945205</v>
      </c>
      <c r="E1455" s="3">
        <f t="shared" si="321"/>
        <v>2010</v>
      </c>
      <c r="F1455" s="3">
        <f t="shared" si="322"/>
        <v>12</v>
      </c>
      <c r="G1455" s="3">
        <f t="shared" si="323"/>
        <v>13</v>
      </c>
      <c r="H1455" s="3">
        <f t="shared" si="324"/>
        <v>14</v>
      </c>
      <c r="I1455" s="3">
        <f t="shared" si="325"/>
        <v>0</v>
      </c>
      <c r="J1455" s="3">
        <f t="shared" si="326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27"/>
        <v>YES</v>
      </c>
      <c r="Q1455" t="str">
        <f t="shared" si="328"/>
        <v>NO</v>
      </c>
      <c r="R1455" t="str">
        <f t="shared" si="329"/>
        <v>NO</v>
      </c>
      <c r="T1455" t="s">
        <v>192</v>
      </c>
      <c r="U1455" t="str">
        <f t="shared" si="330"/>
        <v>Hancock St</v>
      </c>
      <c r="V1455" t="s">
        <v>1598</v>
      </c>
      <c r="W1455" t="str">
        <f t="shared" si="331"/>
        <v>Chatham St</v>
      </c>
      <c r="X1455" t="str">
        <f>IF(ISBLANK(S1455),"Intersection","Non-Intersection")</f>
        <v>Intersection</v>
      </c>
      <c r="Y1455" t="s">
        <v>2216</v>
      </c>
      <c r="Z1455" t="str">
        <f t="shared" si="332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19"/>
        <v>40179</v>
      </c>
      <c r="D1456" s="4">
        <f t="shared" si="320"/>
        <v>0.9506849315068493</v>
      </c>
      <c r="E1456" s="3">
        <f t="shared" si="321"/>
        <v>2010</v>
      </c>
      <c r="F1456" s="3">
        <f t="shared" si="322"/>
        <v>12</v>
      </c>
      <c r="G1456" s="3">
        <f t="shared" si="323"/>
        <v>14</v>
      </c>
      <c r="H1456" s="3">
        <f t="shared" si="324"/>
        <v>18</v>
      </c>
      <c r="I1456" s="3">
        <f t="shared" si="325"/>
        <v>0</v>
      </c>
      <c r="J1456" s="3">
        <f t="shared" si="326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27"/>
        <v>YES</v>
      </c>
      <c r="Q1456" t="str">
        <f t="shared" si="328"/>
        <v>NO</v>
      </c>
      <c r="R1456" t="str">
        <f t="shared" si="329"/>
        <v>NO</v>
      </c>
      <c r="T1456" t="s">
        <v>14</v>
      </c>
      <c r="U1456" t="str">
        <f t="shared" si="330"/>
        <v>Massachusetts Ave</v>
      </c>
      <c r="V1456" t="s">
        <v>1492</v>
      </c>
      <c r="W1456" t="str">
        <f t="shared" si="331"/>
        <v>Exeter Park</v>
      </c>
      <c r="X1456" t="str">
        <f>IF(ISBLANK(S1456),"Intersection","Non-Intersection")</f>
        <v>Intersection</v>
      </c>
      <c r="Y1456" t="s">
        <v>1493</v>
      </c>
      <c r="Z1456" t="str">
        <f t="shared" si="332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19"/>
        <v>40179</v>
      </c>
      <c r="D1457" s="4">
        <f t="shared" si="320"/>
        <v>0.9506849315068493</v>
      </c>
      <c r="E1457" s="3">
        <f t="shared" si="321"/>
        <v>2010</v>
      </c>
      <c r="F1457" s="3">
        <f t="shared" si="322"/>
        <v>12</v>
      </c>
      <c r="G1457" s="3">
        <f t="shared" si="323"/>
        <v>14</v>
      </c>
      <c r="H1457" s="3">
        <f t="shared" si="324"/>
        <v>10</v>
      </c>
      <c r="I1457" s="3">
        <f t="shared" si="325"/>
        <v>50</v>
      </c>
      <c r="J1457" s="3">
        <f t="shared" si="326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27"/>
        <v>YES</v>
      </c>
      <c r="Q1457" t="str">
        <f t="shared" si="328"/>
        <v>NO</v>
      </c>
      <c r="R1457" t="str">
        <f t="shared" si="329"/>
        <v>NO</v>
      </c>
      <c r="T1457" t="s">
        <v>133</v>
      </c>
      <c r="U1457" t="str">
        <f t="shared" si="330"/>
        <v>Harvard St</v>
      </c>
      <c r="V1457" t="s">
        <v>342</v>
      </c>
      <c r="W1457" t="str">
        <f t="shared" si="331"/>
        <v>Prospect St</v>
      </c>
      <c r="X1457" t="str">
        <f>IF(ISBLANK(S1457),"Intersection","Non-Intersection")</f>
        <v>Intersection</v>
      </c>
      <c r="Y1457" t="s">
        <v>1084</v>
      </c>
      <c r="Z1457" t="str">
        <f t="shared" si="332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19"/>
        <v>40179</v>
      </c>
      <c r="D1458" s="4">
        <f t="shared" si="320"/>
        <v>0.9506849315068493</v>
      </c>
      <c r="E1458" s="3">
        <f t="shared" si="321"/>
        <v>2010</v>
      </c>
      <c r="F1458" s="3">
        <f t="shared" si="322"/>
        <v>12</v>
      </c>
      <c r="G1458" s="3">
        <f t="shared" si="323"/>
        <v>14</v>
      </c>
      <c r="H1458" s="3">
        <f t="shared" si="324"/>
        <v>17</v>
      </c>
      <c r="I1458" s="3">
        <f t="shared" si="325"/>
        <v>51</v>
      </c>
      <c r="J1458" s="3">
        <f t="shared" si="326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27"/>
        <v>YES</v>
      </c>
      <c r="Q1458" t="str">
        <f t="shared" si="328"/>
        <v>YES</v>
      </c>
      <c r="R1458" t="str">
        <f t="shared" si="329"/>
        <v>NO</v>
      </c>
      <c r="T1458" t="s">
        <v>14</v>
      </c>
      <c r="U1458" t="str">
        <f t="shared" si="330"/>
        <v>Massachusetts Ave</v>
      </c>
      <c r="V1458" t="s">
        <v>506</v>
      </c>
      <c r="W1458" t="str">
        <f t="shared" si="331"/>
        <v>Bigelow St</v>
      </c>
      <c r="X1458" t="str">
        <f>IF(ISBLANK(S1458),"Intersection","Non-Intersection")</f>
        <v>Intersection</v>
      </c>
      <c r="Y1458" t="s">
        <v>2362</v>
      </c>
      <c r="Z1458" t="str">
        <f t="shared" si="332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19"/>
        <v>40179</v>
      </c>
      <c r="D1459" s="4">
        <f t="shared" si="320"/>
        <v>0.9506849315068493</v>
      </c>
      <c r="E1459" s="3">
        <f t="shared" si="321"/>
        <v>2010</v>
      </c>
      <c r="F1459" s="3">
        <f t="shared" si="322"/>
        <v>12</v>
      </c>
      <c r="G1459" s="3">
        <f t="shared" si="323"/>
        <v>14</v>
      </c>
      <c r="H1459" s="3">
        <f t="shared" si="324"/>
        <v>15</v>
      </c>
      <c r="I1459" s="3">
        <f t="shared" si="325"/>
        <v>59</v>
      </c>
      <c r="J1459" s="3">
        <f t="shared" si="326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27"/>
        <v>YES</v>
      </c>
      <c r="Q1459" t="str">
        <f t="shared" si="328"/>
        <v>NO</v>
      </c>
      <c r="R1459" t="str">
        <f t="shared" si="329"/>
        <v>NO</v>
      </c>
      <c r="S1459">
        <v>91</v>
      </c>
      <c r="T1459" t="s">
        <v>195</v>
      </c>
      <c r="U1459" t="str">
        <f t="shared" si="330"/>
        <v>Sidney St</v>
      </c>
      <c r="W1459" t="str">
        <f t="shared" si="331"/>
        <v/>
      </c>
      <c r="X1459" t="str">
        <f>IF(ISBLANK(S1459),"Intersection","Non-Intersection")</f>
        <v>Non-Intersection</v>
      </c>
      <c r="Y1459" t="s">
        <v>613</v>
      </c>
      <c r="Z1459" t="str">
        <f t="shared" si="332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19"/>
        <v>40179</v>
      </c>
      <c r="D1460" s="4">
        <f t="shared" si="320"/>
        <v>0.9506849315068493</v>
      </c>
      <c r="E1460" s="3">
        <f t="shared" si="321"/>
        <v>2010</v>
      </c>
      <c r="F1460" s="3">
        <f t="shared" si="322"/>
        <v>12</v>
      </c>
      <c r="G1460" s="3">
        <f t="shared" si="323"/>
        <v>14</v>
      </c>
      <c r="H1460" s="3">
        <f t="shared" si="324"/>
        <v>17</v>
      </c>
      <c r="I1460" s="3">
        <f t="shared" si="325"/>
        <v>0</v>
      </c>
      <c r="J1460" s="3">
        <f t="shared" si="326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27"/>
        <v>YES</v>
      </c>
      <c r="Q1460" t="str">
        <f t="shared" si="328"/>
        <v>NO</v>
      </c>
      <c r="R1460" t="str">
        <f t="shared" si="329"/>
        <v>NO</v>
      </c>
      <c r="T1460" t="s">
        <v>252</v>
      </c>
      <c r="U1460" t="str">
        <f t="shared" si="330"/>
        <v>Walden St</v>
      </c>
      <c r="V1460" t="s">
        <v>186</v>
      </c>
      <c r="W1460" t="str">
        <f t="shared" si="331"/>
        <v>Concord Ave</v>
      </c>
      <c r="X1460" t="str">
        <f>IF(ISBLANK(S1460),"Intersection","Non-Intersection")</f>
        <v>Intersection</v>
      </c>
      <c r="Y1460" t="s">
        <v>1880</v>
      </c>
      <c r="Z1460" t="str">
        <f t="shared" si="332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19"/>
        <v>40179</v>
      </c>
      <c r="D1461" s="4">
        <f t="shared" si="320"/>
        <v>0.9506849315068493</v>
      </c>
      <c r="E1461" s="3">
        <f t="shared" si="321"/>
        <v>2010</v>
      </c>
      <c r="F1461" s="3">
        <f t="shared" si="322"/>
        <v>12</v>
      </c>
      <c r="G1461" s="3">
        <f t="shared" si="323"/>
        <v>14</v>
      </c>
      <c r="H1461" s="3">
        <f t="shared" si="324"/>
        <v>20</v>
      </c>
      <c r="I1461" s="3">
        <f t="shared" si="325"/>
        <v>33</v>
      </c>
      <c r="J1461" s="3">
        <f t="shared" si="326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27"/>
        <v>YES</v>
      </c>
      <c r="Q1461" t="str">
        <f t="shared" si="328"/>
        <v>NO</v>
      </c>
      <c r="R1461" t="str">
        <f t="shared" si="329"/>
        <v>YES</v>
      </c>
      <c r="T1461" t="s">
        <v>19</v>
      </c>
      <c r="U1461" t="str">
        <f t="shared" si="330"/>
        <v>Cambridge St</v>
      </c>
      <c r="V1461" t="s">
        <v>1226</v>
      </c>
      <c r="W1461" t="str">
        <f t="shared" si="331"/>
        <v>Dana St</v>
      </c>
      <c r="X1461" t="str">
        <f>IF(ISBLANK(S1461),"Intersection","Non-Intersection")</f>
        <v>Intersection</v>
      </c>
      <c r="Y1461" t="s">
        <v>1727</v>
      </c>
      <c r="Z1461" t="str">
        <f t="shared" si="332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19"/>
        <v>40179</v>
      </c>
      <c r="D1462" s="4">
        <f t="shared" si="320"/>
        <v>0.9506849315068493</v>
      </c>
      <c r="E1462" s="3">
        <f t="shared" si="321"/>
        <v>2010</v>
      </c>
      <c r="F1462" s="3">
        <f t="shared" si="322"/>
        <v>12</v>
      </c>
      <c r="G1462" s="3">
        <f t="shared" si="323"/>
        <v>14</v>
      </c>
      <c r="H1462" s="3">
        <f t="shared" si="324"/>
        <v>9</v>
      </c>
      <c r="I1462" s="3">
        <f t="shared" si="325"/>
        <v>34</v>
      </c>
      <c r="J1462" s="3">
        <f t="shared" si="326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27"/>
        <v>YES</v>
      </c>
      <c r="Q1462" t="str">
        <f t="shared" si="328"/>
        <v>NO</v>
      </c>
      <c r="R1462" t="str">
        <f t="shared" si="329"/>
        <v>NO</v>
      </c>
      <c r="T1462" t="s">
        <v>42</v>
      </c>
      <c r="U1462" t="str">
        <f t="shared" si="330"/>
        <v>Putnam Ave</v>
      </c>
      <c r="V1462" t="s">
        <v>2363</v>
      </c>
      <c r="W1462" t="str">
        <f t="shared" si="331"/>
        <v>Hingham St</v>
      </c>
      <c r="X1462" t="str">
        <f>IF(ISBLANK(S1462),"Intersection","Non-Intersection")</f>
        <v>Intersection</v>
      </c>
      <c r="Y1462" t="s">
        <v>2364</v>
      </c>
      <c r="Z1462" t="str">
        <f t="shared" si="332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19"/>
        <v>40179</v>
      </c>
      <c r="D1463" s="4">
        <f t="shared" si="320"/>
        <v>0.95342465753424654</v>
      </c>
      <c r="E1463" s="3">
        <f t="shared" si="321"/>
        <v>2010</v>
      </c>
      <c r="F1463" s="3">
        <f t="shared" si="322"/>
        <v>12</v>
      </c>
      <c r="G1463" s="3">
        <f t="shared" si="323"/>
        <v>15</v>
      </c>
      <c r="H1463" s="3">
        <f t="shared" si="324"/>
        <v>9</v>
      </c>
      <c r="I1463" s="3">
        <f t="shared" si="325"/>
        <v>40</v>
      </c>
      <c r="J1463" s="3">
        <f t="shared" si="326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27"/>
        <v>YES</v>
      </c>
      <c r="Q1463" t="str">
        <f t="shared" si="328"/>
        <v>NO</v>
      </c>
      <c r="R1463" t="str">
        <f t="shared" si="329"/>
        <v>NO</v>
      </c>
      <c r="S1463">
        <v>1620</v>
      </c>
      <c r="T1463" t="s">
        <v>19</v>
      </c>
      <c r="U1463" t="str">
        <f t="shared" si="330"/>
        <v>Cambridge St</v>
      </c>
      <c r="W1463" t="str">
        <f t="shared" si="331"/>
        <v/>
      </c>
      <c r="X1463" t="str">
        <f>IF(ISBLANK(S1463),"Intersection","Non-Intersection")</f>
        <v>Non-Intersection</v>
      </c>
      <c r="Y1463" t="s">
        <v>2366</v>
      </c>
      <c r="Z1463" t="str">
        <f t="shared" si="332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19"/>
        <v>40179</v>
      </c>
      <c r="D1464" s="4">
        <f t="shared" si="320"/>
        <v>0.95342465753424654</v>
      </c>
      <c r="E1464" s="3">
        <f t="shared" si="321"/>
        <v>2010</v>
      </c>
      <c r="F1464" s="3">
        <f t="shared" si="322"/>
        <v>12</v>
      </c>
      <c r="G1464" s="3">
        <f t="shared" si="323"/>
        <v>15</v>
      </c>
      <c r="H1464" s="3">
        <f t="shared" si="324"/>
        <v>13</v>
      </c>
      <c r="I1464" s="3">
        <f t="shared" si="325"/>
        <v>9</v>
      </c>
      <c r="J1464" s="3">
        <f t="shared" si="326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27"/>
        <v>YES</v>
      </c>
      <c r="Q1464" t="str">
        <f t="shared" si="328"/>
        <v>NO</v>
      </c>
      <c r="R1464" t="str">
        <f t="shared" si="329"/>
        <v>NO</v>
      </c>
      <c r="S1464">
        <v>1686</v>
      </c>
      <c r="T1464" t="s">
        <v>14</v>
      </c>
      <c r="U1464" t="str">
        <f t="shared" si="330"/>
        <v>Massachusetts Ave</v>
      </c>
      <c r="W1464" t="str">
        <f t="shared" si="331"/>
        <v/>
      </c>
      <c r="X1464" t="str">
        <f>IF(ISBLANK(S1464),"Intersection","Non-Intersection")</f>
        <v>Non-Intersection</v>
      </c>
      <c r="Y1464" t="s">
        <v>2367</v>
      </c>
      <c r="Z1464" t="str">
        <f t="shared" si="332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19"/>
        <v>40179</v>
      </c>
      <c r="D1465" s="4">
        <f t="shared" si="320"/>
        <v>0.95342465753424654</v>
      </c>
      <c r="E1465" s="3">
        <f t="shared" si="321"/>
        <v>2010</v>
      </c>
      <c r="F1465" s="3">
        <f t="shared" si="322"/>
        <v>12</v>
      </c>
      <c r="G1465" s="3">
        <f t="shared" si="323"/>
        <v>15</v>
      </c>
      <c r="H1465" s="3">
        <f t="shared" si="324"/>
        <v>16</v>
      </c>
      <c r="I1465" s="3">
        <f t="shared" si="325"/>
        <v>9</v>
      </c>
      <c r="J1465" s="3">
        <f t="shared" si="326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27"/>
        <v>YES</v>
      </c>
      <c r="Q1465" t="str">
        <f t="shared" si="328"/>
        <v>NO</v>
      </c>
      <c r="R1465" t="str">
        <f t="shared" si="329"/>
        <v>NO</v>
      </c>
      <c r="T1465" t="s">
        <v>14</v>
      </c>
      <c r="U1465" t="str">
        <f t="shared" si="330"/>
        <v>Massachusetts Ave</v>
      </c>
      <c r="V1465" t="s">
        <v>1426</v>
      </c>
      <c r="W1465" t="str">
        <f t="shared" si="331"/>
        <v>Rice St</v>
      </c>
      <c r="X1465" t="str">
        <f>IF(ISBLANK(S1465),"Intersection","Non-Intersection")</f>
        <v>Intersection</v>
      </c>
      <c r="Y1465" t="s">
        <v>2369</v>
      </c>
      <c r="Z1465" t="str">
        <f t="shared" si="332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19"/>
        <v>40179</v>
      </c>
      <c r="D1466" s="4">
        <f t="shared" si="320"/>
        <v>0.95342465753424654</v>
      </c>
      <c r="E1466" s="3">
        <f t="shared" si="321"/>
        <v>2010</v>
      </c>
      <c r="F1466" s="3">
        <f t="shared" si="322"/>
        <v>12</v>
      </c>
      <c r="G1466" s="3">
        <f t="shared" si="323"/>
        <v>15</v>
      </c>
      <c r="H1466" s="3">
        <f t="shared" si="324"/>
        <v>9</v>
      </c>
      <c r="I1466" s="3">
        <f t="shared" si="325"/>
        <v>30</v>
      </c>
      <c r="J1466" s="3">
        <f t="shared" si="326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27"/>
        <v>YES</v>
      </c>
      <c r="Q1466" t="str">
        <f t="shared" si="328"/>
        <v>NO</v>
      </c>
      <c r="R1466" t="str">
        <f t="shared" si="329"/>
        <v>NO</v>
      </c>
      <c r="T1466" t="s">
        <v>105</v>
      </c>
      <c r="U1466" t="str">
        <f t="shared" si="330"/>
        <v>Broadway</v>
      </c>
      <c r="V1466" t="s">
        <v>342</v>
      </c>
      <c r="W1466" t="str">
        <f t="shared" si="331"/>
        <v>Prospect St</v>
      </c>
      <c r="X1466" t="str">
        <f>IF(ISBLANK(S1466),"Intersection","Non-Intersection")</f>
        <v>Intersection</v>
      </c>
      <c r="Y1466" t="s">
        <v>343</v>
      </c>
      <c r="Z1466" t="str">
        <f t="shared" si="332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19"/>
        <v>40179</v>
      </c>
      <c r="D1467" s="4">
        <f t="shared" si="320"/>
        <v>0.95616438356164379</v>
      </c>
      <c r="E1467" s="3">
        <f t="shared" si="321"/>
        <v>2010</v>
      </c>
      <c r="F1467" s="3">
        <f t="shared" si="322"/>
        <v>12</v>
      </c>
      <c r="G1467" s="3">
        <f t="shared" si="323"/>
        <v>16</v>
      </c>
      <c r="H1467" s="3">
        <f t="shared" si="324"/>
        <v>12</v>
      </c>
      <c r="I1467" s="3">
        <f t="shared" si="325"/>
        <v>59</v>
      </c>
      <c r="J1467" s="3">
        <f t="shared" si="326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27"/>
        <v>YES</v>
      </c>
      <c r="Q1467" t="str">
        <f t="shared" si="328"/>
        <v>NO</v>
      </c>
      <c r="R1467" t="str">
        <f t="shared" si="329"/>
        <v>NO</v>
      </c>
      <c r="T1467" t="s">
        <v>1275</v>
      </c>
      <c r="U1467" t="str">
        <f t="shared" si="330"/>
        <v>Richard Ave</v>
      </c>
      <c r="V1467" t="s">
        <v>550</v>
      </c>
      <c r="W1467" t="str">
        <f t="shared" si="331"/>
        <v>Upland Rd</v>
      </c>
      <c r="X1467" t="str">
        <f>IF(ISBLANK(S1467),"Intersection","Non-Intersection")</f>
        <v>Intersection</v>
      </c>
      <c r="Y1467" t="s">
        <v>2371</v>
      </c>
      <c r="Z1467" t="str">
        <f t="shared" si="332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19"/>
        <v>40179</v>
      </c>
      <c r="D1468" s="4">
        <f t="shared" si="320"/>
        <v>0.95616438356164379</v>
      </c>
      <c r="E1468" s="3">
        <f t="shared" si="321"/>
        <v>2010</v>
      </c>
      <c r="F1468" s="3">
        <f t="shared" si="322"/>
        <v>12</v>
      </c>
      <c r="G1468" s="3">
        <f t="shared" si="323"/>
        <v>16</v>
      </c>
      <c r="H1468" s="3">
        <f t="shared" si="324"/>
        <v>14</v>
      </c>
      <c r="I1468" s="3">
        <f t="shared" si="325"/>
        <v>0</v>
      </c>
      <c r="J1468" s="3">
        <f t="shared" si="326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27"/>
        <v>YES</v>
      </c>
      <c r="Q1468" t="str">
        <f t="shared" si="328"/>
        <v>NO</v>
      </c>
      <c r="R1468" t="str">
        <f t="shared" si="329"/>
        <v>NO</v>
      </c>
      <c r="S1468">
        <v>260</v>
      </c>
      <c r="T1468" t="s">
        <v>252</v>
      </c>
      <c r="U1468" t="str">
        <f t="shared" si="330"/>
        <v>Walden St</v>
      </c>
      <c r="W1468" t="str">
        <f t="shared" si="331"/>
        <v/>
      </c>
      <c r="X1468" t="str">
        <f>IF(ISBLANK(S1468),"Intersection","Non-Intersection")</f>
        <v>Non-Intersection</v>
      </c>
      <c r="Y1468" t="s">
        <v>2373</v>
      </c>
      <c r="Z1468" t="str">
        <f t="shared" si="332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33">EOMONTH(B1469,MONTH(B1469)*-1)+1</f>
        <v>40179</v>
      </c>
      <c r="D1469" s="4">
        <f t="shared" ref="D1469:D1531" si="334">YEARFRAC(C1469,B1469,1)</f>
        <v>0.95616438356164379</v>
      </c>
      <c r="E1469" s="3">
        <f t="shared" ref="E1469:E1531" si="335">YEAR(B1469)</f>
        <v>2010</v>
      </c>
      <c r="F1469" s="3">
        <f t="shared" ref="F1469:F1531" si="336">MONTH(B1469)</f>
        <v>12</v>
      </c>
      <c r="G1469" s="3">
        <f t="shared" ref="G1469:G1531" si="337">DAY(B1469)</f>
        <v>16</v>
      </c>
      <c r="H1469" s="3">
        <f t="shared" ref="H1469:H1531" si="338">HOUR(B1469)</f>
        <v>18</v>
      </c>
      <c r="I1469" s="3">
        <f t="shared" ref="I1469:I1531" si="339">MINUTE(B1469)</f>
        <v>14</v>
      </c>
      <c r="J1469" s="3">
        <f t="shared" ref="J1469:J1531" si="340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41">IF(OR(N1469="Auto",O1469="Auto"),"YES",IF(OR(N1469="Taxi",O1469="Taxi"),"YES",IF(OR(N1469="Van",O1469="Van"),"YES",IF(OR(N1469="Truck",O1469="Truck"),"YES","NO"))))</f>
        <v>YES</v>
      </c>
      <c r="Q1469" t="str">
        <f t="shared" ref="Q1469:Q1531" si="342">IF(OR(N1469="Bicycle",O1469="Bicycle"),"YES","NO")</f>
        <v>NO</v>
      </c>
      <c r="R1469" t="str">
        <f t="shared" ref="R1469:R1531" si="343">IF(OR(N1469="Pedestrian",O1469="Pedestrian"),"YES","NO")</f>
        <v>NO</v>
      </c>
      <c r="S1469">
        <v>1899</v>
      </c>
      <c r="T1469" t="s">
        <v>14</v>
      </c>
      <c r="U1469" t="str">
        <f t="shared" si="330"/>
        <v>Massachusetts Ave</v>
      </c>
      <c r="W1469" t="str">
        <f t="shared" si="331"/>
        <v/>
      </c>
      <c r="X1469" t="str">
        <f>IF(ISBLANK(S1469),"Intersection","Non-Intersection")</f>
        <v>Non-Intersection</v>
      </c>
      <c r="Y1469" t="s">
        <v>1435</v>
      </c>
      <c r="Z1469" t="str">
        <f t="shared" si="332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33"/>
        <v>40179</v>
      </c>
      <c r="D1470" s="4">
        <f t="shared" si="334"/>
        <v>0.95616438356164379</v>
      </c>
      <c r="E1470" s="3">
        <f t="shared" si="335"/>
        <v>2010</v>
      </c>
      <c r="F1470" s="3">
        <f t="shared" si="336"/>
        <v>12</v>
      </c>
      <c r="G1470" s="3">
        <f t="shared" si="337"/>
        <v>16</v>
      </c>
      <c r="H1470" s="3">
        <f t="shared" si="338"/>
        <v>20</v>
      </c>
      <c r="I1470" s="3">
        <f t="shared" si="339"/>
        <v>16</v>
      </c>
      <c r="J1470" s="3">
        <f t="shared" si="340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41"/>
        <v>YES</v>
      </c>
      <c r="Q1470" t="str">
        <f t="shared" si="342"/>
        <v>NO</v>
      </c>
      <c r="R1470" t="str">
        <f t="shared" si="343"/>
        <v>NO</v>
      </c>
      <c r="S1470">
        <v>77</v>
      </c>
      <c r="T1470" t="s">
        <v>14</v>
      </c>
      <c r="U1470" t="str">
        <f t="shared" si="330"/>
        <v>Massachusetts Ave</v>
      </c>
      <c r="W1470" t="str">
        <f t="shared" si="331"/>
        <v/>
      </c>
      <c r="X1470" t="str">
        <f>IF(ISBLANK(S1470),"Intersection","Non-Intersection")</f>
        <v>Non-Intersection</v>
      </c>
      <c r="Y1470" t="s">
        <v>415</v>
      </c>
      <c r="Z1470" t="str">
        <f t="shared" si="332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33"/>
        <v>40179</v>
      </c>
      <c r="D1471" s="4">
        <f t="shared" si="334"/>
        <v>0.95616438356164379</v>
      </c>
      <c r="E1471" s="3">
        <f t="shared" si="335"/>
        <v>2010</v>
      </c>
      <c r="F1471" s="3">
        <f t="shared" si="336"/>
        <v>12</v>
      </c>
      <c r="G1471" s="3">
        <f t="shared" si="337"/>
        <v>16</v>
      </c>
      <c r="H1471" s="3">
        <f t="shared" si="338"/>
        <v>15</v>
      </c>
      <c r="I1471" s="3">
        <f t="shared" si="339"/>
        <v>30</v>
      </c>
      <c r="J1471" s="3">
        <f t="shared" si="340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41"/>
        <v>YES</v>
      </c>
      <c r="Q1471" t="str">
        <f t="shared" si="342"/>
        <v>NO</v>
      </c>
      <c r="R1471" t="str">
        <f t="shared" si="343"/>
        <v>NO</v>
      </c>
      <c r="S1471">
        <v>56</v>
      </c>
      <c r="T1471" t="s">
        <v>20</v>
      </c>
      <c r="U1471" t="str">
        <f t="shared" si="330"/>
        <v>Sciarappa St</v>
      </c>
      <c r="W1471" t="str">
        <f t="shared" si="331"/>
        <v/>
      </c>
      <c r="X1471" t="str">
        <f>IF(ISBLANK(S1471),"Intersection","Non-Intersection")</f>
        <v>Non-Intersection</v>
      </c>
      <c r="Y1471" t="s">
        <v>2375</v>
      </c>
      <c r="Z1471" t="str">
        <f t="shared" si="332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33"/>
        <v>40179</v>
      </c>
      <c r="D1472" s="4">
        <f t="shared" si="334"/>
        <v>0.95890410958904104</v>
      </c>
      <c r="E1472" s="3">
        <f t="shared" si="335"/>
        <v>2010</v>
      </c>
      <c r="F1472" s="3">
        <f t="shared" si="336"/>
        <v>12</v>
      </c>
      <c r="G1472" s="3">
        <f t="shared" si="337"/>
        <v>17</v>
      </c>
      <c r="H1472" s="3">
        <f t="shared" si="338"/>
        <v>9</v>
      </c>
      <c r="I1472" s="3">
        <f t="shared" si="339"/>
        <v>0</v>
      </c>
      <c r="J1472" s="3">
        <f t="shared" si="340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41"/>
        <v>YES</v>
      </c>
      <c r="Q1472" t="str">
        <f t="shared" si="342"/>
        <v>YES</v>
      </c>
      <c r="R1472" t="str">
        <f t="shared" si="343"/>
        <v>NO</v>
      </c>
      <c r="T1472" t="s">
        <v>86</v>
      </c>
      <c r="U1472" t="str">
        <f t="shared" si="330"/>
        <v>Granite St</v>
      </c>
      <c r="V1472" t="s">
        <v>850</v>
      </c>
      <c r="W1472" t="str">
        <f t="shared" si="331"/>
        <v>Rockingham St</v>
      </c>
      <c r="X1472" t="str">
        <f>IF(ISBLANK(S1472),"Intersection","Non-Intersection")</f>
        <v>Intersection</v>
      </c>
      <c r="Y1472" t="s">
        <v>851</v>
      </c>
      <c r="Z1472" t="str">
        <f t="shared" si="332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33"/>
        <v>40179</v>
      </c>
      <c r="D1473" s="4">
        <f t="shared" si="334"/>
        <v>0.95890410958904104</v>
      </c>
      <c r="E1473" s="3">
        <f t="shared" si="335"/>
        <v>2010</v>
      </c>
      <c r="F1473" s="3">
        <f t="shared" si="336"/>
        <v>12</v>
      </c>
      <c r="G1473" s="3">
        <f t="shared" si="337"/>
        <v>17</v>
      </c>
      <c r="H1473" s="3">
        <f t="shared" si="338"/>
        <v>8</v>
      </c>
      <c r="I1473" s="3">
        <f t="shared" si="339"/>
        <v>29</v>
      </c>
      <c r="J1473" s="3">
        <f t="shared" si="340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41"/>
        <v>YES</v>
      </c>
      <c r="Q1473" t="str">
        <f t="shared" si="342"/>
        <v>NO</v>
      </c>
      <c r="R1473" t="str">
        <f t="shared" si="343"/>
        <v>NO</v>
      </c>
      <c r="S1473">
        <v>4</v>
      </c>
      <c r="T1473" t="s">
        <v>351</v>
      </c>
      <c r="U1473" t="str">
        <f t="shared" si="330"/>
        <v>Cambridge Ctr</v>
      </c>
      <c r="W1473" t="str">
        <f t="shared" si="331"/>
        <v/>
      </c>
      <c r="X1473" t="str">
        <f>IF(ISBLANK(S1473),"Intersection","Non-Intersection")</f>
        <v>Non-Intersection</v>
      </c>
      <c r="Y1473" t="s">
        <v>2377</v>
      </c>
      <c r="Z1473" t="str">
        <f t="shared" si="332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33"/>
        <v>40179</v>
      </c>
      <c r="D1474" s="4">
        <f t="shared" si="334"/>
        <v>0.9616438356164384</v>
      </c>
      <c r="E1474" s="3">
        <f t="shared" si="335"/>
        <v>2010</v>
      </c>
      <c r="F1474" s="3">
        <f t="shared" si="336"/>
        <v>12</v>
      </c>
      <c r="G1474" s="3">
        <f t="shared" si="337"/>
        <v>18</v>
      </c>
      <c r="H1474" s="3">
        <f t="shared" si="338"/>
        <v>8</v>
      </c>
      <c r="I1474" s="3">
        <f t="shared" si="339"/>
        <v>0</v>
      </c>
      <c r="J1474" s="3">
        <f t="shared" si="340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41"/>
        <v>YES</v>
      </c>
      <c r="Q1474" t="str">
        <f t="shared" si="342"/>
        <v>NO</v>
      </c>
      <c r="R1474" t="str">
        <f t="shared" si="343"/>
        <v>NO</v>
      </c>
      <c r="S1474">
        <v>360</v>
      </c>
      <c r="T1474" t="s">
        <v>142</v>
      </c>
      <c r="U1474" t="str">
        <f t="shared" si="330"/>
        <v>Huron Ave</v>
      </c>
      <c r="W1474" t="str">
        <f t="shared" si="331"/>
        <v/>
      </c>
      <c r="X1474" t="str">
        <f>IF(ISBLANK(S1474),"Intersection","Non-Intersection")</f>
        <v>Non-Intersection</v>
      </c>
      <c r="Y1474" t="s">
        <v>2378</v>
      </c>
      <c r="Z1474" t="str">
        <f t="shared" si="332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33"/>
        <v>40179</v>
      </c>
      <c r="D1475" s="4">
        <f t="shared" si="334"/>
        <v>0.9616438356164384</v>
      </c>
      <c r="E1475" s="3">
        <f t="shared" si="335"/>
        <v>2010</v>
      </c>
      <c r="F1475" s="3">
        <f t="shared" si="336"/>
        <v>12</v>
      </c>
      <c r="G1475" s="3">
        <f t="shared" si="337"/>
        <v>18</v>
      </c>
      <c r="H1475" s="3">
        <f t="shared" si="338"/>
        <v>12</v>
      </c>
      <c r="I1475" s="3">
        <f t="shared" si="339"/>
        <v>0</v>
      </c>
      <c r="J1475" s="3">
        <f t="shared" si="340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41"/>
        <v>YES</v>
      </c>
      <c r="Q1475" t="str">
        <f t="shared" si="342"/>
        <v>NO</v>
      </c>
      <c r="R1475" t="str">
        <f t="shared" si="343"/>
        <v>NO</v>
      </c>
      <c r="S1475">
        <v>68</v>
      </c>
      <c r="T1475" t="s">
        <v>252</v>
      </c>
      <c r="U1475" t="str">
        <f t="shared" ref="U1475:U1538" si="344">TRIM(PROPER(T1475))</f>
        <v>Walden St</v>
      </c>
      <c r="W1475" t="str">
        <f t="shared" ref="W1475:W1538" si="345">TRIM(PROPER(V1475))</f>
        <v/>
      </c>
      <c r="X1475" t="str">
        <f>IF(ISBLANK(S1475),"Intersection","Non-Intersection")</f>
        <v>Non-Intersection</v>
      </c>
      <c r="Y1475" t="s">
        <v>2380</v>
      </c>
      <c r="Z1475" t="str">
        <f t="shared" ref="Z1475:Z1538" si="346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33"/>
        <v>40179</v>
      </c>
      <c r="D1476" s="4">
        <f t="shared" si="334"/>
        <v>0.9616438356164384</v>
      </c>
      <c r="E1476" s="3">
        <f t="shared" si="335"/>
        <v>2010</v>
      </c>
      <c r="F1476" s="3">
        <f t="shared" si="336"/>
        <v>12</v>
      </c>
      <c r="G1476" s="3">
        <f t="shared" si="337"/>
        <v>18</v>
      </c>
      <c r="H1476" s="3">
        <f t="shared" si="338"/>
        <v>16</v>
      </c>
      <c r="I1476" s="3">
        <f t="shared" si="339"/>
        <v>30</v>
      </c>
      <c r="J1476" s="3">
        <f t="shared" si="340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41"/>
        <v>YES</v>
      </c>
      <c r="Q1476" t="str">
        <f t="shared" si="342"/>
        <v>NO</v>
      </c>
      <c r="R1476" t="str">
        <f t="shared" si="343"/>
        <v>NO</v>
      </c>
      <c r="T1476" t="s">
        <v>202</v>
      </c>
      <c r="U1476" t="str">
        <f t="shared" si="344"/>
        <v>Vassar St</v>
      </c>
      <c r="V1476" t="s">
        <v>2382</v>
      </c>
      <c r="W1476" t="str">
        <f t="shared" si="345"/>
        <v>Amesbury St</v>
      </c>
      <c r="X1476" t="str">
        <f>IF(ISBLANK(S1476),"Intersection","Non-Intersection")</f>
        <v>Intersection</v>
      </c>
      <c r="Y1476" t="s">
        <v>2383</v>
      </c>
      <c r="Z1476" t="str">
        <f t="shared" si="346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33"/>
        <v>40179</v>
      </c>
      <c r="D1477" s="4">
        <f t="shared" si="334"/>
        <v>0.9616438356164384</v>
      </c>
      <c r="E1477" s="3">
        <f t="shared" si="335"/>
        <v>2010</v>
      </c>
      <c r="F1477" s="3">
        <f t="shared" si="336"/>
        <v>12</v>
      </c>
      <c r="G1477" s="3">
        <f t="shared" si="337"/>
        <v>18</v>
      </c>
      <c r="H1477" s="3">
        <f t="shared" si="338"/>
        <v>20</v>
      </c>
      <c r="I1477" s="3">
        <f t="shared" si="339"/>
        <v>49</v>
      </c>
      <c r="J1477" s="3">
        <f t="shared" si="340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41"/>
        <v>YES</v>
      </c>
      <c r="Q1477" t="str">
        <f t="shared" si="342"/>
        <v>NO</v>
      </c>
      <c r="R1477" t="str">
        <f t="shared" si="343"/>
        <v>NO</v>
      </c>
      <c r="S1477">
        <v>18</v>
      </c>
      <c r="T1477" t="s">
        <v>1032</v>
      </c>
      <c r="U1477" t="str">
        <f t="shared" si="344"/>
        <v>Meacham Rd</v>
      </c>
      <c r="W1477" t="str">
        <f t="shared" si="345"/>
        <v/>
      </c>
      <c r="X1477" t="str">
        <f>IF(ISBLANK(S1477),"Intersection","Non-Intersection")</f>
        <v>Non-Intersection</v>
      </c>
      <c r="Y1477" t="s">
        <v>2385</v>
      </c>
      <c r="Z1477" t="str">
        <f t="shared" si="346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33"/>
        <v>40179</v>
      </c>
      <c r="D1478" s="4">
        <f t="shared" si="334"/>
        <v>0.96438356164383565</v>
      </c>
      <c r="E1478" s="3">
        <f t="shared" si="335"/>
        <v>2010</v>
      </c>
      <c r="F1478" s="3">
        <f t="shared" si="336"/>
        <v>12</v>
      </c>
      <c r="G1478" s="3">
        <f t="shared" si="337"/>
        <v>19</v>
      </c>
      <c r="H1478" s="3">
        <f t="shared" si="338"/>
        <v>12</v>
      </c>
      <c r="I1478" s="3">
        <f t="shared" si="339"/>
        <v>18</v>
      </c>
      <c r="J1478" s="3">
        <f t="shared" si="340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41"/>
        <v>YES</v>
      </c>
      <c r="Q1478" t="str">
        <f t="shared" si="342"/>
        <v>NO</v>
      </c>
      <c r="R1478" t="str">
        <f t="shared" si="343"/>
        <v>NO</v>
      </c>
      <c r="T1478" t="s">
        <v>19</v>
      </c>
      <c r="U1478" t="str">
        <f t="shared" si="344"/>
        <v>Cambridge St</v>
      </c>
      <c r="V1478" t="s">
        <v>20</v>
      </c>
      <c r="W1478" t="str">
        <f t="shared" si="345"/>
        <v>Sciarappa St</v>
      </c>
      <c r="X1478" t="str">
        <f>IF(ISBLANK(S1478),"Intersection","Non-Intersection")</f>
        <v>Intersection</v>
      </c>
      <c r="Y1478" t="s">
        <v>21</v>
      </c>
      <c r="Z1478" t="str">
        <f t="shared" si="346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33"/>
        <v>40179</v>
      </c>
      <c r="D1479" s="4">
        <f t="shared" si="334"/>
        <v>0.96438356164383565</v>
      </c>
      <c r="E1479" s="3">
        <f t="shared" si="335"/>
        <v>2010</v>
      </c>
      <c r="F1479" s="3">
        <f t="shared" si="336"/>
        <v>12</v>
      </c>
      <c r="G1479" s="3">
        <f t="shared" si="337"/>
        <v>19</v>
      </c>
      <c r="H1479" s="3">
        <f t="shared" si="338"/>
        <v>6</v>
      </c>
      <c r="I1479" s="3">
        <f t="shared" si="339"/>
        <v>52</v>
      </c>
      <c r="J1479" s="3">
        <f t="shared" si="340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41"/>
        <v>YES</v>
      </c>
      <c r="Q1479" t="str">
        <f t="shared" si="342"/>
        <v>NO</v>
      </c>
      <c r="R1479" t="str">
        <f t="shared" si="343"/>
        <v>NO</v>
      </c>
      <c r="T1479" t="s">
        <v>19</v>
      </c>
      <c r="U1479" t="str">
        <f t="shared" si="344"/>
        <v>Cambridge St</v>
      </c>
      <c r="V1479" t="s">
        <v>74</v>
      </c>
      <c r="W1479" t="str">
        <f t="shared" si="345"/>
        <v>Hampshire St</v>
      </c>
      <c r="X1479" t="str">
        <f>IF(ISBLANK(S1479),"Intersection","Non-Intersection")</f>
        <v>Intersection</v>
      </c>
      <c r="Y1479" t="s">
        <v>111</v>
      </c>
      <c r="Z1479" t="str">
        <f t="shared" si="346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33"/>
        <v>40179</v>
      </c>
      <c r="D1480" s="4">
        <f t="shared" si="334"/>
        <v>0.9671232876712329</v>
      </c>
      <c r="E1480" s="3">
        <f t="shared" si="335"/>
        <v>2010</v>
      </c>
      <c r="F1480" s="3">
        <f t="shared" si="336"/>
        <v>12</v>
      </c>
      <c r="G1480" s="3">
        <f t="shared" si="337"/>
        <v>20</v>
      </c>
      <c r="H1480" s="3">
        <f t="shared" si="338"/>
        <v>15</v>
      </c>
      <c r="I1480" s="3">
        <f t="shared" si="339"/>
        <v>45</v>
      </c>
      <c r="J1480" s="3">
        <f t="shared" si="340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41"/>
        <v>YES</v>
      </c>
      <c r="Q1480" t="str">
        <f t="shared" si="342"/>
        <v>NO</v>
      </c>
      <c r="R1480" t="str">
        <f t="shared" si="343"/>
        <v>NO</v>
      </c>
      <c r="T1480" t="s">
        <v>1502</v>
      </c>
      <c r="U1480" t="str">
        <f t="shared" si="344"/>
        <v>Gore St</v>
      </c>
      <c r="V1480" t="s">
        <v>20</v>
      </c>
      <c r="W1480" t="str">
        <f t="shared" si="345"/>
        <v>Sciarappa St</v>
      </c>
      <c r="X1480" t="str">
        <f>IF(ISBLANK(S1480),"Intersection","Non-Intersection")</f>
        <v>Intersection</v>
      </c>
      <c r="Y1480" t="s">
        <v>1540</v>
      </c>
      <c r="Z1480" t="str">
        <f t="shared" si="346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33"/>
        <v>40179</v>
      </c>
      <c r="D1481" s="4">
        <f t="shared" si="334"/>
        <v>0.9671232876712329</v>
      </c>
      <c r="E1481" s="3">
        <f t="shared" si="335"/>
        <v>2010</v>
      </c>
      <c r="F1481" s="3">
        <f t="shared" si="336"/>
        <v>12</v>
      </c>
      <c r="G1481" s="3">
        <f t="shared" si="337"/>
        <v>20</v>
      </c>
      <c r="H1481" s="3">
        <f t="shared" si="338"/>
        <v>15</v>
      </c>
      <c r="I1481" s="3">
        <f t="shared" si="339"/>
        <v>0</v>
      </c>
      <c r="J1481" s="3">
        <f t="shared" si="340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41"/>
        <v>YES</v>
      </c>
      <c r="Q1481" t="str">
        <f t="shared" si="342"/>
        <v>NO</v>
      </c>
      <c r="R1481" t="str">
        <f t="shared" si="343"/>
        <v>NO</v>
      </c>
      <c r="T1481" t="s">
        <v>209</v>
      </c>
      <c r="U1481" t="str">
        <f t="shared" si="344"/>
        <v>Binney St</v>
      </c>
      <c r="V1481" t="s">
        <v>260</v>
      </c>
      <c r="W1481" t="str">
        <f t="shared" si="345"/>
        <v>Third St</v>
      </c>
      <c r="X1481" t="str">
        <f>IF(ISBLANK(S1481),"Intersection","Non-Intersection")</f>
        <v>Intersection</v>
      </c>
      <c r="Y1481" t="s">
        <v>531</v>
      </c>
      <c r="Z1481" t="str">
        <f t="shared" si="346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33"/>
        <v>40179</v>
      </c>
      <c r="D1482" s="4">
        <f t="shared" si="334"/>
        <v>0.9671232876712329</v>
      </c>
      <c r="E1482" s="3">
        <f t="shared" si="335"/>
        <v>2010</v>
      </c>
      <c r="F1482" s="3">
        <f t="shared" si="336"/>
        <v>12</v>
      </c>
      <c r="G1482" s="3">
        <f t="shared" si="337"/>
        <v>20</v>
      </c>
      <c r="H1482" s="3">
        <f t="shared" si="338"/>
        <v>14</v>
      </c>
      <c r="I1482" s="3">
        <f t="shared" si="339"/>
        <v>4</v>
      </c>
      <c r="J1482" s="3">
        <f t="shared" si="340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41"/>
        <v>YES</v>
      </c>
      <c r="Q1482" t="str">
        <f t="shared" si="342"/>
        <v>NO</v>
      </c>
      <c r="R1482" t="str">
        <f t="shared" si="343"/>
        <v>NO</v>
      </c>
      <c r="T1482" t="s">
        <v>198</v>
      </c>
      <c r="U1482" t="str">
        <f t="shared" si="344"/>
        <v>Mount Auburn St</v>
      </c>
      <c r="V1482" t="s">
        <v>199</v>
      </c>
      <c r="W1482" t="str">
        <f t="shared" si="345"/>
        <v>Brattle St</v>
      </c>
      <c r="X1482" t="str">
        <f>IF(ISBLANK(S1482),"Intersection","Non-Intersection")</f>
        <v>Intersection</v>
      </c>
      <c r="Y1482" t="s">
        <v>767</v>
      </c>
      <c r="Z1482" t="str">
        <f t="shared" si="346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33"/>
        <v>40179</v>
      </c>
      <c r="D1483" s="4">
        <f t="shared" si="334"/>
        <v>0.9671232876712329</v>
      </c>
      <c r="E1483" s="3">
        <f t="shared" si="335"/>
        <v>2010</v>
      </c>
      <c r="F1483" s="3">
        <f t="shared" si="336"/>
        <v>12</v>
      </c>
      <c r="G1483" s="3">
        <f t="shared" si="337"/>
        <v>20</v>
      </c>
      <c r="H1483" s="3">
        <f t="shared" si="338"/>
        <v>11</v>
      </c>
      <c r="I1483" s="3">
        <f t="shared" si="339"/>
        <v>39</v>
      </c>
      <c r="J1483" s="3">
        <f t="shared" si="340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41"/>
        <v>YES</v>
      </c>
      <c r="Q1483" t="str">
        <f t="shared" si="342"/>
        <v>NO</v>
      </c>
      <c r="R1483" t="str">
        <f t="shared" si="343"/>
        <v>YES</v>
      </c>
      <c r="S1483">
        <v>600</v>
      </c>
      <c r="T1483" t="s">
        <v>14</v>
      </c>
      <c r="U1483" t="str">
        <f t="shared" si="344"/>
        <v>Massachusetts Ave</v>
      </c>
      <c r="W1483" t="str">
        <f t="shared" si="345"/>
        <v/>
      </c>
      <c r="X1483" t="str">
        <f>IF(ISBLANK(S1483),"Intersection","Non-Intersection")</f>
        <v>Non-Intersection</v>
      </c>
      <c r="Y1483" t="s">
        <v>2387</v>
      </c>
      <c r="Z1483" t="str">
        <f t="shared" si="346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33"/>
        <v>40179</v>
      </c>
      <c r="D1484" s="4">
        <f t="shared" si="334"/>
        <v>0.9671232876712329</v>
      </c>
      <c r="E1484" s="3">
        <f t="shared" si="335"/>
        <v>2010</v>
      </c>
      <c r="F1484" s="3">
        <f t="shared" si="336"/>
        <v>12</v>
      </c>
      <c r="G1484" s="3">
        <f t="shared" si="337"/>
        <v>20</v>
      </c>
      <c r="H1484" s="3">
        <f t="shared" si="338"/>
        <v>16</v>
      </c>
      <c r="I1484" s="3">
        <f t="shared" si="339"/>
        <v>30</v>
      </c>
      <c r="J1484" s="3">
        <f t="shared" si="340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41"/>
        <v>YES</v>
      </c>
      <c r="Q1484" t="str">
        <f t="shared" si="342"/>
        <v>NO</v>
      </c>
      <c r="R1484" t="str">
        <f t="shared" si="343"/>
        <v>NO</v>
      </c>
      <c r="S1484">
        <v>6</v>
      </c>
      <c r="T1484" t="s">
        <v>1013</v>
      </c>
      <c r="U1484" t="str">
        <f t="shared" si="344"/>
        <v>Blanchard Rd</v>
      </c>
      <c r="W1484" t="str">
        <f t="shared" si="345"/>
        <v/>
      </c>
      <c r="X1484" t="str">
        <f>IF(ISBLANK(S1484),"Intersection","Non-Intersection")</f>
        <v>Non-Intersection</v>
      </c>
      <c r="Y1484" t="s">
        <v>2389</v>
      </c>
      <c r="Z1484" t="str">
        <f t="shared" si="346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33"/>
        <v>40179</v>
      </c>
      <c r="D1485" s="4">
        <f t="shared" si="334"/>
        <v>0.9671232876712329</v>
      </c>
      <c r="E1485" s="3">
        <f t="shared" si="335"/>
        <v>2010</v>
      </c>
      <c r="F1485" s="3">
        <f t="shared" si="336"/>
        <v>12</v>
      </c>
      <c r="G1485" s="3">
        <f t="shared" si="337"/>
        <v>20</v>
      </c>
      <c r="H1485" s="3">
        <f t="shared" si="338"/>
        <v>15</v>
      </c>
      <c r="I1485" s="3">
        <f t="shared" si="339"/>
        <v>56</v>
      </c>
      <c r="J1485" s="3">
        <f t="shared" si="340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41"/>
        <v>YES</v>
      </c>
      <c r="Q1485" t="str">
        <f t="shared" si="342"/>
        <v>NO</v>
      </c>
      <c r="R1485" t="str">
        <f t="shared" si="343"/>
        <v>NO</v>
      </c>
      <c r="S1485">
        <v>29</v>
      </c>
      <c r="T1485" t="s">
        <v>291</v>
      </c>
      <c r="U1485" t="str">
        <f t="shared" si="344"/>
        <v>Raymond St</v>
      </c>
      <c r="W1485" t="str">
        <f t="shared" si="345"/>
        <v/>
      </c>
      <c r="X1485" t="str">
        <f>IF(ISBLANK(S1485),"Intersection","Non-Intersection")</f>
        <v>Non-Intersection</v>
      </c>
      <c r="Y1485" t="s">
        <v>2391</v>
      </c>
      <c r="Z1485" t="str">
        <f t="shared" si="346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33"/>
        <v>40179</v>
      </c>
      <c r="D1486" s="4">
        <f t="shared" si="334"/>
        <v>0.9671232876712329</v>
      </c>
      <c r="E1486" s="3">
        <f t="shared" si="335"/>
        <v>2010</v>
      </c>
      <c r="F1486" s="3">
        <f t="shared" si="336"/>
        <v>12</v>
      </c>
      <c r="G1486" s="3">
        <f t="shared" si="337"/>
        <v>20</v>
      </c>
      <c r="H1486" s="3">
        <f t="shared" si="338"/>
        <v>11</v>
      </c>
      <c r="I1486" s="3">
        <f t="shared" si="339"/>
        <v>13</v>
      </c>
      <c r="J1486" s="3">
        <f t="shared" si="340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41"/>
        <v>YES</v>
      </c>
      <c r="Q1486" t="str">
        <f t="shared" si="342"/>
        <v>NO</v>
      </c>
      <c r="R1486" t="str">
        <f t="shared" si="343"/>
        <v>NO</v>
      </c>
      <c r="S1486">
        <v>100</v>
      </c>
      <c r="T1486" t="s">
        <v>1062</v>
      </c>
      <c r="U1486" t="str">
        <f t="shared" si="344"/>
        <v>Cambridgeside Pl</v>
      </c>
      <c r="W1486" t="str">
        <f t="shared" si="345"/>
        <v/>
      </c>
      <c r="X1486" t="str">
        <f>IF(ISBLANK(S1486),"Intersection","Non-Intersection")</f>
        <v>Non-Intersection</v>
      </c>
      <c r="Y1486" t="s">
        <v>1143</v>
      </c>
      <c r="Z1486" t="str">
        <f t="shared" si="346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33"/>
        <v>40179</v>
      </c>
      <c r="D1487" s="4">
        <f t="shared" si="334"/>
        <v>0.96986301369863015</v>
      </c>
      <c r="E1487" s="3">
        <f t="shared" si="335"/>
        <v>2010</v>
      </c>
      <c r="F1487" s="3">
        <f t="shared" si="336"/>
        <v>12</v>
      </c>
      <c r="G1487" s="3">
        <f t="shared" si="337"/>
        <v>21</v>
      </c>
      <c r="H1487" s="3">
        <f t="shared" si="338"/>
        <v>11</v>
      </c>
      <c r="I1487" s="3">
        <f t="shared" si="339"/>
        <v>39</v>
      </c>
      <c r="J1487" s="3">
        <f t="shared" si="340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41"/>
        <v>YES</v>
      </c>
      <c r="Q1487" t="str">
        <f t="shared" si="342"/>
        <v>NO</v>
      </c>
      <c r="R1487" t="str">
        <f t="shared" si="343"/>
        <v>NO</v>
      </c>
      <c r="T1487" t="s">
        <v>14</v>
      </c>
      <c r="U1487" t="str">
        <f t="shared" si="344"/>
        <v>Massachusetts Ave</v>
      </c>
      <c r="V1487" t="s">
        <v>2060</v>
      </c>
      <c r="W1487" t="str">
        <f t="shared" si="345"/>
        <v>Harvey St</v>
      </c>
      <c r="X1487" t="str">
        <f>IF(ISBLANK(S1487),"Intersection","Non-Intersection")</f>
        <v>Intersection</v>
      </c>
      <c r="Y1487" t="s">
        <v>2393</v>
      </c>
      <c r="Z1487" t="str">
        <f t="shared" si="346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33"/>
        <v>40179</v>
      </c>
      <c r="D1488" s="4">
        <f t="shared" si="334"/>
        <v>0.96986301369863015</v>
      </c>
      <c r="E1488" s="3">
        <f t="shared" si="335"/>
        <v>2010</v>
      </c>
      <c r="F1488" s="3">
        <f t="shared" si="336"/>
        <v>12</v>
      </c>
      <c r="G1488" s="3">
        <f t="shared" si="337"/>
        <v>21</v>
      </c>
      <c r="H1488" s="3">
        <f t="shared" si="338"/>
        <v>13</v>
      </c>
      <c r="I1488" s="3">
        <f t="shared" si="339"/>
        <v>43</v>
      </c>
      <c r="J1488" s="3">
        <f t="shared" si="340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41"/>
        <v>YES</v>
      </c>
      <c r="Q1488" t="str">
        <f t="shared" si="342"/>
        <v>NO</v>
      </c>
      <c r="R1488" t="str">
        <f t="shared" si="343"/>
        <v>NO</v>
      </c>
      <c r="T1488" t="s">
        <v>509</v>
      </c>
      <c r="U1488" t="str">
        <f t="shared" si="344"/>
        <v>Green St</v>
      </c>
      <c r="V1488" t="s">
        <v>27</v>
      </c>
      <c r="W1488" t="str">
        <f t="shared" si="345"/>
        <v>Western Ave</v>
      </c>
      <c r="X1488" t="str">
        <f>IF(ISBLANK(S1488),"Intersection","Non-Intersection")</f>
        <v>Intersection</v>
      </c>
      <c r="Y1488" t="s">
        <v>2311</v>
      </c>
      <c r="Z1488" t="str">
        <f t="shared" si="346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33"/>
        <v>40179</v>
      </c>
      <c r="D1489" s="4">
        <f t="shared" si="334"/>
        <v>0.96986301369863015</v>
      </c>
      <c r="E1489" s="3">
        <f t="shared" si="335"/>
        <v>2010</v>
      </c>
      <c r="F1489" s="3">
        <f t="shared" si="336"/>
        <v>12</v>
      </c>
      <c r="G1489" s="3">
        <f t="shared" si="337"/>
        <v>21</v>
      </c>
      <c r="H1489" s="3">
        <f t="shared" si="338"/>
        <v>17</v>
      </c>
      <c r="I1489" s="3">
        <f t="shared" si="339"/>
        <v>29</v>
      </c>
      <c r="J1489" s="3">
        <f t="shared" si="340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41"/>
        <v>YES</v>
      </c>
      <c r="Q1489" t="str">
        <f t="shared" si="342"/>
        <v>NO</v>
      </c>
      <c r="R1489" t="str">
        <f t="shared" si="343"/>
        <v>NO</v>
      </c>
      <c r="S1489">
        <v>179</v>
      </c>
      <c r="T1489" t="s">
        <v>42</v>
      </c>
      <c r="U1489" t="str">
        <f t="shared" si="344"/>
        <v>Putnam Ave</v>
      </c>
      <c r="W1489" t="str">
        <f t="shared" si="345"/>
        <v/>
      </c>
      <c r="X1489" t="str">
        <f>IF(ISBLANK(S1489),"Intersection","Non-Intersection")</f>
        <v>Non-Intersection</v>
      </c>
      <c r="Y1489" t="s">
        <v>2395</v>
      </c>
      <c r="Z1489" t="str">
        <f t="shared" si="346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33"/>
        <v>40179</v>
      </c>
      <c r="D1490" s="4">
        <f t="shared" si="334"/>
        <v>0.96986301369863015</v>
      </c>
      <c r="E1490" s="3">
        <f t="shared" si="335"/>
        <v>2010</v>
      </c>
      <c r="F1490" s="3">
        <f t="shared" si="336"/>
        <v>12</v>
      </c>
      <c r="G1490" s="3">
        <f t="shared" si="337"/>
        <v>21</v>
      </c>
      <c r="H1490" s="3">
        <f t="shared" si="338"/>
        <v>7</v>
      </c>
      <c r="I1490" s="3">
        <f t="shared" si="339"/>
        <v>54</v>
      </c>
      <c r="J1490" s="3">
        <f t="shared" si="340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41"/>
        <v>YES</v>
      </c>
      <c r="Q1490" t="str">
        <f t="shared" si="342"/>
        <v>NO</v>
      </c>
      <c r="R1490" t="str">
        <f t="shared" si="343"/>
        <v>NO</v>
      </c>
      <c r="T1490" t="s">
        <v>142</v>
      </c>
      <c r="U1490" t="str">
        <f t="shared" si="344"/>
        <v>Huron Ave</v>
      </c>
      <c r="V1490" t="s">
        <v>464</v>
      </c>
      <c r="W1490" t="str">
        <f t="shared" si="345"/>
        <v>Aberdeen Way</v>
      </c>
      <c r="X1490" t="str">
        <f>IF(ISBLANK(S1490),"Intersection","Non-Intersection")</f>
        <v>Intersection</v>
      </c>
      <c r="Y1490" t="s">
        <v>2397</v>
      </c>
      <c r="Z1490" t="str">
        <f t="shared" si="346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33"/>
        <v>40179</v>
      </c>
      <c r="D1491" s="4">
        <f t="shared" si="334"/>
        <v>0.9726027397260274</v>
      </c>
      <c r="E1491" s="3">
        <f t="shared" si="335"/>
        <v>2010</v>
      </c>
      <c r="F1491" s="3">
        <f t="shared" si="336"/>
        <v>12</v>
      </c>
      <c r="G1491" s="3">
        <f t="shared" si="337"/>
        <v>22</v>
      </c>
      <c r="H1491" s="3">
        <f t="shared" si="338"/>
        <v>18</v>
      </c>
      <c r="I1491" s="3">
        <f t="shared" si="339"/>
        <v>40</v>
      </c>
      <c r="J1491" s="3">
        <f t="shared" si="340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41"/>
        <v>YES</v>
      </c>
      <c r="Q1491" t="str">
        <f t="shared" si="342"/>
        <v>NO</v>
      </c>
      <c r="R1491" t="str">
        <f t="shared" si="343"/>
        <v>NO</v>
      </c>
      <c r="T1491" t="s">
        <v>260</v>
      </c>
      <c r="U1491" t="str">
        <f t="shared" si="344"/>
        <v>Third St</v>
      </c>
      <c r="V1491" t="s">
        <v>261</v>
      </c>
      <c r="W1491" t="str">
        <f t="shared" si="345"/>
        <v>Otis St</v>
      </c>
      <c r="X1491" t="str">
        <f>IF(ISBLANK(S1491),"Intersection","Non-Intersection")</f>
        <v>Intersection</v>
      </c>
      <c r="Y1491" t="s">
        <v>262</v>
      </c>
      <c r="Z1491" t="str">
        <f t="shared" si="346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33"/>
        <v>40179</v>
      </c>
      <c r="D1492" s="4">
        <f t="shared" si="334"/>
        <v>0.9726027397260274</v>
      </c>
      <c r="E1492" s="3">
        <f t="shared" si="335"/>
        <v>2010</v>
      </c>
      <c r="F1492" s="3">
        <f t="shared" si="336"/>
        <v>12</v>
      </c>
      <c r="G1492" s="3">
        <f t="shared" si="337"/>
        <v>22</v>
      </c>
      <c r="H1492" s="3">
        <f t="shared" si="338"/>
        <v>15</v>
      </c>
      <c r="I1492" s="3">
        <f t="shared" si="339"/>
        <v>18</v>
      </c>
      <c r="J1492" s="3">
        <f t="shared" si="340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41"/>
        <v>YES</v>
      </c>
      <c r="Q1492" t="str">
        <f t="shared" si="342"/>
        <v>NO</v>
      </c>
      <c r="R1492" t="str">
        <f t="shared" si="343"/>
        <v>NO</v>
      </c>
      <c r="T1492" t="s">
        <v>42</v>
      </c>
      <c r="U1492" t="str">
        <f t="shared" si="344"/>
        <v>Putnam Ave</v>
      </c>
      <c r="V1492" t="s">
        <v>41</v>
      </c>
      <c r="W1492" t="str">
        <f t="shared" si="345"/>
        <v>River St</v>
      </c>
      <c r="X1492" t="str">
        <f>IF(ISBLANK(S1492),"Intersection","Non-Intersection")</f>
        <v>Intersection</v>
      </c>
      <c r="Y1492" t="s">
        <v>2398</v>
      </c>
      <c r="Z1492" t="str">
        <f t="shared" si="346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33"/>
        <v>40179</v>
      </c>
      <c r="D1493" s="4">
        <f t="shared" si="334"/>
        <v>0.9726027397260274</v>
      </c>
      <c r="E1493" s="3">
        <f t="shared" si="335"/>
        <v>2010</v>
      </c>
      <c r="F1493" s="3">
        <f t="shared" si="336"/>
        <v>12</v>
      </c>
      <c r="G1493" s="3">
        <f t="shared" si="337"/>
        <v>22</v>
      </c>
      <c r="H1493" s="3">
        <f t="shared" si="338"/>
        <v>20</v>
      </c>
      <c r="I1493" s="3">
        <f t="shared" si="339"/>
        <v>19</v>
      </c>
      <c r="J1493" s="3">
        <f t="shared" si="340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41"/>
        <v>YES</v>
      </c>
      <c r="Q1493" t="str">
        <f t="shared" si="342"/>
        <v>NO</v>
      </c>
      <c r="R1493" t="str">
        <f t="shared" si="343"/>
        <v>NO</v>
      </c>
      <c r="T1493" t="s">
        <v>105</v>
      </c>
      <c r="U1493" t="str">
        <f t="shared" si="344"/>
        <v>Broadway</v>
      </c>
      <c r="V1493" t="s">
        <v>498</v>
      </c>
      <c r="W1493" t="str">
        <f t="shared" si="345"/>
        <v>Ellery St</v>
      </c>
      <c r="X1493" t="str">
        <f>IF(ISBLANK(S1493),"Intersection","Non-Intersection")</f>
        <v>Intersection</v>
      </c>
      <c r="Y1493" t="s">
        <v>499</v>
      </c>
      <c r="Z1493" t="str">
        <f t="shared" si="346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33"/>
        <v>40179</v>
      </c>
      <c r="D1494" s="4">
        <f t="shared" si="334"/>
        <v>0.9726027397260274</v>
      </c>
      <c r="E1494" s="3">
        <f t="shared" si="335"/>
        <v>2010</v>
      </c>
      <c r="F1494" s="3">
        <f t="shared" si="336"/>
        <v>12</v>
      </c>
      <c r="G1494" s="3">
        <f t="shared" si="337"/>
        <v>22</v>
      </c>
      <c r="H1494" s="3">
        <f t="shared" si="338"/>
        <v>13</v>
      </c>
      <c r="I1494" s="3">
        <f t="shared" si="339"/>
        <v>15</v>
      </c>
      <c r="J1494" s="3">
        <f t="shared" si="340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41"/>
        <v>YES</v>
      </c>
      <c r="Q1494" t="str">
        <f t="shared" si="342"/>
        <v>NO</v>
      </c>
      <c r="R1494" t="str">
        <f t="shared" si="343"/>
        <v>NO</v>
      </c>
      <c r="T1494" t="s">
        <v>19</v>
      </c>
      <c r="U1494" t="str">
        <f t="shared" si="344"/>
        <v>Cambridge St</v>
      </c>
      <c r="V1494" t="s">
        <v>260</v>
      </c>
      <c r="W1494" t="str">
        <f t="shared" si="345"/>
        <v>Third St</v>
      </c>
      <c r="X1494" t="str">
        <f>IF(ISBLANK(S1494),"Intersection","Non-Intersection")</f>
        <v>Intersection</v>
      </c>
      <c r="Y1494" t="s">
        <v>640</v>
      </c>
      <c r="Z1494" t="str">
        <f t="shared" si="346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33"/>
        <v>40179</v>
      </c>
      <c r="D1495" s="4">
        <f t="shared" si="334"/>
        <v>0.97534246575342465</v>
      </c>
      <c r="E1495" s="3">
        <f t="shared" si="335"/>
        <v>2010</v>
      </c>
      <c r="F1495" s="3">
        <f t="shared" si="336"/>
        <v>12</v>
      </c>
      <c r="G1495" s="3">
        <f t="shared" si="337"/>
        <v>23</v>
      </c>
      <c r="H1495" s="3">
        <f t="shared" si="338"/>
        <v>10</v>
      </c>
      <c r="I1495" s="3">
        <f t="shared" si="339"/>
        <v>54</v>
      </c>
      <c r="J1495" s="3">
        <f t="shared" si="340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41"/>
        <v>YES</v>
      </c>
      <c r="Q1495" t="str">
        <f t="shared" si="342"/>
        <v>NO</v>
      </c>
      <c r="R1495" t="str">
        <f t="shared" si="343"/>
        <v>NO</v>
      </c>
      <c r="S1495">
        <v>186</v>
      </c>
      <c r="T1495" t="s">
        <v>170</v>
      </c>
      <c r="U1495" t="str">
        <f t="shared" si="344"/>
        <v>Alewife Brook Pky</v>
      </c>
      <c r="W1495" t="str">
        <f t="shared" si="345"/>
        <v/>
      </c>
      <c r="X1495" t="str">
        <f>IF(ISBLANK(S1495),"Intersection","Non-Intersection")</f>
        <v>Non-Intersection</v>
      </c>
      <c r="Y1495" t="s">
        <v>242</v>
      </c>
      <c r="Z1495" t="str">
        <f t="shared" si="346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33"/>
        <v>40179</v>
      </c>
      <c r="D1496" s="4">
        <f t="shared" si="334"/>
        <v>0.9780821917808219</v>
      </c>
      <c r="E1496" s="3">
        <f t="shared" si="335"/>
        <v>2010</v>
      </c>
      <c r="F1496" s="3">
        <f t="shared" si="336"/>
        <v>12</v>
      </c>
      <c r="G1496" s="3">
        <f t="shared" si="337"/>
        <v>24</v>
      </c>
      <c r="H1496" s="3">
        <f t="shared" si="338"/>
        <v>21</v>
      </c>
      <c r="I1496" s="3">
        <f t="shared" si="339"/>
        <v>46</v>
      </c>
      <c r="J1496" s="3">
        <f t="shared" si="340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41"/>
        <v>YES</v>
      </c>
      <c r="Q1496" t="str">
        <f t="shared" si="342"/>
        <v>NO</v>
      </c>
      <c r="R1496" t="str">
        <f t="shared" si="343"/>
        <v>NO</v>
      </c>
      <c r="T1496" t="s">
        <v>14</v>
      </c>
      <c r="U1496" t="str">
        <f t="shared" si="344"/>
        <v>Massachusetts Ave</v>
      </c>
      <c r="V1496" t="s">
        <v>501</v>
      </c>
      <c r="W1496" t="str">
        <f t="shared" si="345"/>
        <v>Garfield St</v>
      </c>
      <c r="X1496" t="str">
        <f>IF(ISBLANK(S1496),"Intersection","Non-Intersection")</f>
        <v>Intersection</v>
      </c>
      <c r="Y1496" t="s">
        <v>2128</v>
      </c>
      <c r="Z1496" t="str">
        <f t="shared" si="346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33"/>
        <v>40179</v>
      </c>
      <c r="D1497" s="4">
        <f t="shared" si="334"/>
        <v>0.9780821917808219</v>
      </c>
      <c r="E1497" s="3">
        <f t="shared" si="335"/>
        <v>2010</v>
      </c>
      <c r="F1497" s="3">
        <f t="shared" si="336"/>
        <v>12</v>
      </c>
      <c r="G1497" s="3">
        <f t="shared" si="337"/>
        <v>24</v>
      </c>
      <c r="H1497" s="3">
        <f t="shared" si="338"/>
        <v>23</v>
      </c>
      <c r="I1497" s="3">
        <f t="shared" si="339"/>
        <v>1</v>
      </c>
      <c r="J1497" s="3">
        <f t="shared" si="340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41"/>
        <v>YES</v>
      </c>
      <c r="Q1497" t="str">
        <f t="shared" si="342"/>
        <v>NO</v>
      </c>
      <c r="R1497" t="str">
        <f t="shared" si="343"/>
        <v>NO</v>
      </c>
      <c r="S1497">
        <v>75</v>
      </c>
      <c r="T1497" t="s">
        <v>667</v>
      </c>
      <c r="U1497" t="str">
        <f t="shared" si="344"/>
        <v>Tremont St</v>
      </c>
      <c r="W1497" t="str">
        <f t="shared" si="345"/>
        <v/>
      </c>
      <c r="X1497" t="str">
        <f>IF(ISBLANK(S1497),"Intersection","Non-Intersection")</f>
        <v>Non-Intersection</v>
      </c>
      <c r="Y1497" t="s">
        <v>2399</v>
      </c>
      <c r="Z1497" t="str">
        <f t="shared" si="346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33"/>
        <v>40179</v>
      </c>
      <c r="D1498" s="4">
        <f t="shared" si="334"/>
        <v>0.9780821917808219</v>
      </c>
      <c r="E1498" s="3">
        <f t="shared" si="335"/>
        <v>2010</v>
      </c>
      <c r="F1498" s="3">
        <f t="shared" si="336"/>
        <v>12</v>
      </c>
      <c r="G1498" s="3">
        <f t="shared" si="337"/>
        <v>24</v>
      </c>
      <c r="H1498" s="3">
        <f t="shared" si="338"/>
        <v>15</v>
      </c>
      <c r="I1498" s="3">
        <f t="shared" si="339"/>
        <v>13</v>
      </c>
      <c r="J1498" s="3">
        <f t="shared" si="340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41"/>
        <v>YES</v>
      </c>
      <c r="Q1498" t="str">
        <f t="shared" si="342"/>
        <v>NO</v>
      </c>
      <c r="R1498" t="str">
        <f t="shared" si="343"/>
        <v>YES</v>
      </c>
      <c r="T1498" t="s">
        <v>70</v>
      </c>
      <c r="U1498" t="str">
        <f t="shared" si="344"/>
        <v>Pearl St</v>
      </c>
      <c r="W1498" t="str">
        <f t="shared" si="345"/>
        <v/>
      </c>
      <c r="X1498" t="str">
        <f>IF(ISBLANK(S1498),"Intersection","Non-Intersection")</f>
        <v>Intersection</v>
      </c>
      <c r="Y1498" t="s">
        <v>1304</v>
      </c>
      <c r="Z1498" t="str">
        <f t="shared" si="346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33"/>
        <v>40179</v>
      </c>
      <c r="D1499" s="4">
        <f t="shared" si="334"/>
        <v>0.9780821917808219</v>
      </c>
      <c r="E1499" s="3">
        <f t="shared" si="335"/>
        <v>2010</v>
      </c>
      <c r="F1499" s="3">
        <f t="shared" si="336"/>
        <v>12</v>
      </c>
      <c r="G1499" s="3">
        <f t="shared" si="337"/>
        <v>24</v>
      </c>
      <c r="H1499" s="3">
        <f t="shared" si="338"/>
        <v>10</v>
      </c>
      <c r="I1499" s="3">
        <f t="shared" si="339"/>
        <v>50</v>
      </c>
      <c r="J1499" s="3">
        <f t="shared" si="340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41"/>
        <v>YES</v>
      </c>
      <c r="Q1499" t="str">
        <f t="shared" si="342"/>
        <v>NO</v>
      </c>
      <c r="R1499" t="str">
        <f t="shared" si="343"/>
        <v>NO</v>
      </c>
      <c r="S1499">
        <v>200</v>
      </c>
      <c r="T1499" t="s">
        <v>170</v>
      </c>
      <c r="U1499" t="str">
        <f t="shared" si="344"/>
        <v>Alewife Brook Pky</v>
      </c>
      <c r="W1499" t="str">
        <f t="shared" si="345"/>
        <v/>
      </c>
      <c r="X1499" t="str">
        <f>IF(ISBLANK(S1499),"Intersection","Non-Intersection")</f>
        <v>Non-Intersection</v>
      </c>
      <c r="Y1499" t="s">
        <v>2274</v>
      </c>
      <c r="Z1499" t="str">
        <f t="shared" si="346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33"/>
        <v>40179</v>
      </c>
      <c r="D1500" s="4">
        <f t="shared" si="334"/>
        <v>0.98082191780821915</v>
      </c>
      <c r="E1500" s="3">
        <f t="shared" si="335"/>
        <v>2010</v>
      </c>
      <c r="F1500" s="3">
        <f t="shared" si="336"/>
        <v>12</v>
      </c>
      <c r="G1500" s="3">
        <f t="shared" si="337"/>
        <v>25</v>
      </c>
      <c r="H1500" s="3">
        <f t="shared" si="338"/>
        <v>11</v>
      </c>
      <c r="I1500" s="3">
        <f t="shared" si="339"/>
        <v>15</v>
      </c>
      <c r="J1500" s="3">
        <f t="shared" si="340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41"/>
        <v>YES</v>
      </c>
      <c r="Q1500" t="str">
        <f t="shared" si="342"/>
        <v>NO</v>
      </c>
      <c r="R1500" t="str">
        <f t="shared" si="343"/>
        <v>NO</v>
      </c>
      <c r="S1500">
        <v>720</v>
      </c>
      <c r="T1500" t="s">
        <v>14</v>
      </c>
      <c r="U1500" t="str">
        <f t="shared" si="344"/>
        <v>Massachusetts Ave</v>
      </c>
      <c r="W1500" t="str">
        <f t="shared" si="345"/>
        <v/>
      </c>
      <c r="X1500" t="str">
        <f>IF(ISBLANK(S1500),"Intersection","Non-Intersection")</f>
        <v>Non-Intersection</v>
      </c>
      <c r="Y1500" t="s">
        <v>1395</v>
      </c>
      <c r="Z1500" t="str">
        <f t="shared" si="346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33"/>
        <v>40179</v>
      </c>
      <c r="D1501" s="4">
        <f t="shared" si="334"/>
        <v>0.98082191780821915</v>
      </c>
      <c r="E1501" s="3">
        <f t="shared" si="335"/>
        <v>2010</v>
      </c>
      <c r="F1501" s="3">
        <f t="shared" si="336"/>
        <v>12</v>
      </c>
      <c r="G1501" s="3">
        <f t="shared" si="337"/>
        <v>25</v>
      </c>
      <c r="H1501" s="3">
        <f t="shared" si="338"/>
        <v>17</v>
      </c>
      <c r="I1501" s="3">
        <f t="shared" si="339"/>
        <v>0</v>
      </c>
      <c r="J1501" s="3">
        <f t="shared" si="340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41"/>
        <v>YES</v>
      </c>
      <c r="Q1501" t="str">
        <f t="shared" si="342"/>
        <v>NO</v>
      </c>
      <c r="R1501" t="str">
        <f t="shared" si="343"/>
        <v>NO</v>
      </c>
      <c r="S1501">
        <v>81</v>
      </c>
      <c r="T1501" t="s">
        <v>1976</v>
      </c>
      <c r="U1501" t="str">
        <f t="shared" si="344"/>
        <v>Orchard St</v>
      </c>
      <c r="V1501" t="s">
        <v>977</v>
      </c>
      <c r="W1501" t="str">
        <f t="shared" si="345"/>
        <v>Russell St</v>
      </c>
      <c r="X1501" t="str">
        <f>IF(ISBLANK(S1501),"Intersection","Non-Intersection")</f>
        <v>Non-Intersection</v>
      </c>
      <c r="Y1501" t="s">
        <v>2401</v>
      </c>
      <c r="Z1501" t="str">
        <f t="shared" si="346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33"/>
        <v>40179</v>
      </c>
      <c r="D1502" s="4">
        <f t="shared" si="334"/>
        <v>0.98356164383561639</v>
      </c>
      <c r="E1502" s="3">
        <f t="shared" si="335"/>
        <v>2010</v>
      </c>
      <c r="F1502" s="3">
        <f t="shared" si="336"/>
        <v>12</v>
      </c>
      <c r="G1502" s="3">
        <f t="shared" si="337"/>
        <v>26</v>
      </c>
      <c r="H1502" s="3">
        <f t="shared" si="338"/>
        <v>20</v>
      </c>
      <c r="I1502" s="3">
        <f t="shared" si="339"/>
        <v>23</v>
      </c>
      <c r="J1502" s="3">
        <f t="shared" si="340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41"/>
        <v>YES</v>
      </c>
      <c r="Q1502" t="str">
        <f t="shared" si="342"/>
        <v>NO</v>
      </c>
      <c r="R1502" t="str">
        <f t="shared" si="343"/>
        <v>NO</v>
      </c>
      <c r="T1502" t="s">
        <v>19</v>
      </c>
      <c r="U1502" t="str">
        <f t="shared" si="344"/>
        <v>Cambridge St</v>
      </c>
      <c r="V1502" t="s">
        <v>685</v>
      </c>
      <c r="W1502" t="str">
        <f t="shared" si="345"/>
        <v>Warren St</v>
      </c>
      <c r="X1502" t="str">
        <f>IF(ISBLANK(S1502),"Intersection","Non-Intersection")</f>
        <v>Intersection</v>
      </c>
      <c r="Y1502" t="s">
        <v>1217</v>
      </c>
      <c r="Z1502" t="str">
        <f t="shared" si="346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33"/>
        <v>40179</v>
      </c>
      <c r="D1503" s="4">
        <f t="shared" si="334"/>
        <v>0.98356164383561639</v>
      </c>
      <c r="E1503" s="3">
        <f t="shared" si="335"/>
        <v>2010</v>
      </c>
      <c r="F1503" s="3">
        <f t="shared" si="336"/>
        <v>12</v>
      </c>
      <c r="G1503" s="3">
        <f t="shared" si="337"/>
        <v>26</v>
      </c>
      <c r="H1503" s="3">
        <f t="shared" si="338"/>
        <v>15</v>
      </c>
      <c r="I1503" s="3">
        <f t="shared" si="339"/>
        <v>55</v>
      </c>
      <c r="J1503" s="3">
        <f t="shared" si="340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41"/>
        <v>YES</v>
      </c>
      <c r="Q1503" t="str">
        <f t="shared" si="342"/>
        <v>NO</v>
      </c>
      <c r="R1503" t="str">
        <f t="shared" si="343"/>
        <v>NO</v>
      </c>
      <c r="T1503" t="s">
        <v>199</v>
      </c>
      <c r="U1503" t="str">
        <f t="shared" si="344"/>
        <v>Brattle St</v>
      </c>
      <c r="V1503" t="s">
        <v>296</v>
      </c>
      <c r="W1503" t="str">
        <f t="shared" si="345"/>
        <v>Mason St</v>
      </c>
      <c r="X1503" t="str">
        <f>IF(ISBLANK(S1503),"Intersection","Non-Intersection")</f>
        <v>Intersection</v>
      </c>
      <c r="Y1503" t="s">
        <v>2403</v>
      </c>
      <c r="Z1503" t="str">
        <f t="shared" si="346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33"/>
        <v>40179</v>
      </c>
      <c r="D1504" s="4">
        <f t="shared" si="334"/>
        <v>0.98630136986301364</v>
      </c>
      <c r="E1504" s="3">
        <f t="shared" si="335"/>
        <v>2010</v>
      </c>
      <c r="F1504" s="3">
        <f t="shared" si="336"/>
        <v>12</v>
      </c>
      <c r="G1504" s="3">
        <f t="shared" si="337"/>
        <v>27</v>
      </c>
      <c r="H1504" s="3">
        <f t="shared" si="338"/>
        <v>10</v>
      </c>
      <c r="I1504" s="3">
        <f t="shared" si="339"/>
        <v>28</v>
      </c>
      <c r="J1504" s="3">
        <f t="shared" si="340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41"/>
        <v>YES</v>
      </c>
      <c r="Q1504" t="str">
        <f t="shared" si="342"/>
        <v>NO</v>
      </c>
      <c r="R1504" t="str">
        <f t="shared" si="343"/>
        <v>NO</v>
      </c>
      <c r="T1504" t="s">
        <v>745</v>
      </c>
      <c r="U1504" t="str">
        <f t="shared" si="344"/>
        <v>Norfolk St</v>
      </c>
      <c r="V1504" t="s">
        <v>2119</v>
      </c>
      <c r="W1504" t="str">
        <f t="shared" si="345"/>
        <v>Worcester St</v>
      </c>
      <c r="X1504" t="str">
        <f>IF(ISBLANK(S1504),"Intersection","Non-Intersection")</f>
        <v>Intersection</v>
      </c>
      <c r="Y1504" t="s">
        <v>2405</v>
      </c>
      <c r="Z1504" t="str">
        <f t="shared" si="346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33"/>
        <v>40179</v>
      </c>
      <c r="D1505" s="4">
        <f t="shared" si="334"/>
        <v>0.98630136986301364</v>
      </c>
      <c r="E1505" s="3">
        <f t="shared" si="335"/>
        <v>2010</v>
      </c>
      <c r="F1505" s="3">
        <f t="shared" si="336"/>
        <v>12</v>
      </c>
      <c r="G1505" s="3">
        <f t="shared" si="337"/>
        <v>27</v>
      </c>
      <c r="H1505" s="3">
        <f t="shared" si="338"/>
        <v>2</v>
      </c>
      <c r="I1505" s="3">
        <f t="shared" si="339"/>
        <v>0</v>
      </c>
      <c r="J1505" s="3">
        <f t="shared" si="340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41"/>
        <v>YES</v>
      </c>
      <c r="Q1505" t="str">
        <f t="shared" si="342"/>
        <v>NO</v>
      </c>
      <c r="R1505" t="str">
        <f t="shared" si="343"/>
        <v>NO</v>
      </c>
      <c r="T1505" t="s">
        <v>79</v>
      </c>
      <c r="U1505" t="str">
        <f t="shared" si="344"/>
        <v>Ames St</v>
      </c>
      <c r="V1505" t="s">
        <v>32</v>
      </c>
      <c r="W1505" t="str">
        <f t="shared" si="345"/>
        <v>Main St</v>
      </c>
      <c r="X1505" t="str">
        <f>IF(ISBLANK(S1505),"Intersection","Non-Intersection")</f>
        <v>Intersection</v>
      </c>
      <c r="Y1505" t="s">
        <v>2407</v>
      </c>
      <c r="Z1505" t="str">
        <f t="shared" si="346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33"/>
        <v>40179</v>
      </c>
      <c r="D1506" s="4">
        <f t="shared" si="334"/>
        <v>0.98630136986301364</v>
      </c>
      <c r="E1506" s="3">
        <f t="shared" si="335"/>
        <v>2010</v>
      </c>
      <c r="F1506" s="3">
        <f t="shared" si="336"/>
        <v>12</v>
      </c>
      <c r="G1506" s="3">
        <f t="shared" si="337"/>
        <v>27</v>
      </c>
      <c r="H1506" s="3">
        <f t="shared" si="338"/>
        <v>21</v>
      </c>
      <c r="I1506" s="3">
        <f t="shared" si="339"/>
        <v>34</v>
      </c>
      <c r="J1506" s="3">
        <f t="shared" si="340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41"/>
        <v>YES</v>
      </c>
      <c r="Q1506" t="str">
        <f t="shared" si="342"/>
        <v>NO</v>
      </c>
      <c r="R1506" t="str">
        <f t="shared" si="343"/>
        <v>NO</v>
      </c>
      <c r="S1506">
        <v>149</v>
      </c>
      <c r="T1506" t="s">
        <v>737</v>
      </c>
      <c r="U1506" t="str">
        <f t="shared" si="344"/>
        <v>Willow St</v>
      </c>
      <c r="W1506" t="str">
        <f t="shared" si="345"/>
        <v/>
      </c>
      <c r="X1506" t="str">
        <f>IF(ISBLANK(S1506),"Intersection","Non-Intersection")</f>
        <v>Non-Intersection</v>
      </c>
      <c r="Y1506" t="s">
        <v>2409</v>
      </c>
      <c r="Z1506" t="str">
        <f t="shared" si="346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33"/>
        <v>40179</v>
      </c>
      <c r="D1507" s="4">
        <f t="shared" si="334"/>
        <v>0.989041095890411</v>
      </c>
      <c r="E1507" s="3">
        <f t="shared" si="335"/>
        <v>2010</v>
      </c>
      <c r="F1507" s="3">
        <f t="shared" si="336"/>
        <v>12</v>
      </c>
      <c r="G1507" s="3">
        <f t="shared" si="337"/>
        <v>28</v>
      </c>
      <c r="H1507" s="3">
        <f t="shared" si="338"/>
        <v>21</v>
      </c>
      <c r="I1507" s="3">
        <f t="shared" si="339"/>
        <v>30</v>
      </c>
      <c r="J1507" s="3">
        <f t="shared" si="340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41"/>
        <v>YES</v>
      </c>
      <c r="Q1507" t="str">
        <f t="shared" si="342"/>
        <v>NO</v>
      </c>
      <c r="R1507" t="str">
        <f t="shared" si="343"/>
        <v>NO</v>
      </c>
      <c r="S1507">
        <v>31</v>
      </c>
      <c r="T1507" t="s">
        <v>50</v>
      </c>
      <c r="U1507" t="str">
        <f t="shared" si="344"/>
        <v>Belmont St</v>
      </c>
      <c r="W1507" t="str">
        <f t="shared" si="345"/>
        <v/>
      </c>
      <c r="X1507" t="str">
        <f>IF(ISBLANK(S1507),"Intersection","Non-Intersection")</f>
        <v>Non-Intersection</v>
      </c>
      <c r="Y1507" t="s">
        <v>2411</v>
      </c>
      <c r="Z1507" t="str">
        <f t="shared" si="346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33"/>
        <v>40179</v>
      </c>
      <c r="D1508" s="4">
        <f t="shared" si="334"/>
        <v>0.989041095890411</v>
      </c>
      <c r="E1508" s="3">
        <f t="shared" si="335"/>
        <v>2010</v>
      </c>
      <c r="F1508" s="3">
        <f t="shared" si="336"/>
        <v>12</v>
      </c>
      <c r="G1508" s="3">
        <f t="shared" si="337"/>
        <v>28</v>
      </c>
      <c r="H1508" s="3">
        <f t="shared" si="338"/>
        <v>16</v>
      </c>
      <c r="I1508" s="3">
        <f t="shared" si="339"/>
        <v>30</v>
      </c>
      <c r="J1508" s="3">
        <f t="shared" si="340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41"/>
        <v>YES</v>
      </c>
      <c r="Q1508" t="str">
        <f t="shared" si="342"/>
        <v>NO</v>
      </c>
      <c r="R1508" t="str">
        <f t="shared" si="343"/>
        <v>NO</v>
      </c>
      <c r="S1508">
        <v>7</v>
      </c>
      <c r="T1508" t="s">
        <v>740</v>
      </c>
      <c r="U1508" t="str">
        <f t="shared" si="344"/>
        <v>Hudson St</v>
      </c>
      <c r="W1508" t="str">
        <f t="shared" si="345"/>
        <v/>
      </c>
      <c r="X1508" t="str">
        <f>IF(ISBLANK(S1508),"Intersection","Non-Intersection")</f>
        <v>Non-Intersection</v>
      </c>
      <c r="Y1508" t="s">
        <v>2413</v>
      </c>
      <c r="Z1508" t="str">
        <f t="shared" si="346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33"/>
        <v>40179</v>
      </c>
      <c r="D1509" s="4">
        <f t="shared" si="334"/>
        <v>0.99178082191780825</v>
      </c>
      <c r="E1509" s="3">
        <f t="shared" si="335"/>
        <v>2010</v>
      </c>
      <c r="F1509" s="3">
        <f t="shared" si="336"/>
        <v>12</v>
      </c>
      <c r="G1509" s="3">
        <f t="shared" si="337"/>
        <v>29</v>
      </c>
      <c r="H1509" s="3">
        <f t="shared" si="338"/>
        <v>12</v>
      </c>
      <c r="I1509" s="3">
        <f t="shared" si="339"/>
        <v>14</v>
      </c>
      <c r="J1509" s="3">
        <f t="shared" si="340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41"/>
        <v>YES</v>
      </c>
      <c r="Q1509" t="str">
        <f t="shared" si="342"/>
        <v>NO</v>
      </c>
      <c r="R1509" t="str">
        <f t="shared" si="343"/>
        <v>NO</v>
      </c>
      <c r="T1509" t="s">
        <v>142</v>
      </c>
      <c r="U1509" t="str">
        <f t="shared" si="344"/>
        <v>Huron Ave</v>
      </c>
      <c r="V1509" t="s">
        <v>208</v>
      </c>
      <c r="W1509" t="str">
        <f t="shared" si="345"/>
        <v>Sparks St</v>
      </c>
      <c r="X1509" t="str">
        <f>IF(ISBLANK(S1509),"Intersection","Non-Intersection")</f>
        <v>Intersection</v>
      </c>
      <c r="Y1509" t="s">
        <v>1232</v>
      </c>
      <c r="Z1509" t="str">
        <f t="shared" si="346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33"/>
        <v>40179</v>
      </c>
      <c r="D1510" s="4">
        <f t="shared" si="334"/>
        <v>0.99178082191780825</v>
      </c>
      <c r="E1510" s="3">
        <f t="shared" si="335"/>
        <v>2010</v>
      </c>
      <c r="F1510" s="3">
        <f t="shared" si="336"/>
        <v>12</v>
      </c>
      <c r="G1510" s="3">
        <f t="shared" si="337"/>
        <v>29</v>
      </c>
      <c r="H1510" s="3">
        <f t="shared" si="338"/>
        <v>12</v>
      </c>
      <c r="I1510" s="3">
        <f t="shared" si="339"/>
        <v>0</v>
      </c>
      <c r="J1510" s="3">
        <f t="shared" si="340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41"/>
        <v>YES</v>
      </c>
      <c r="Q1510" t="str">
        <f t="shared" si="342"/>
        <v>NO</v>
      </c>
      <c r="R1510" t="str">
        <f t="shared" si="343"/>
        <v>NO</v>
      </c>
      <c r="S1510">
        <v>200</v>
      </c>
      <c r="T1510" t="s">
        <v>521</v>
      </c>
      <c r="U1510" t="str">
        <f t="shared" si="344"/>
        <v>Lakeview Ave</v>
      </c>
      <c r="W1510" t="str">
        <f t="shared" si="345"/>
        <v/>
      </c>
      <c r="X1510" t="str">
        <f>IF(ISBLANK(S1510),"Intersection","Non-Intersection")</f>
        <v>Non-Intersection</v>
      </c>
      <c r="Y1510" t="s">
        <v>2415</v>
      </c>
      <c r="Z1510" t="str">
        <f t="shared" si="346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33"/>
        <v>40179</v>
      </c>
      <c r="D1511" s="4">
        <f t="shared" si="334"/>
        <v>0.99178082191780825</v>
      </c>
      <c r="E1511" s="3">
        <f t="shared" si="335"/>
        <v>2010</v>
      </c>
      <c r="F1511" s="3">
        <f t="shared" si="336"/>
        <v>12</v>
      </c>
      <c r="G1511" s="3">
        <f t="shared" si="337"/>
        <v>29</v>
      </c>
      <c r="H1511" s="3">
        <f t="shared" si="338"/>
        <v>21</v>
      </c>
      <c r="I1511" s="3">
        <f t="shared" si="339"/>
        <v>0</v>
      </c>
      <c r="J1511" s="3">
        <f t="shared" si="340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41"/>
        <v>YES</v>
      </c>
      <c r="Q1511" t="str">
        <f t="shared" si="342"/>
        <v>NO</v>
      </c>
      <c r="R1511" t="str">
        <f t="shared" si="343"/>
        <v>NO</v>
      </c>
      <c r="S1511">
        <v>1</v>
      </c>
      <c r="T1511" t="s">
        <v>2325</v>
      </c>
      <c r="U1511" t="str">
        <f t="shared" si="344"/>
        <v>Marcella St</v>
      </c>
      <c r="W1511" t="str">
        <f t="shared" si="345"/>
        <v/>
      </c>
      <c r="X1511" t="str">
        <f>IF(ISBLANK(S1511),"Intersection","Non-Intersection")</f>
        <v>Non-Intersection</v>
      </c>
      <c r="Y1511" t="s">
        <v>2417</v>
      </c>
      <c r="Z1511" t="str">
        <f t="shared" si="346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33"/>
        <v>40179</v>
      </c>
      <c r="D1512" s="4">
        <f t="shared" si="334"/>
        <v>0.99178082191780825</v>
      </c>
      <c r="E1512" s="3">
        <f t="shared" si="335"/>
        <v>2010</v>
      </c>
      <c r="F1512" s="3">
        <f t="shared" si="336"/>
        <v>12</v>
      </c>
      <c r="G1512" s="3">
        <f t="shared" si="337"/>
        <v>29</v>
      </c>
      <c r="H1512" s="3">
        <f t="shared" si="338"/>
        <v>12</v>
      </c>
      <c r="I1512" s="3">
        <f t="shared" si="339"/>
        <v>0</v>
      </c>
      <c r="J1512" s="3">
        <f t="shared" si="340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41"/>
        <v>YES</v>
      </c>
      <c r="Q1512" t="str">
        <f t="shared" si="342"/>
        <v>NO</v>
      </c>
      <c r="R1512" t="str">
        <f t="shared" si="343"/>
        <v>NO</v>
      </c>
      <c r="S1512">
        <v>44</v>
      </c>
      <c r="T1512" t="s">
        <v>1389</v>
      </c>
      <c r="U1512" t="str">
        <f t="shared" si="344"/>
        <v>Dover St</v>
      </c>
      <c r="W1512" t="str">
        <f t="shared" si="345"/>
        <v/>
      </c>
      <c r="X1512" t="str">
        <f>IF(ISBLANK(S1512),"Intersection","Non-Intersection")</f>
        <v>Non-Intersection</v>
      </c>
      <c r="Y1512" t="s">
        <v>2419</v>
      </c>
      <c r="Z1512" t="str">
        <f t="shared" si="346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33"/>
        <v>40179</v>
      </c>
      <c r="D1513" s="4">
        <f t="shared" si="334"/>
        <v>0.99178082191780825</v>
      </c>
      <c r="E1513" s="3">
        <f t="shared" si="335"/>
        <v>2010</v>
      </c>
      <c r="F1513" s="3">
        <f t="shared" si="336"/>
        <v>12</v>
      </c>
      <c r="G1513" s="3">
        <f t="shared" si="337"/>
        <v>29</v>
      </c>
      <c r="H1513" s="3">
        <f t="shared" si="338"/>
        <v>20</v>
      </c>
      <c r="I1513" s="3">
        <f t="shared" si="339"/>
        <v>29</v>
      </c>
      <c r="J1513" s="3">
        <f t="shared" si="340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41"/>
        <v>YES</v>
      </c>
      <c r="Q1513" t="str">
        <f t="shared" si="342"/>
        <v>NO</v>
      </c>
      <c r="R1513" t="str">
        <f t="shared" si="343"/>
        <v>NO</v>
      </c>
      <c r="T1513" t="s">
        <v>302</v>
      </c>
      <c r="U1513" t="str">
        <f t="shared" si="344"/>
        <v>Waterhouse St</v>
      </c>
      <c r="V1513" t="s">
        <v>2421</v>
      </c>
      <c r="W1513" t="str">
        <f t="shared" si="345"/>
        <v>Follen St</v>
      </c>
      <c r="X1513" t="str">
        <f>IF(ISBLANK(S1513),"Intersection","Non-Intersection")</f>
        <v>Intersection</v>
      </c>
      <c r="Y1513" t="s">
        <v>2422</v>
      </c>
      <c r="Z1513" t="str">
        <f t="shared" si="346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33"/>
        <v>40179</v>
      </c>
      <c r="D1514" s="4">
        <f t="shared" si="334"/>
        <v>0.9945205479452055</v>
      </c>
      <c r="E1514" s="3">
        <f t="shared" si="335"/>
        <v>2010</v>
      </c>
      <c r="F1514" s="3">
        <f t="shared" si="336"/>
        <v>12</v>
      </c>
      <c r="G1514" s="3">
        <f t="shared" si="337"/>
        <v>30</v>
      </c>
      <c r="H1514" s="3">
        <f t="shared" si="338"/>
        <v>2</v>
      </c>
      <c r="I1514" s="3">
        <f t="shared" si="339"/>
        <v>25</v>
      </c>
      <c r="J1514" s="3">
        <f t="shared" si="340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41"/>
        <v>YES</v>
      </c>
      <c r="Q1514" t="str">
        <f t="shared" si="342"/>
        <v>NO</v>
      </c>
      <c r="R1514" t="str">
        <f t="shared" si="343"/>
        <v>NO</v>
      </c>
      <c r="T1514" t="s">
        <v>189</v>
      </c>
      <c r="U1514" t="str">
        <f t="shared" si="344"/>
        <v>Windsor St</v>
      </c>
      <c r="V1514" t="s">
        <v>74</v>
      </c>
      <c r="W1514" t="str">
        <f t="shared" si="345"/>
        <v>Hampshire St</v>
      </c>
      <c r="X1514" t="str">
        <f>IF(ISBLANK(S1514),"Intersection","Non-Intersection")</f>
        <v>Intersection</v>
      </c>
      <c r="Y1514" t="s">
        <v>2424</v>
      </c>
      <c r="Z1514" t="str">
        <f t="shared" si="346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33"/>
        <v>40179</v>
      </c>
      <c r="D1515" s="4">
        <f t="shared" si="334"/>
        <v>0.9945205479452055</v>
      </c>
      <c r="E1515" s="3">
        <f t="shared" si="335"/>
        <v>2010</v>
      </c>
      <c r="F1515" s="3">
        <f t="shared" si="336"/>
        <v>12</v>
      </c>
      <c r="G1515" s="3">
        <f t="shared" si="337"/>
        <v>30</v>
      </c>
      <c r="H1515" s="3">
        <f t="shared" si="338"/>
        <v>14</v>
      </c>
      <c r="I1515" s="3">
        <f t="shared" si="339"/>
        <v>0</v>
      </c>
      <c r="J1515" s="3">
        <f t="shared" si="340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41"/>
        <v>YES</v>
      </c>
      <c r="Q1515" t="str">
        <f t="shared" si="342"/>
        <v>NO</v>
      </c>
      <c r="R1515" t="str">
        <f t="shared" si="343"/>
        <v>NO</v>
      </c>
      <c r="S1515">
        <v>16</v>
      </c>
      <c r="T1515" t="s">
        <v>2021</v>
      </c>
      <c r="U1515" t="str">
        <f t="shared" si="344"/>
        <v>Marney St</v>
      </c>
      <c r="V1515" t="s">
        <v>129</v>
      </c>
      <c r="W1515" t="str">
        <f t="shared" si="345"/>
        <v>Cardinal Medeiros Ave</v>
      </c>
      <c r="X1515" t="str">
        <f>IF(ISBLANK(S1515),"Intersection","Non-Intersection")</f>
        <v>Non-Intersection</v>
      </c>
      <c r="Y1515" t="s">
        <v>2425</v>
      </c>
      <c r="Z1515" t="str">
        <f t="shared" si="346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33"/>
        <v>40179</v>
      </c>
      <c r="D1516" s="4">
        <f t="shared" si="334"/>
        <v>0.9945205479452055</v>
      </c>
      <c r="E1516" s="3">
        <f t="shared" si="335"/>
        <v>2010</v>
      </c>
      <c r="F1516" s="3">
        <f t="shared" si="336"/>
        <v>12</v>
      </c>
      <c r="G1516" s="3">
        <f t="shared" si="337"/>
        <v>30</v>
      </c>
      <c r="H1516" s="3">
        <f t="shared" si="338"/>
        <v>21</v>
      </c>
      <c r="I1516" s="3">
        <f t="shared" si="339"/>
        <v>14</v>
      </c>
      <c r="J1516" s="3">
        <f t="shared" si="340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41"/>
        <v>YES</v>
      </c>
      <c r="Q1516" t="str">
        <f t="shared" si="342"/>
        <v>NO</v>
      </c>
      <c r="R1516" t="str">
        <f t="shared" si="343"/>
        <v>NO</v>
      </c>
      <c r="T1516" t="s">
        <v>268</v>
      </c>
      <c r="U1516" t="str">
        <f t="shared" si="344"/>
        <v>White St</v>
      </c>
      <c r="W1516" t="str">
        <f t="shared" si="345"/>
        <v/>
      </c>
      <c r="X1516" t="str">
        <f>IF(ISBLANK(S1516),"Intersection","Non-Intersection")</f>
        <v>Intersection</v>
      </c>
      <c r="Y1516" t="s">
        <v>949</v>
      </c>
      <c r="Z1516" t="str">
        <f t="shared" si="346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33"/>
        <v>40179</v>
      </c>
      <c r="D1517" s="4">
        <f t="shared" si="334"/>
        <v>0.99726027397260275</v>
      </c>
      <c r="E1517" s="3">
        <f t="shared" si="335"/>
        <v>2010</v>
      </c>
      <c r="F1517" s="3">
        <f t="shared" si="336"/>
        <v>12</v>
      </c>
      <c r="G1517" s="3">
        <f t="shared" si="337"/>
        <v>31</v>
      </c>
      <c r="H1517" s="3">
        <f t="shared" si="338"/>
        <v>1</v>
      </c>
      <c r="I1517" s="3">
        <f t="shared" si="339"/>
        <v>28</v>
      </c>
      <c r="J1517" s="3">
        <f t="shared" si="340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41"/>
        <v>YES</v>
      </c>
      <c r="Q1517" t="str">
        <f t="shared" si="342"/>
        <v>NO</v>
      </c>
      <c r="R1517" t="str">
        <f t="shared" si="343"/>
        <v>NO</v>
      </c>
      <c r="T1517" t="s">
        <v>14</v>
      </c>
      <c r="U1517" t="str">
        <f t="shared" si="344"/>
        <v>Massachusetts Ave</v>
      </c>
      <c r="V1517" t="s">
        <v>1182</v>
      </c>
      <c r="W1517" t="str">
        <f t="shared" si="345"/>
        <v>Amherst St</v>
      </c>
      <c r="X1517" t="str">
        <f>IF(ISBLANK(S1517),"Intersection","Non-Intersection")</f>
        <v>Intersection</v>
      </c>
      <c r="Y1517" t="s">
        <v>1240</v>
      </c>
      <c r="Z1517" t="str">
        <f t="shared" si="346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33"/>
        <v>40179</v>
      </c>
      <c r="D1518" s="4">
        <f t="shared" si="334"/>
        <v>0.99726027397260275</v>
      </c>
      <c r="E1518" s="3">
        <f t="shared" si="335"/>
        <v>2010</v>
      </c>
      <c r="F1518" s="3">
        <f t="shared" si="336"/>
        <v>12</v>
      </c>
      <c r="G1518" s="3">
        <f t="shared" si="337"/>
        <v>31</v>
      </c>
      <c r="H1518" s="3">
        <f t="shared" si="338"/>
        <v>12</v>
      </c>
      <c r="I1518" s="3">
        <f t="shared" si="339"/>
        <v>0</v>
      </c>
      <c r="J1518" s="3">
        <f t="shared" si="340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41"/>
        <v>YES</v>
      </c>
      <c r="Q1518" t="str">
        <f t="shared" si="342"/>
        <v>NO</v>
      </c>
      <c r="R1518" t="str">
        <f t="shared" si="343"/>
        <v>NO</v>
      </c>
      <c r="S1518">
        <v>100</v>
      </c>
      <c r="T1518" t="s">
        <v>1062</v>
      </c>
      <c r="U1518" t="str">
        <f t="shared" si="344"/>
        <v>Cambridgeside Pl</v>
      </c>
      <c r="W1518" t="str">
        <f t="shared" si="345"/>
        <v/>
      </c>
      <c r="X1518" t="str">
        <f>IF(ISBLANK(S1518),"Intersection","Non-Intersection")</f>
        <v>Non-Intersection</v>
      </c>
      <c r="Y1518" t="s">
        <v>1143</v>
      </c>
      <c r="Z1518" t="str">
        <f t="shared" si="346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33"/>
        <v>40179</v>
      </c>
      <c r="D1519" s="4">
        <f t="shared" si="334"/>
        <v>0.99726027397260275</v>
      </c>
      <c r="E1519" s="3">
        <f t="shared" si="335"/>
        <v>2010</v>
      </c>
      <c r="F1519" s="3">
        <f t="shared" si="336"/>
        <v>12</v>
      </c>
      <c r="G1519" s="3">
        <f t="shared" si="337"/>
        <v>31</v>
      </c>
      <c r="H1519" s="3">
        <f t="shared" si="338"/>
        <v>13</v>
      </c>
      <c r="I1519" s="3">
        <f t="shared" si="339"/>
        <v>19</v>
      </c>
      <c r="J1519" s="3">
        <f t="shared" si="340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41"/>
        <v>YES</v>
      </c>
      <c r="Q1519" t="str">
        <f t="shared" si="342"/>
        <v>NO</v>
      </c>
      <c r="R1519" t="str">
        <f t="shared" si="343"/>
        <v>NO</v>
      </c>
      <c r="S1519">
        <v>625</v>
      </c>
      <c r="T1519" t="s">
        <v>198</v>
      </c>
      <c r="U1519" t="str">
        <f t="shared" si="344"/>
        <v>Mount Auburn St</v>
      </c>
      <c r="W1519" t="str">
        <f t="shared" si="345"/>
        <v/>
      </c>
      <c r="X1519" t="str">
        <f>IF(ISBLANK(S1519),"Intersection","Non-Intersection")</f>
        <v>Non-Intersection</v>
      </c>
      <c r="Y1519" t="s">
        <v>2427</v>
      </c>
      <c r="Z1519" t="str">
        <f t="shared" si="346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33"/>
        <v>40179</v>
      </c>
      <c r="D1520" s="4">
        <f t="shared" si="334"/>
        <v>0.99726027397260275</v>
      </c>
      <c r="E1520" s="3">
        <f t="shared" si="335"/>
        <v>2010</v>
      </c>
      <c r="F1520" s="3">
        <f t="shared" si="336"/>
        <v>12</v>
      </c>
      <c r="G1520" s="3">
        <f t="shared" si="337"/>
        <v>31</v>
      </c>
      <c r="H1520" s="3">
        <f t="shared" si="338"/>
        <v>18</v>
      </c>
      <c r="I1520" s="3">
        <f t="shared" si="339"/>
        <v>20</v>
      </c>
      <c r="J1520" s="3">
        <f t="shared" si="340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41"/>
        <v>YES</v>
      </c>
      <c r="Q1520" t="str">
        <f t="shared" si="342"/>
        <v>NO</v>
      </c>
      <c r="R1520" t="str">
        <f t="shared" si="343"/>
        <v>NO</v>
      </c>
      <c r="S1520">
        <v>9</v>
      </c>
      <c r="T1520" t="s">
        <v>1739</v>
      </c>
      <c r="U1520" t="str">
        <f t="shared" si="344"/>
        <v>Harding St</v>
      </c>
      <c r="W1520" t="str">
        <f t="shared" si="345"/>
        <v/>
      </c>
      <c r="X1520" t="str">
        <f>IF(ISBLANK(S1520),"Intersection","Non-Intersection")</f>
        <v>Non-Intersection</v>
      </c>
      <c r="Y1520" t="s">
        <v>2429</v>
      </c>
      <c r="Z1520" t="str">
        <f t="shared" si="346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33"/>
        <v>40179</v>
      </c>
      <c r="D1521" s="4">
        <f t="shared" si="334"/>
        <v>0.99726027397260275</v>
      </c>
      <c r="E1521" s="3">
        <f t="shared" si="335"/>
        <v>2010</v>
      </c>
      <c r="F1521" s="3">
        <f t="shared" si="336"/>
        <v>12</v>
      </c>
      <c r="G1521" s="3">
        <f t="shared" si="337"/>
        <v>31</v>
      </c>
      <c r="H1521" s="3">
        <f t="shared" si="338"/>
        <v>17</v>
      </c>
      <c r="I1521" s="3">
        <f t="shared" si="339"/>
        <v>29</v>
      </c>
      <c r="J1521" s="3">
        <f t="shared" si="340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41"/>
        <v>YES</v>
      </c>
      <c r="Q1521" t="str">
        <f t="shared" si="342"/>
        <v>NO</v>
      </c>
      <c r="R1521" t="str">
        <f t="shared" si="343"/>
        <v>NO</v>
      </c>
      <c r="S1521">
        <v>177</v>
      </c>
      <c r="T1521" t="s">
        <v>1145</v>
      </c>
      <c r="U1521" t="str">
        <f t="shared" si="344"/>
        <v>Pemberton St</v>
      </c>
      <c r="W1521" t="str">
        <f t="shared" si="345"/>
        <v/>
      </c>
      <c r="X1521" t="str">
        <f>IF(ISBLANK(S1521),"Intersection","Non-Intersection")</f>
        <v>Non-Intersection</v>
      </c>
      <c r="Y1521" t="s">
        <v>2431</v>
      </c>
      <c r="Z1521" t="str">
        <f t="shared" si="346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33"/>
        <v>40179</v>
      </c>
      <c r="D1522" s="4">
        <f t="shared" si="334"/>
        <v>0.99726027397260275</v>
      </c>
      <c r="E1522" s="3">
        <f t="shared" si="335"/>
        <v>2010</v>
      </c>
      <c r="F1522" s="3">
        <f t="shared" si="336"/>
        <v>12</v>
      </c>
      <c r="G1522" s="3">
        <f t="shared" si="337"/>
        <v>31</v>
      </c>
      <c r="H1522" s="3">
        <f t="shared" si="338"/>
        <v>18</v>
      </c>
      <c r="I1522" s="3">
        <f t="shared" si="339"/>
        <v>0</v>
      </c>
      <c r="J1522" s="3">
        <f t="shared" si="340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41"/>
        <v>YES</v>
      </c>
      <c r="Q1522" t="str">
        <f t="shared" si="342"/>
        <v>NO</v>
      </c>
      <c r="R1522" t="str">
        <f t="shared" si="343"/>
        <v>NO</v>
      </c>
      <c r="S1522">
        <v>127</v>
      </c>
      <c r="T1522" t="s">
        <v>409</v>
      </c>
      <c r="U1522" t="str">
        <f t="shared" si="344"/>
        <v>Appleton St</v>
      </c>
      <c r="W1522" t="str">
        <f t="shared" si="345"/>
        <v/>
      </c>
      <c r="X1522" t="str">
        <f>IF(ISBLANK(S1522),"Intersection","Non-Intersection")</f>
        <v>Non-Intersection</v>
      </c>
      <c r="Y1522" t="s">
        <v>2433</v>
      </c>
      <c r="Z1522" t="str">
        <f t="shared" si="346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33"/>
        <v>40179</v>
      </c>
      <c r="D1523" s="4">
        <f t="shared" si="334"/>
        <v>0.99726027397260275</v>
      </c>
      <c r="E1523" s="3">
        <f t="shared" si="335"/>
        <v>2010</v>
      </c>
      <c r="F1523" s="3">
        <f t="shared" si="336"/>
        <v>12</v>
      </c>
      <c r="G1523" s="3">
        <f t="shared" si="337"/>
        <v>31</v>
      </c>
      <c r="H1523" s="3">
        <f t="shared" si="338"/>
        <v>14</v>
      </c>
      <c r="I1523" s="3">
        <f t="shared" si="339"/>
        <v>0</v>
      </c>
      <c r="J1523" s="3">
        <f t="shared" si="340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41"/>
        <v>YES</v>
      </c>
      <c r="Q1523" t="str">
        <f t="shared" si="342"/>
        <v>NO</v>
      </c>
      <c r="R1523" t="str">
        <f t="shared" si="343"/>
        <v>NO</v>
      </c>
      <c r="S1523">
        <v>21</v>
      </c>
      <c r="T1523" t="s">
        <v>280</v>
      </c>
      <c r="U1523" t="str">
        <f t="shared" si="344"/>
        <v>Jackson St</v>
      </c>
      <c r="W1523" t="str">
        <f t="shared" si="345"/>
        <v/>
      </c>
      <c r="X1523" t="str">
        <f>IF(ISBLANK(S1523),"Intersection","Non-Intersection")</f>
        <v>Non-Intersection</v>
      </c>
      <c r="Y1523" t="s">
        <v>2435</v>
      </c>
      <c r="Z1523" t="str">
        <f t="shared" si="346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33"/>
        <v>40179</v>
      </c>
      <c r="D1524" s="4">
        <f t="shared" si="334"/>
        <v>0.99726027397260275</v>
      </c>
      <c r="E1524" s="3">
        <f t="shared" si="335"/>
        <v>2010</v>
      </c>
      <c r="F1524" s="3">
        <f t="shared" si="336"/>
        <v>12</v>
      </c>
      <c r="G1524" s="3">
        <f t="shared" si="337"/>
        <v>31</v>
      </c>
      <c r="H1524" s="3">
        <f t="shared" si="338"/>
        <v>12</v>
      </c>
      <c r="I1524" s="3">
        <f t="shared" si="339"/>
        <v>0</v>
      </c>
      <c r="J1524" s="3">
        <f t="shared" si="340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41"/>
        <v>YES</v>
      </c>
      <c r="Q1524" t="str">
        <f t="shared" si="342"/>
        <v>NO</v>
      </c>
      <c r="R1524" t="str">
        <f t="shared" si="343"/>
        <v>NO</v>
      </c>
      <c r="S1524">
        <v>80</v>
      </c>
      <c r="T1524" t="s">
        <v>2437</v>
      </c>
      <c r="U1524" t="str">
        <f t="shared" si="344"/>
        <v>Gerrys Landing Rd</v>
      </c>
      <c r="W1524" t="str">
        <f t="shared" si="345"/>
        <v/>
      </c>
      <c r="X1524" t="str">
        <f>IF(ISBLANK(S1524),"Intersection","Non-Intersection")</f>
        <v>Non-Intersection</v>
      </c>
      <c r="Y1524" t="s">
        <v>2438</v>
      </c>
      <c r="Z1524" t="str">
        <f t="shared" si="346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33"/>
        <v>40544</v>
      </c>
      <c r="D1525" s="4">
        <f t="shared" si="334"/>
        <v>0</v>
      </c>
      <c r="E1525" s="3">
        <f t="shared" si="335"/>
        <v>2011</v>
      </c>
      <c r="F1525" s="3">
        <f t="shared" si="336"/>
        <v>1</v>
      </c>
      <c r="G1525" s="3">
        <f t="shared" si="337"/>
        <v>1</v>
      </c>
      <c r="H1525" s="3">
        <f t="shared" si="338"/>
        <v>5</v>
      </c>
      <c r="I1525" s="3">
        <f t="shared" si="339"/>
        <v>0</v>
      </c>
      <c r="J1525" s="3">
        <f t="shared" si="340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41"/>
        <v>YES</v>
      </c>
      <c r="Q1525" t="str">
        <f t="shared" si="342"/>
        <v>NO</v>
      </c>
      <c r="R1525" t="str">
        <f t="shared" si="343"/>
        <v>NO</v>
      </c>
      <c r="S1525">
        <v>158</v>
      </c>
      <c r="T1525" t="s">
        <v>74</v>
      </c>
      <c r="U1525" t="str">
        <f t="shared" si="344"/>
        <v>Hampshire St</v>
      </c>
      <c r="W1525" t="str">
        <f t="shared" si="345"/>
        <v/>
      </c>
      <c r="X1525" t="str">
        <f>IF(ISBLANK(S1525),"Intersection","Non-Intersection")</f>
        <v>Non-Intersection</v>
      </c>
      <c r="Y1525" t="s">
        <v>2440</v>
      </c>
      <c r="Z1525" t="str">
        <f t="shared" si="346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33"/>
        <v>40544</v>
      </c>
      <c r="D1526" s="4">
        <f t="shared" si="334"/>
        <v>0</v>
      </c>
      <c r="E1526" s="3">
        <f t="shared" si="335"/>
        <v>2011</v>
      </c>
      <c r="F1526" s="3">
        <f t="shared" si="336"/>
        <v>1</v>
      </c>
      <c r="G1526" s="3">
        <f t="shared" si="337"/>
        <v>1</v>
      </c>
      <c r="H1526" s="3">
        <f t="shared" si="338"/>
        <v>11</v>
      </c>
      <c r="I1526" s="3">
        <f t="shared" si="339"/>
        <v>0</v>
      </c>
      <c r="J1526" s="3">
        <f t="shared" si="340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41"/>
        <v>YES</v>
      </c>
      <c r="Q1526" t="str">
        <f t="shared" si="342"/>
        <v>NO</v>
      </c>
      <c r="R1526" t="str">
        <f t="shared" si="343"/>
        <v>NO</v>
      </c>
      <c r="S1526">
        <v>350</v>
      </c>
      <c r="T1526" t="s">
        <v>32</v>
      </c>
      <c r="U1526" t="str">
        <f t="shared" si="344"/>
        <v>Main St</v>
      </c>
      <c r="W1526" t="str">
        <f t="shared" si="345"/>
        <v/>
      </c>
      <c r="X1526" t="str">
        <f>IF(ISBLANK(S1526),"Intersection","Non-Intersection")</f>
        <v>Non-Intersection</v>
      </c>
      <c r="Y1526" t="s">
        <v>33</v>
      </c>
      <c r="Z1526" t="str">
        <f t="shared" si="346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33"/>
        <v>40544</v>
      </c>
      <c r="D1527" s="4">
        <f t="shared" si="334"/>
        <v>0</v>
      </c>
      <c r="E1527" s="3">
        <f t="shared" si="335"/>
        <v>2011</v>
      </c>
      <c r="F1527" s="3">
        <f t="shared" si="336"/>
        <v>1</v>
      </c>
      <c r="G1527" s="3">
        <f t="shared" si="337"/>
        <v>1</v>
      </c>
      <c r="H1527" s="3">
        <f t="shared" si="338"/>
        <v>18</v>
      </c>
      <c r="I1527" s="3">
        <f t="shared" si="339"/>
        <v>59</v>
      </c>
      <c r="J1527" s="3">
        <f t="shared" si="340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41"/>
        <v>YES</v>
      </c>
      <c r="Q1527" t="str">
        <f t="shared" si="342"/>
        <v>NO</v>
      </c>
      <c r="R1527" t="str">
        <f t="shared" si="343"/>
        <v>NO</v>
      </c>
      <c r="T1527" t="s">
        <v>199</v>
      </c>
      <c r="U1527" t="str">
        <f t="shared" si="344"/>
        <v>Brattle St</v>
      </c>
      <c r="W1527" t="str">
        <f t="shared" si="345"/>
        <v/>
      </c>
      <c r="X1527" t="str">
        <f>IF(ISBLANK(S1527),"Intersection","Non-Intersection")</f>
        <v>Intersection</v>
      </c>
      <c r="Y1527" t="s">
        <v>1010</v>
      </c>
      <c r="Z1527" t="str">
        <f t="shared" si="346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33"/>
        <v>40544</v>
      </c>
      <c r="D1528" s="4">
        <f t="shared" si="334"/>
        <v>0</v>
      </c>
      <c r="E1528" s="3">
        <f t="shared" si="335"/>
        <v>2011</v>
      </c>
      <c r="F1528" s="3">
        <f t="shared" si="336"/>
        <v>1</v>
      </c>
      <c r="G1528" s="3">
        <f t="shared" si="337"/>
        <v>1</v>
      </c>
      <c r="H1528" s="3">
        <f t="shared" si="338"/>
        <v>2</v>
      </c>
      <c r="I1528" s="3">
        <f t="shared" si="339"/>
        <v>25</v>
      </c>
      <c r="J1528" s="3">
        <f t="shared" si="340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41"/>
        <v>YES</v>
      </c>
      <c r="Q1528" t="str">
        <f t="shared" si="342"/>
        <v>NO</v>
      </c>
      <c r="R1528" t="str">
        <f t="shared" si="343"/>
        <v>NO</v>
      </c>
      <c r="T1528" t="s">
        <v>14</v>
      </c>
      <c r="U1528" t="str">
        <f t="shared" si="344"/>
        <v>Massachusetts Ave</v>
      </c>
      <c r="V1528" t="s">
        <v>354</v>
      </c>
      <c r="W1528" t="str">
        <f t="shared" si="345"/>
        <v>Linnaean St</v>
      </c>
      <c r="X1528" t="str">
        <f>IF(ISBLANK(S1528),"Intersection","Non-Intersection")</f>
        <v>Intersection</v>
      </c>
      <c r="Y1528" t="s">
        <v>1234</v>
      </c>
      <c r="Z1528" t="str">
        <f t="shared" si="346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33"/>
        <v>40544</v>
      </c>
      <c r="D1529" s="4">
        <f t="shared" si="334"/>
        <v>0</v>
      </c>
      <c r="E1529" s="3">
        <f t="shared" si="335"/>
        <v>2011</v>
      </c>
      <c r="F1529" s="3">
        <f t="shared" si="336"/>
        <v>1</v>
      </c>
      <c r="G1529" s="3">
        <f t="shared" si="337"/>
        <v>1</v>
      </c>
      <c r="H1529" s="3">
        <f t="shared" si="338"/>
        <v>13</v>
      </c>
      <c r="I1529" s="3">
        <f t="shared" si="339"/>
        <v>54</v>
      </c>
      <c r="J1529" s="3">
        <f t="shared" si="340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41"/>
        <v>YES</v>
      </c>
      <c r="Q1529" t="str">
        <f t="shared" si="342"/>
        <v>NO</v>
      </c>
      <c r="R1529" t="str">
        <f t="shared" si="343"/>
        <v>NO</v>
      </c>
      <c r="T1529" t="s">
        <v>75</v>
      </c>
      <c r="U1529" t="str">
        <f t="shared" si="344"/>
        <v>Elm St</v>
      </c>
      <c r="V1529" t="s">
        <v>1903</v>
      </c>
      <c r="W1529" t="str">
        <f t="shared" si="345"/>
        <v>Lincoln St</v>
      </c>
      <c r="X1529" t="str">
        <f>IF(ISBLANK(S1529),"Intersection","Non-Intersection")</f>
        <v>Intersection</v>
      </c>
      <c r="Y1529" t="s">
        <v>1904</v>
      </c>
      <c r="Z1529" t="str">
        <f t="shared" si="346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33"/>
        <v>40544</v>
      </c>
      <c r="D1530" s="4">
        <f t="shared" si="334"/>
        <v>0</v>
      </c>
      <c r="E1530" s="3">
        <f t="shared" si="335"/>
        <v>2011</v>
      </c>
      <c r="F1530" s="3">
        <f t="shared" si="336"/>
        <v>1</v>
      </c>
      <c r="G1530" s="3">
        <f t="shared" si="337"/>
        <v>1</v>
      </c>
      <c r="H1530" s="3">
        <f t="shared" si="338"/>
        <v>12</v>
      </c>
      <c r="I1530" s="3">
        <f t="shared" si="339"/>
        <v>50</v>
      </c>
      <c r="J1530" s="3">
        <f t="shared" si="340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41"/>
        <v>NO</v>
      </c>
      <c r="Q1530" t="str">
        <f t="shared" si="342"/>
        <v>NO</v>
      </c>
      <c r="R1530" t="str">
        <f t="shared" si="343"/>
        <v>NO</v>
      </c>
      <c r="T1530" t="s">
        <v>1438</v>
      </c>
      <c r="U1530" t="str">
        <f t="shared" si="344"/>
        <v>Dunster St</v>
      </c>
      <c r="W1530" t="str">
        <f t="shared" si="345"/>
        <v/>
      </c>
      <c r="X1530" t="str">
        <f>IF(ISBLANK(S1530),"Intersection","Non-Intersection")</f>
        <v>Intersection</v>
      </c>
      <c r="Y1530" t="s">
        <v>2442</v>
      </c>
      <c r="Z1530" t="str">
        <f t="shared" si="346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33"/>
        <v>40544</v>
      </c>
      <c r="D1531" s="4">
        <f t="shared" si="334"/>
        <v>0</v>
      </c>
      <c r="E1531" s="3">
        <f t="shared" si="335"/>
        <v>2011</v>
      </c>
      <c r="F1531" s="3">
        <f t="shared" si="336"/>
        <v>1</v>
      </c>
      <c r="G1531" s="3">
        <f t="shared" si="337"/>
        <v>1</v>
      </c>
      <c r="H1531" s="3">
        <f t="shared" si="338"/>
        <v>13</v>
      </c>
      <c r="I1531" s="3">
        <f t="shared" si="339"/>
        <v>0</v>
      </c>
      <c r="J1531" s="3">
        <f t="shared" si="340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41"/>
        <v>YES</v>
      </c>
      <c r="Q1531" t="str">
        <f t="shared" si="342"/>
        <v>NO</v>
      </c>
      <c r="R1531" t="str">
        <f t="shared" si="343"/>
        <v>NO</v>
      </c>
      <c r="T1531" t="s">
        <v>27</v>
      </c>
      <c r="U1531" t="str">
        <f t="shared" si="344"/>
        <v>Western Ave</v>
      </c>
      <c r="V1531" t="s">
        <v>2443</v>
      </c>
      <c r="W1531" t="str">
        <f t="shared" si="345"/>
        <v>Dodge St</v>
      </c>
      <c r="X1531" t="str">
        <f>IF(ISBLANK(S1531),"Intersection","Non-Intersection")</f>
        <v>Intersection</v>
      </c>
      <c r="Y1531" t="s">
        <v>2444</v>
      </c>
      <c r="Z1531" t="str">
        <f t="shared" si="346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47">EOMONTH(B1532,MONTH(B1532)*-1)+1</f>
        <v>40544</v>
      </c>
      <c r="D1532" s="4">
        <f t="shared" ref="D1532:D1592" si="348">YEARFRAC(C1532,B1532,1)</f>
        <v>2.7397260273972603E-3</v>
      </c>
      <c r="E1532" s="3">
        <f t="shared" ref="E1532:E1592" si="349">YEAR(B1532)</f>
        <v>2011</v>
      </c>
      <c r="F1532" s="3">
        <f t="shared" ref="F1532:F1592" si="350">MONTH(B1532)</f>
        <v>1</v>
      </c>
      <c r="G1532" s="3">
        <f t="shared" ref="G1532:G1592" si="351">DAY(B1532)</f>
        <v>2</v>
      </c>
      <c r="H1532" s="3">
        <f t="shared" ref="H1532:H1592" si="352">HOUR(B1532)</f>
        <v>21</v>
      </c>
      <c r="I1532" s="3">
        <f t="shared" ref="I1532:I1592" si="353">MINUTE(B1532)</f>
        <v>4</v>
      </c>
      <c r="J1532" s="3">
        <f t="shared" ref="J1532:J1592" si="354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55">IF(OR(N1532="Auto",O1532="Auto"),"YES",IF(OR(N1532="Taxi",O1532="Taxi"),"YES",IF(OR(N1532="Van",O1532="Van"),"YES",IF(OR(N1532="Truck",O1532="Truck"),"YES","NO"))))</f>
        <v>YES</v>
      </c>
      <c r="Q1532" t="str">
        <f t="shared" ref="Q1532:Q1592" si="356">IF(OR(N1532="Bicycle",O1532="Bicycle"),"YES","NO")</f>
        <v>NO</v>
      </c>
      <c r="R1532" t="str">
        <f t="shared" ref="R1532:R1592" si="357">IF(OR(N1532="Pedestrian",O1532="Pedestrian"),"YES","NO")</f>
        <v>YES</v>
      </c>
      <c r="T1532" t="s">
        <v>14</v>
      </c>
      <c r="U1532" t="str">
        <f t="shared" si="344"/>
        <v>Massachusetts Ave</v>
      </c>
      <c r="V1532" t="s">
        <v>745</v>
      </c>
      <c r="W1532" t="str">
        <f t="shared" si="345"/>
        <v>Norfolk St</v>
      </c>
      <c r="X1532" t="str">
        <f>IF(ISBLANK(S1532),"Intersection","Non-Intersection")</f>
        <v>Intersection</v>
      </c>
      <c r="Y1532" t="s">
        <v>873</v>
      </c>
      <c r="Z1532" t="str">
        <f t="shared" si="346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47"/>
        <v>40544</v>
      </c>
      <c r="D1533" s="4">
        <f t="shared" si="348"/>
        <v>2.7397260273972603E-3</v>
      </c>
      <c r="E1533" s="3">
        <f t="shared" si="349"/>
        <v>2011</v>
      </c>
      <c r="F1533" s="3">
        <f t="shared" si="350"/>
        <v>1</v>
      </c>
      <c r="G1533" s="3">
        <f t="shared" si="351"/>
        <v>2</v>
      </c>
      <c r="H1533" s="3">
        <f t="shared" si="352"/>
        <v>0</v>
      </c>
      <c r="I1533" s="3">
        <f t="shared" si="353"/>
        <v>59</v>
      </c>
      <c r="J1533" s="3">
        <f t="shared" si="354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55"/>
        <v>YES</v>
      </c>
      <c r="Q1533" t="str">
        <f t="shared" si="356"/>
        <v>NO</v>
      </c>
      <c r="R1533" t="str">
        <f t="shared" si="357"/>
        <v>NO</v>
      </c>
      <c r="S1533">
        <v>28</v>
      </c>
      <c r="T1533" t="s">
        <v>754</v>
      </c>
      <c r="U1533" t="str">
        <f t="shared" si="344"/>
        <v>Clarendon Ave</v>
      </c>
      <c r="W1533" t="str">
        <f t="shared" si="345"/>
        <v/>
      </c>
      <c r="X1533" t="str">
        <f>IF(ISBLANK(S1533),"Intersection","Non-Intersection")</f>
        <v>Non-Intersection</v>
      </c>
      <c r="Y1533" t="s">
        <v>2446</v>
      </c>
      <c r="Z1533" t="str">
        <f t="shared" si="346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47"/>
        <v>40544</v>
      </c>
      <c r="D1534" s="4">
        <f t="shared" si="348"/>
        <v>2.7397260273972603E-3</v>
      </c>
      <c r="E1534" s="3">
        <f t="shared" si="349"/>
        <v>2011</v>
      </c>
      <c r="F1534" s="3">
        <f t="shared" si="350"/>
        <v>1</v>
      </c>
      <c r="G1534" s="3">
        <f t="shared" si="351"/>
        <v>2</v>
      </c>
      <c r="H1534" s="3">
        <f t="shared" si="352"/>
        <v>3</v>
      </c>
      <c r="I1534" s="3">
        <f t="shared" si="353"/>
        <v>33</v>
      </c>
      <c r="J1534" s="3">
        <f t="shared" si="354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55"/>
        <v>YES</v>
      </c>
      <c r="Q1534" t="str">
        <f t="shared" si="356"/>
        <v>NO</v>
      </c>
      <c r="R1534" t="str">
        <f t="shared" si="357"/>
        <v>NO</v>
      </c>
      <c r="T1534" t="s">
        <v>958</v>
      </c>
      <c r="U1534" t="str">
        <f t="shared" si="344"/>
        <v>Pacific St</v>
      </c>
      <c r="V1534" t="s">
        <v>119</v>
      </c>
      <c r="W1534" t="str">
        <f t="shared" si="345"/>
        <v>Albany St</v>
      </c>
      <c r="X1534" t="str">
        <f>IF(ISBLANK(S1534),"Intersection","Non-Intersection")</f>
        <v>Intersection</v>
      </c>
      <c r="Y1534" t="s">
        <v>2448</v>
      </c>
      <c r="Z1534" t="str">
        <f t="shared" si="346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47"/>
        <v>40544</v>
      </c>
      <c r="D1535" s="4">
        <f t="shared" si="348"/>
        <v>2.7397260273972603E-3</v>
      </c>
      <c r="E1535" s="3">
        <f t="shared" si="349"/>
        <v>2011</v>
      </c>
      <c r="F1535" s="3">
        <f t="shared" si="350"/>
        <v>1</v>
      </c>
      <c r="G1535" s="3">
        <f t="shared" si="351"/>
        <v>2</v>
      </c>
      <c r="H1535" s="3">
        <f t="shared" si="352"/>
        <v>16</v>
      </c>
      <c r="I1535" s="3">
        <f t="shared" si="353"/>
        <v>50</v>
      </c>
      <c r="J1535" s="3">
        <f t="shared" si="354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55"/>
        <v>YES</v>
      </c>
      <c r="Q1535" t="str">
        <f t="shared" si="356"/>
        <v>YES</v>
      </c>
      <c r="R1535" t="str">
        <f t="shared" si="357"/>
        <v>NO</v>
      </c>
      <c r="T1535" t="s">
        <v>203</v>
      </c>
      <c r="U1535" t="str">
        <f t="shared" si="344"/>
        <v>Memorial Dr</v>
      </c>
      <c r="V1535" t="s">
        <v>178</v>
      </c>
      <c r="W1535" t="str">
        <f t="shared" si="345"/>
        <v>Pleasant St</v>
      </c>
      <c r="X1535" t="str">
        <f>IF(ISBLANK(S1535),"Intersection","Non-Intersection")</f>
        <v>Intersection</v>
      </c>
      <c r="Y1535" t="s">
        <v>2449</v>
      </c>
      <c r="Z1535" t="str">
        <f t="shared" si="346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47"/>
        <v>40544</v>
      </c>
      <c r="D1536" s="4">
        <f t="shared" si="348"/>
        <v>2.7397260273972603E-3</v>
      </c>
      <c r="E1536" s="3">
        <f t="shared" si="349"/>
        <v>2011</v>
      </c>
      <c r="F1536" s="3">
        <f t="shared" si="350"/>
        <v>1</v>
      </c>
      <c r="G1536" s="3">
        <f t="shared" si="351"/>
        <v>2</v>
      </c>
      <c r="H1536" s="3">
        <f t="shared" si="352"/>
        <v>23</v>
      </c>
      <c r="I1536" s="3">
        <f t="shared" si="353"/>
        <v>49</v>
      </c>
      <c r="J1536" s="3">
        <f t="shared" si="354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55"/>
        <v>YES</v>
      </c>
      <c r="Q1536" t="str">
        <f t="shared" si="356"/>
        <v>NO</v>
      </c>
      <c r="R1536" t="str">
        <f t="shared" si="357"/>
        <v>NO</v>
      </c>
      <c r="S1536">
        <v>1401</v>
      </c>
      <c r="T1536" t="s">
        <v>14</v>
      </c>
      <c r="U1536" t="str">
        <f t="shared" si="344"/>
        <v>Massachusetts Ave</v>
      </c>
      <c r="V1536" t="s">
        <v>1438</v>
      </c>
      <c r="W1536" t="str">
        <f t="shared" si="345"/>
        <v>Dunster St</v>
      </c>
      <c r="X1536" t="str">
        <f>IF(ISBLANK(S1536),"Intersection","Non-Intersection")</f>
        <v>Non-Intersection</v>
      </c>
      <c r="Y1536" t="s">
        <v>2451</v>
      </c>
      <c r="Z1536" t="str">
        <f t="shared" si="346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47"/>
        <v>40544</v>
      </c>
      <c r="D1537" s="4">
        <f t="shared" si="348"/>
        <v>5.4794520547945206E-3</v>
      </c>
      <c r="E1537" s="3">
        <f t="shared" si="349"/>
        <v>2011</v>
      </c>
      <c r="F1537" s="3">
        <f t="shared" si="350"/>
        <v>1</v>
      </c>
      <c r="G1537" s="3">
        <f t="shared" si="351"/>
        <v>3</v>
      </c>
      <c r="H1537" s="3">
        <f t="shared" si="352"/>
        <v>8</v>
      </c>
      <c r="I1537" s="3">
        <f t="shared" si="353"/>
        <v>45</v>
      </c>
      <c r="J1537" s="3">
        <f t="shared" si="354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55"/>
        <v>YES</v>
      </c>
      <c r="Q1537" t="str">
        <f t="shared" si="356"/>
        <v>NO</v>
      </c>
      <c r="R1537" t="str">
        <f t="shared" si="357"/>
        <v>NO</v>
      </c>
      <c r="S1537" t="s">
        <v>2452</v>
      </c>
      <c r="T1537" t="s">
        <v>198</v>
      </c>
      <c r="U1537" t="str">
        <f t="shared" si="344"/>
        <v>Mount Auburn St</v>
      </c>
      <c r="W1537" t="str">
        <f t="shared" si="345"/>
        <v/>
      </c>
      <c r="X1537" t="str">
        <f>IF(ISBLANK(S1537),"Intersection","Non-Intersection")</f>
        <v>Non-Intersection</v>
      </c>
      <c r="Y1537" t="s">
        <v>2453</v>
      </c>
      <c r="Z1537" t="str">
        <f t="shared" si="346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47"/>
        <v>40544</v>
      </c>
      <c r="D1538" s="4">
        <f t="shared" si="348"/>
        <v>5.4794520547945206E-3</v>
      </c>
      <c r="E1538" s="3">
        <f t="shared" si="349"/>
        <v>2011</v>
      </c>
      <c r="F1538" s="3">
        <f t="shared" si="350"/>
        <v>1</v>
      </c>
      <c r="G1538" s="3">
        <f t="shared" si="351"/>
        <v>3</v>
      </c>
      <c r="H1538" s="3">
        <f t="shared" si="352"/>
        <v>18</v>
      </c>
      <c r="I1538" s="3">
        <f t="shared" si="353"/>
        <v>46</v>
      </c>
      <c r="J1538" s="3">
        <f t="shared" si="354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55"/>
        <v>YES</v>
      </c>
      <c r="Q1538" t="str">
        <f t="shared" si="356"/>
        <v>NO</v>
      </c>
      <c r="R1538" t="str">
        <f t="shared" si="357"/>
        <v>NO</v>
      </c>
      <c r="T1538" t="s">
        <v>1389</v>
      </c>
      <c r="U1538" t="str">
        <f t="shared" si="344"/>
        <v>Dover St</v>
      </c>
      <c r="V1538" t="s">
        <v>14</v>
      </c>
      <c r="W1538" t="str">
        <f t="shared" si="345"/>
        <v>Massachusetts Ave</v>
      </c>
      <c r="X1538" t="str">
        <f>IF(ISBLANK(S1538),"Intersection","Non-Intersection")</f>
        <v>Intersection</v>
      </c>
      <c r="Y1538" t="s">
        <v>2455</v>
      </c>
      <c r="Z1538" t="str">
        <f t="shared" si="346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47"/>
        <v>40544</v>
      </c>
      <c r="D1539" s="4">
        <f t="shared" si="348"/>
        <v>8.21917808219178E-3</v>
      </c>
      <c r="E1539" s="3">
        <f t="shared" si="349"/>
        <v>2011</v>
      </c>
      <c r="F1539" s="3">
        <f t="shared" si="350"/>
        <v>1</v>
      </c>
      <c r="G1539" s="3">
        <f t="shared" si="351"/>
        <v>4</v>
      </c>
      <c r="H1539" s="3">
        <f t="shared" si="352"/>
        <v>5</v>
      </c>
      <c r="I1539" s="3">
        <f t="shared" si="353"/>
        <v>58</v>
      </c>
      <c r="J1539" s="3">
        <f t="shared" si="354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55"/>
        <v>YES</v>
      </c>
      <c r="Q1539" t="str">
        <f t="shared" si="356"/>
        <v>NO</v>
      </c>
      <c r="R1539" t="str">
        <f t="shared" si="357"/>
        <v>NO</v>
      </c>
      <c r="S1539">
        <v>733</v>
      </c>
      <c r="T1539" t="s">
        <v>186</v>
      </c>
      <c r="U1539" t="str">
        <f t="shared" ref="U1539:U1602" si="358">TRIM(PROPER(T1539))</f>
        <v>Concord Ave</v>
      </c>
      <c r="W1539" t="str">
        <f t="shared" ref="W1539:W1602" si="359">TRIM(PROPER(V1539))</f>
        <v/>
      </c>
      <c r="X1539" t="str">
        <f>IF(ISBLANK(S1539),"Intersection","Non-Intersection")</f>
        <v>Non-Intersection</v>
      </c>
      <c r="Y1539" t="s">
        <v>2456</v>
      </c>
      <c r="Z1539" t="str">
        <f t="shared" ref="Z1539:Z1602" si="360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47"/>
        <v>40544</v>
      </c>
      <c r="D1540" s="4">
        <f t="shared" si="348"/>
        <v>8.21917808219178E-3</v>
      </c>
      <c r="E1540" s="3">
        <f t="shared" si="349"/>
        <v>2011</v>
      </c>
      <c r="F1540" s="3">
        <f t="shared" si="350"/>
        <v>1</v>
      </c>
      <c r="G1540" s="3">
        <f t="shared" si="351"/>
        <v>4</v>
      </c>
      <c r="H1540" s="3">
        <f t="shared" si="352"/>
        <v>12</v>
      </c>
      <c r="I1540" s="3">
        <f t="shared" si="353"/>
        <v>0</v>
      </c>
      <c r="J1540" s="3">
        <f t="shared" si="354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55"/>
        <v>YES</v>
      </c>
      <c r="Q1540" t="str">
        <f t="shared" si="356"/>
        <v>NO</v>
      </c>
      <c r="R1540" t="str">
        <f t="shared" si="357"/>
        <v>NO</v>
      </c>
      <c r="S1540">
        <v>187</v>
      </c>
      <c r="T1540" t="s">
        <v>74</v>
      </c>
      <c r="U1540" t="str">
        <f t="shared" si="358"/>
        <v>Hampshire St</v>
      </c>
      <c r="W1540" t="str">
        <f t="shared" si="359"/>
        <v/>
      </c>
      <c r="X1540" t="str">
        <f>IF(ISBLANK(S1540),"Intersection","Non-Intersection")</f>
        <v>Non-Intersection</v>
      </c>
      <c r="Y1540" t="s">
        <v>569</v>
      </c>
      <c r="Z1540" t="str">
        <f t="shared" si="360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47"/>
        <v>40544</v>
      </c>
      <c r="D1541" s="4">
        <f t="shared" si="348"/>
        <v>1.0958904109589041E-2</v>
      </c>
      <c r="E1541" s="3">
        <f t="shared" si="349"/>
        <v>2011</v>
      </c>
      <c r="F1541" s="3">
        <f t="shared" si="350"/>
        <v>1</v>
      </c>
      <c r="G1541" s="3">
        <f t="shared" si="351"/>
        <v>5</v>
      </c>
      <c r="H1541" s="3">
        <f t="shared" si="352"/>
        <v>18</v>
      </c>
      <c r="I1541" s="3">
        <f t="shared" si="353"/>
        <v>30</v>
      </c>
      <c r="J1541" s="3">
        <f t="shared" si="354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55"/>
        <v>YES</v>
      </c>
      <c r="Q1541" t="str">
        <f t="shared" si="356"/>
        <v>NO</v>
      </c>
      <c r="R1541" t="str">
        <f t="shared" si="357"/>
        <v>NO</v>
      </c>
      <c r="T1541" t="s">
        <v>14</v>
      </c>
      <c r="U1541" t="str">
        <f t="shared" si="358"/>
        <v>Massachusetts Ave</v>
      </c>
      <c r="V1541" t="s">
        <v>185</v>
      </c>
      <c r="W1541" t="str">
        <f t="shared" si="359"/>
        <v>Garden St</v>
      </c>
      <c r="X1541" t="str">
        <f>IF(ISBLANK(S1541),"Intersection","Non-Intersection")</f>
        <v>Intersection</v>
      </c>
      <c r="Y1541" t="s">
        <v>1247</v>
      </c>
      <c r="Z1541" t="str">
        <f t="shared" si="360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47"/>
        <v>40544</v>
      </c>
      <c r="D1542" s="4">
        <f t="shared" si="348"/>
        <v>1.0958904109589041E-2</v>
      </c>
      <c r="E1542" s="3">
        <f t="shared" si="349"/>
        <v>2011</v>
      </c>
      <c r="F1542" s="3">
        <f t="shared" si="350"/>
        <v>1</v>
      </c>
      <c r="G1542" s="3">
        <f t="shared" si="351"/>
        <v>5</v>
      </c>
      <c r="H1542" s="3">
        <f t="shared" si="352"/>
        <v>12</v>
      </c>
      <c r="I1542" s="3">
        <f t="shared" si="353"/>
        <v>14</v>
      </c>
      <c r="J1542" s="3">
        <f t="shared" si="354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55"/>
        <v>YES</v>
      </c>
      <c r="Q1542" t="str">
        <f t="shared" si="356"/>
        <v>NO</v>
      </c>
      <c r="R1542" t="str">
        <f t="shared" si="357"/>
        <v>NO</v>
      </c>
      <c r="S1542">
        <v>12</v>
      </c>
      <c r="T1542" t="s">
        <v>104</v>
      </c>
      <c r="U1542" t="str">
        <f t="shared" si="358"/>
        <v>Inman St</v>
      </c>
      <c r="W1542" t="str">
        <f t="shared" si="359"/>
        <v/>
      </c>
      <c r="X1542" t="str">
        <f>IF(ISBLANK(S1542),"Intersection","Non-Intersection")</f>
        <v>Non-Intersection</v>
      </c>
      <c r="Y1542" t="s">
        <v>2458</v>
      </c>
      <c r="Z1542" t="str">
        <f t="shared" si="360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47"/>
        <v>40544</v>
      </c>
      <c r="D1543" s="4">
        <f t="shared" si="348"/>
        <v>1.0958904109589041E-2</v>
      </c>
      <c r="E1543" s="3">
        <f t="shared" si="349"/>
        <v>2011</v>
      </c>
      <c r="F1543" s="3">
        <f t="shared" si="350"/>
        <v>1</v>
      </c>
      <c r="G1543" s="3">
        <f t="shared" si="351"/>
        <v>5</v>
      </c>
      <c r="H1543" s="3">
        <f t="shared" si="352"/>
        <v>16</v>
      </c>
      <c r="I1543" s="3">
        <f t="shared" si="353"/>
        <v>44</v>
      </c>
      <c r="J1543" s="3">
        <f t="shared" si="354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55"/>
        <v>NO</v>
      </c>
      <c r="Q1543" t="str">
        <f t="shared" si="356"/>
        <v>NO</v>
      </c>
      <c r="R1543" t="str">
        <f t="shared" si="357"/>
        <v>YES</v>
      </c>
      <c r="T1543" t="s">
        <v>14</v>
      </c>
      <c r="U1543" t="str">
        <f t="shared" si="358"/>
        <v>Massachusetts Ave</v>
      </c>
      <c r="V1543" t="s">
        <v>1182</v>
      </c>
      <c r="W1543" t="str">
        <f t="shared" si="359"/>
        <v>Amherst St</v>
      </c>
      <c r="X1543" t="str">
        <f>IF(ISBLANK(S1543),"Intersection","Non-Intersection")</f>
        <v>Intersection</v>
      </c>
      <c r="Y1543" t="s">
        <v>1240</v>
      </c>
      <c r="Z1543" t="str">
        <f t="shared" si="360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47"/>
        <v>40544</v>
      </c>
      <c r="D1544" s="4">
        <f t="shared" si="348"/>
        <v>1.0958904109589041E-2</v>
      </c>
      <c r="E1544" s="3">
        <f t="shared" si="349"/>
        <v>2011</v>
      </c>
      <c r="F1544" s="3">
        <f t="shared" si="350"/>
        <v>1</v>
      </c>
      <c r="G1544" s="3">
        <f t="shared" si="351"/>
        <v>5</v>
      </c>
      <c r="H1544" s="3">
        <f t="shared" si="352"/>
        <v>18</v>
      </c>
      <c r="I1544" s="3">
        <f t="shared" si="353"/>
        <v>14</v>
      </c>
      <c r="J1544" s="3">
        <f t="shared" si="354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55"/>
        <v>YES</v>
      </c>
      <c r="Q1544" t="str">
        <f t="shared" si="356"/>
        <v>YES</v>
      </c>
      <c r="R1544" t="str">
        <f t="shared" si="357"/>
        <v>NO</v>
      </c>
      <c r="T1544" t="s">
        <v>14</v>
      </c>
      <c r="U1544" t="str">
        <f t="shared" si="358"/>
        <v>Massachusetts Ave</v>
      </c>
      <c r="V1544" t="s">
        <v>1272</v>
      </c>
      <c r="W1544" t="str">
        <f t="shared" si="359"/>
        <v>Forest St</v>
      </c>
      <c r="X1544" t="str">
        <f>IF(ISBLANK(S1544),"Intersection","Non-Intersection")</f>
        <v>Intersection</v>
      </c>
      <c r="Y1544" t="s">
        <v>1273</v>
      </c>
      <c r="Z1544" t="str">
        <f t="shared" si="360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47"/>
        <v>40544</v>
      </c>
      <c r="D1545" s="4">
        <f t="shared" si="348"/>
        <v>1.0958904109589041E-2</v>
      </c>
      <c r="E1545" s="3">
        <f t="shared" si="349"/>
        <v>2011</v>
      </c>
      <c r="F1545" s="3">
        <f t="shared" si="350"/>
        <v>1</v>
      </c>
      <c r="G1545" s="3">
        <f t="shared" si="351"/>
        <v>5</v>
      </c>
      <c r="H1545" s="3">
        <f t="shared" si="352"/>
        <v>23</v>
      </c>
      <c r="I1545" s="3">
        <f t="shared" si="353"/>
        <v>15</v>
      </c>
      <c r="J1545" s="3">
        <f t="shared" si="354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55"/>
        <v>YES</v>
      </c>
      <c r="Q1545" t="str">
        <f t="shared" si="356"/>
        <v>NO</v>
      </c>
      <c r="R1545" t="str">
        <f t="shared" si="357"/>
        <v>NO</v>
      </c>
      <c r="T1545" t="s">
        <v>2460</v>
      </c>
      <c r="U1545" t="str">
        <f t="shared" si="358"/>
        <v>Langdon St</v>
      </c>
      <c r="V1545" t="s">
        <v>14</v>
      </c>
      <c r="W1545" t="str">
        <f t="shared" si="359"/>
        <v>Massachusetts Ave</v>
      </c>
      <c r="X1545" t="str">
        <f>IF(ISBLANK(S1545),"Intersection","Non-Intersection")</f>
        <v>Intersection</v>
      </c>
      <c r="Y1545" t="s">
        <v>2461</v>
      </c>
      <c r="Z1545" t="str">
        <f t="shared" si="360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47"/>
        <v>40544</v>
      </c>
      <c r="D1546" s="4">
        <f t="shared" si="348"/>
        <v>1.3698630136986301E-2</v>
      </c>
      <c r="E1546" s="3">
        <f t="shared" si="349"/>
        <v>2011</v>
      </c>
      <c r="F1546" s="3">
        <f t="shared" si="350"/>
        <v>1</v>
      </c>
      <c r="G1546" s="3">
        <f t="shared" si="351"/>
        <v>6</v>
      </c>
      <c r="H1546" s="3">
        <f t="shared" si="352"/>
        <v>9</v>
      </c>
      <c r="I1546" s="3">
        <f t="shared" si="353"/>
        <v>0</v>
      </c>
      <c r="J1546" s="3">
        <f t="shared" si="354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55"/>
        <v>YES</v>
      </c>
      <c r="Q1546" t="str">
        <f t="shared" si="356"/>
        <v>NO</v>
      </c>
      <c r="R1546" t="str">
        <f t="shared" si="357"/>
        <v>NO</v>
      </c>
      <c r="S1546">
        <v>45</v>
      </c>
      <c r="T1546" t="s">
        <v>2463</v>
      </c>
      <c r="U1546" t="str">
        <f t="shared" si="358"/>
        <v>Spinelli Pl</v>
      </c>
      <c r="W1546" t="str">
        <f t="shared" si="359"/>
        <v/>
      </c>
      <c r="X1546" t="str">
        <f>IF(ISBLANK(S1546),"Intersection","Non-Intersection")</f>
        <v>Non-Intersection</v>
      </c>
      <c r="Y1546" t="s">
        <v>2464</v>
      </c>
      <c r="Z1546" t="str">
        <f t="shared" si="360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47"/>
        <v>40544</v>
      </c>
      <c r="D1547" s="4">
        <f t="shared" si="348"/>
        <v>1.3698630136986301E-2</v>
      </c>
      <c r="E1547" s="3">
        <f t="shared" si="349"/>
        <v>2011</v>
      </c>
      <c r="F1547" s="3">
        <f t="shared" si="350"/>
        <v>1</v>
      </c>
      <c r="G1547" s="3">
        <f t="shared" si="351"/>
        <v>6</v>
      </c>
      <c r="H1547" s="3">
        <f t="shared" si="352"/>
        <v>9</v>
      </c>
      <c r="I1547" s="3">
        <f t="shared" si="353"/>
        <v>0</v>
      </c>
      <c r="J1547" s="3">
        <f t="shared" si="354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55"/>
        <v>YES</v>
      </c>
      <c r="Q1547" t="str">
        <f t="shared" si="356"/>
        <v>NO</v>
      </c>
      <c r="R1547" t="str">
        <f t="shared" si="357"/>
        <v>NO</v>
      </c>
      <c r="S1547">
        <v>13</v>
      </c>
      <c r="T1547" t="s">
        <v>2466</v>
      </c>
      <c r="U1547" t="str">
        <f t="shared" si="358"/>
        <v>Regent St</v>
      </c>
      <c r="W1547" t="str">
        <f t="shared" si="359"/>
        <v/>
      </c>
      <c r="X1547" t="str">
        <f>IF(ISBLANK(S1547),"Intersection","Non-Intersection")</f>
        <v>Non-Intersection</v>
      </c>
      <c r="Y1547" t="s">
        <v>2467</v>
      </c>
      <c r="Z1547" t="str">
        <f t="shared" si="360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47"/>
        <v>40544</v>
      </c>
      <c r="D1548" s="4">
        <f t="shared" si="348"/>
        <v>1.3698630136986301E-2</v>
      </c>
      <c r="E1548" s="3">
        <f t="shared" si="349"/>
        <v>2011</v>
      </c>
      <c r="F1548" s="3">
        <f t="shared" si="350"/>
        <v>1</v>
      </c>
      <c r="G1548" s="3">
        <f t="shared" si="351"/>
        <v>6</v>
      </c>
      <c r="H1548" s="3">
        <f t="shared" si="352"/>
        <v>9</v>
      </c>
      <c r="I1548" s="3">
        <f t="shared" si="353"/>
        <v>10</v>
      </c>
      <c r="J1548" s="3">
        <f t="shared" si="354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55"/>
        <v>YES</v>
      </c>
      <c r="Q1548" t="str">
        <f t="shared" si="356"/>
        <v>NO</v>
      </c>
      <c r="R1548" t="str">
        <f t="shared" si="357"/>
        <v>NO</v>
      </c>
      <c r="T1548" t="s">
        <v>42</v>
      </c>
      <c r="U1548" t="str">
        <f t="shared" si="358"/>
        <v>Putnam Ave</v>
      </c>
      <c r="V1548" t="s">
        <v>453</v>
      </c>
      <c r="W1548" t="str">
        <f t="shared" si="359"/>
        <v>Brookline St</v>
      </c>
      <c r="X1548" t="str">
        <f>IF(ISBLANK(S1548),"Intersection","Non-Intersection")</f>
        <v>Intersection</v>
      </c>
      <c r="Y1548" t="s">
        <v>1411</v>
      </c>
      <c r="Z1548" t="str">
        <f t="shared" si="360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47"/>
        <v>40544</v>
      </c>
      <c r="D1549" s="4">
        <f t="shared" si="348"/>
        <v>1.3698630136986301E-2</v>
      </c>
      <c r="E1549" s="3">
        <f t="shared" si="349"/>
        <v>2011</v>
      </c>
      <c r="F1549" s="3">
        <f t="shared" si="350"/>
        <v>1</v>
      </c>
      <c r="G1549" s="3">
        <f t="shared" si="351"/>
        <v>6</v>
      </c>
      <c r="H1549" s="3">
        <f t="shared" si="352"/>
        <v>9</v>
      </c>
      <c r="I1549" s="3">
        <f t="shared" si="353"/>
        <v>45</v>
      </c>
      <c r="J1549" s="3">
        <f t="shared" si="354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55"/>
        <v>YES</v>
      </c>
      <c r="Q1549" t="str">
        <f t="shared" si="356"/>
        <v>NO</v>
      </c>
      <c r="R1549" t="str">
        <f t="shared" si="357"/>
        <v>NO</v>
      </c>
      <c r="S1549">
        <v>799</v>
      </c>
      <c r="T1549" t="s">
        <v>186</v>
      </c>
      <c r="U1549" t="str">
        <f t="shared" si="358"/>
        <v>Concord Ave</v>
      </c>
      <c r="V1549" t="s">
        <v>1013</v>
      </c>
      <c r="W1549" t="str">
        <f t="shared" si="359"/>
        <v>Blanchard Rd</v>
      </c>
      <c r="X1549" t="str">
        <f>IF(ISBLANK(S1549),"Intersection","Non-Intersection")</f>
        <v>Non-Intersection</v>
      </c>
      <c r="Y1549" t="s">
        <v>482</v>
      </c>
      <c r="Z1549" t="str">
        <f t="shared" si="360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47"/>
        <v>40544</v>
      </c>
      <c r="D1550" s="4">
        <f t="shared" si="348"/>
        <v>1.3698630136986301E-2</v>
      </c>
      <c r="E1550" s="3">
        <f t="shared" si="349"/>
        <v>2011</v>
      </c>
      <c r="F1550" s="3">
        <f t="shared" si="350"/>
        <v>1</v>
      </c>
      <c r="G1550" s="3">
        <f t="shared" si="351"/>
        <v>6</v>
      </c>
      <c r="H1550" s="3">
        <f t="shared" si="352"/>
        <v>12</v>
      </c>
      <c r="I1550" s="3">
        <f t="shared" si="353"/>
        <v>40</v>
      </c>
      <c r="J1550" s="3">
        <f t="shared" si="354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55"/>
        <v>YES</v>
      </c>
      <c r="Q1550" t="str">
        <f t="shared" si="356"/>
        <v>NO</v>
      </c>
      <c r="R1550" t="str">
        <f t="shared" si="357"/>
        <v>NO</v>
      </c>
      <c r="S1550">
        <v>360</v>
      </c>
      <c r="T1550" t="s">
        <v>41</v>
      </c>
      <c r="U1550" t="str">
        <f t="shared" si="358"/>
        <v>River St</v>
      </c>
      <c r="W1550" t="str">
        <f t="shared" si="359"/>
        <v/>
      </c>
      <c r="X1550" t="str">
        <f>IF(ISBLANK(S1550),"Intersection","Non-Intersection")</f>
        <v>Non-Intersection</v>
      </c>
      <c r="Y1550" t="s">
        <v>2469</v>
      </c>
      <c r="Z1550" t="str">
        <f t="shared" si="360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47"/>
        <v>40544</v>
      </c>
      <c r="D1551" s="4">
        <f t="shared" si="348"/>
        <v>1.643835616438356E-2</v>
      </c>
      <c r="E1551" s="3">
        <f t="shared" si="349"/>
        <v>2011</v>
      </c>
      <c r="F1551" s="3">
        <f t="shared" si="350"/>
        <v>1</v>
      </c>
      <c r="G1551" s="3">
        <f t="shared" si="351"/>
        <v>7</v>
      </c>
      <c r="H1551" s="3">
        <f t="shared" si="352"/>
        <v>8</v>
      </c>
      <c r="I1551" s="3">
        <f t="shared" si="353"/>
        <v>49</v>
      </c>
      <c r="J1551" s="3">
        <f t="shared" si="354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55"/>
        <v>YES</v>
      </c>
      <c r="Q1551" t="str">
        <f t="shared" si="356"/>
        <v>NO</v>
      </c>
      <c r="R1551" t="str">
        <f t="shared" si="357"/>
        <v>YES</v>
      </c>
      <c r="T1551" t="s">
        <v>105</v>
      </c>
      <c r="U1551" t="str">
        <f t="shared" si="358"/>
        <v>Broadway</v>
      </c>
      <c r="V1551" t="s">
        <v>342</v>
      </c>
      <c r="W1551" t="str">
        <f t="shared" si="359"/>
        <v>Prospect St</v>
      </c>
      <c r="X1551" t="str">
        <f>IF(ISBLANK(S1551),"Intersection","Non-Intersection")</f>
        <v>Intersection</v>
      </c>
      <c r="Y1551" t="s">
        <v>343</v>
      </c>
      <c r="Z1551" t="str">
        <f t="shared" si="360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47"/>
        <v>40544</v>
      </c>
      <c r="D1552" s="4">
        <f t="shared" si="348"/>
        <v>1.643835616438356E-2</v>
      </c>
      <c r="E1552" s="3">
        <f t="shared" si="349"/>
        <v>2011</v>
      </c>
      <c r="F1552" s="3">
        <f t="shared" si="350"/>
        <v>1</v>
      </c>
      <c r="G1552" s="3">
        <f t="shared" si="351"/>
        <v>7</v>
      </c>
      <c r="H1552" s="3">
        <f t="shared" si="352"/>
        <v>9</v>
      </c>
      <c r="I1552" s="3">
        <f t="shared" si="353"/>
        <v>30</v>
      </c>
      <c r="J1552" s="3">
        <f t="shared" si="354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55"/>
        <v>YES</v>
      </c>
      <c r="Q1552" t="str">
        <f t="shared" si="356"/>
        <v>NO</v>
      </c>
      <c r="R1552" t="str">
        <f t="shared" si="357"/>
        <v>NO</v>
      </c>
      <c r="S1552">
        <v>49</v>
      </c>
      <c r="T1552" t="s">
        <v>268</v>
      </c>
      <c r="U1552" t="str">
        <f t="shared" si="358"/>
        <v>White St</v>
      </c>
      <c r="W1552" t="str">
        <f t="shared" si="359"/>
        <v/>
      </c>
      <c r="X1552" t="str">
        <f>IF(ISBLANK(S1552),"Intersection","Non-Intersection")</f>
        <v>Non-Intersection</v>
      </c>
      <c r="Y1552" t="s">
        <v>270</v>
      </c>
      <c r="Z1552" t="str">
        <f t="shared" si="360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47"/>
        <v>40544</v>
      </c>
      <c r="D1553" s="4">
        <f t="shared" si="348"/>
        <v>1.643835616438356E-2</v>
      </c>
      <c r="E1553" s="3">
        <f t="shared" si="349"/>
        <v>2011</v>
      </c>
      <c r="F1553" s="3">
        <f t="shared" si="350"/>
        <v>1</v>
      </c>
      <c r="G1553" s="3">
        <f t="shared" si="351"/>
        <v>7</v>
      </c>
      <c r="H1553" s="3">
        <f t="shared" si="352"/>
        <v>18</v>
      </c>
      <c r="I1553" s="3">
        <f t="shared" si="353"/>
        <v>59</v>
      </c>
      <c r="J1553" s="3">
        <f t="shared" si="354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55"/>
        <v>YES</v>
      </c>
      <c r="Q1553" t="str">
        <f t="shared" si="356"/>
        <v>NO</v>
      </c>
      <c r="R1553" t="str">
        <f t="shared" si="357"/>
        <v>YES</v>
      </c>
      <c r="T1553" t="s">
        <v>19</v>
      </c>
      <c r="U1553" t="str">
        <f t="shared" si="358"/>
        <v>Cambridge St</v>
      </c>
      <c r="V1553" t="s">
        <v>61</v>
      </c>
      <c r="W1553" t="str">
        <f t="shared" si="359"/>
        <v>First St</v>
      </c>
      <c r="X1553" t="str">
        <f>IF(ISBLANK(S1553),"Intersection","Non-Intersection")</f>
        <v>Intersection</v>
      </c>
      <c r="Y1553" t="s">
        <v>494</v>
      </c>
      <c r="Z1553" t="str">
        <f t="shared" si="360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47"/>
        <v>40544</v>
      </c>
      <c r="D1554" s="4">
        <f t="shared" si="348"/>
        <v>1.643835616438356E-2</v>
      </c>
      <c r="E1554" s="3">
        <f t="shared" si="349"/>
        <v>2011</v>
      </c>
      <c r="F1554" s="3">
        <f t="shared" si="350"/>
        <v>1</v>
      </c>
      <c r="G1554" s="3">
        <f t="shared" si="351"/>
        <v>7</v>
      </c>
      <c r="H1554" s="3">
        <f t="shared" si="352"/>
        <v>20</v>
      </c>
      <c r="I1554" s="3">
        <f t="shared" si="353"/>
        <v>0</v>
      </c>
      <c r="J1554" s="3">
        <f t="shared" si="354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55"/>
        <v>YES</v>
      </c>
      <c r="Q1554" t="str">
        <f t="shared" si="356"/>
        <v>NO</v>
      </c>
      <c r="R1554" t="str">
        <f t="shared" si="357"/>
        <v>NO</v>
      </c>
      <c r="S1554">
        <v>136</v>
      </c>
      <c r="T1554" t="s">
        <v>409</v>
      </c>
      <c r="U1554" t="str">
        <f t="shared" si="358"/>
        <v>Appleton St</v>
      </c>
      <c r="W1554" t="str">
        <f t="shared" si="359"/>
        <v/>
      </c>
      <c r="X1554" t="str">
        <f>IF(ISBLANK(S1554),"Intersection","Non-Intersection")</f>
        <v>Non-Intersection</v>
      </c>
      <c r="Y1554" t="s">
        <v>2471</v>
      </c>
      <c r="Z1554" t="str">
        <f t="shared" si="360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47"/>
        <v>40544</v>
      </c>
      <c r="D1555" s="4">
        <f t="shared" si="348"/>
        <v>1.643835616438356E-2</v>
      </c>
      <c r="E1555" s="3">
        <f t="shared" si="349"/>
        <v>2011</v>
      </c>
      <c r="F1555" s="3">
        <f t="shared" si="350"/>
        <v>1</v>
      </c>
      <c r="G1555" s="3">
        <f t="shared" si="351"/>
        <v>7</v>
      </c>
      <c r="H1555" s="3">
        <f t="shared" si="352"/>
        <v>15</v>
      </c>
      <c r="I1555" s="3">
        <f t="shared" si="353"/>
        <v>59</v>
      </c>
      <c r="J1555" s="3">
        <f t="shared" si="354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55"/>
        <v>YES</v>
      </c>
      <c r="Q1555" t="str">
        <f t="shared" si="356"/>
        <v>NO</v>
      </c>
      <c r="R1555" t="str">
        <f t="shared" si="357"/>
        <v>NO</v>
      </c>
      <c r="S1555">
        <v>23</v>
      </c>
      <c r="T1555" t="s">
        <v>49</v>
      </c>
      <c r="U1555" t="str">
        <f t="shared" si="358"/>
        <v>Clinton St</v>
      </c>
      <c r="W1555" t="str">
        <f t="shared" si="359"/>
        <v/>
      </c>
      <c r="X1555" t="str">
        <f>IF(ISBLANK(S1555),"Intersection","Non-Intersection")</f>
        <v>Non-Intersection</v>
      </c>
      <c r="Y1555" t="s">
        <v>2473</v>
      </c>
      <c r="Z1555" t="str">
        <f t="shared" si="360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47"/>
        <v>40544</v>
      </c>
      <c r="D1556" s="4">
        <f t="shared" si="348"/>
        <v>1.9178082191780823E-2</v>
      </c>
      <c r="E1556" s="3">
        <f t="shared" si="349"/>
        <v>2011</v>
      </c>
      <c r="F1556" s="3">
        <f t="shared" si="350"/>
        <v>1</v>
      </c>
      <c r="G1556" s="3">
        <f t="shared" si="351"/>
        <v>8</v>
      </c>
      <c r="H1556" s="3">
        <f t="shared" si="352"/>
        <v>1</v>
      </c>
      <c r="I1556" s="3">
        <f t="shared" si="353"/>
        <v>30</v>
      </c>
      <c r="J1556" s="3">
        <f t="shared" si="354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55"/>
        <v>YES</v>
      </c>
      <c r="Q1556" t="str">
        <f t="shared" si="356"/>
        <v>NO</v>
      </c>
      <c r="R1556" t="str">
        <f t="shared" si="357"/>
        <v>NO</v>
      </c>
      <c r="T1556" t="s">
        <v>14</v>
      </c>
      <c r="U1556" t="str">
        <f t="shared" si="358"/>
        <v>Massachusetts Ave</v>
      </c>
      <c r="V1556" t="s">
        <v>57</v>
      </c>
      <c r="W1556" t="str">
        <f t="shared" si="359"/>
        <v>Everett St</v>
      </c>
      <c r="X1556" t="str">
        <f>IF(ISBLANK(S1556),"Intersection","Non-Intersection")</f>
        <v>Intersection</v>
      </c>
      <c r="Y1556" t="s">
        <v>58</v>
      </c>
      <c r="Z1556" t="str">
        <f t="shared" si="360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47"/>
        <v>40544</v>
      </c>
      <c r="D1557" s="4">
        <f t="shared" si="348"/>
        <v>1.9178082191780823E-2</v>
      </c>
      <c r="E1557" s="3">
        <f t="shared" si="349"/>
        <v>2011</v>
      </c>
      <c r="F1557" s="3">
        <f t="shared" si="350"/>
        <v>1</v>
      </c>
      <c r="G1557" s="3">
        <f t="shared" si="351"/>
        <v>8</v>
      </c>
      <c r="H1557" s="3">
        <f t="shared" si="352"/>
        <v>4</v>
      </c>
      <c r="I1557" s="3">
        <f t="shared" si="353"/>
        <v>48</v>
      </c>
      <c r="J1557" s="3">
        <f t="shared" si="354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55"/>
        <v>YES</v>
      </c>
      <c r="Q1557" t="str">
        <f t="shared" si="356"/>
        <v>NO</v>
      </c>
      <c r="R1557" t="str">
        <f t="shared" si="357"/>
        <v>NO</v>
      </c>
      <c r="T1557" t="s">
        <v>2475</v>
      </c>
      <c r="U1557" t="str">
        <f t="shared" si="358"/>
        <v>Waverly St</v>
      </c>
      <c r="V1557" t="s">
        <v>835</v>
      </c>
      <c r="W1557" t="str">
        <f t="shared" si="359"/>
        <v>Erie St</v>
      </c>
      <c r="X1557" t="str">
        <f>IF(ISBLANK(S1557),"Intersection","Non-Intersection")</f>
        <v>Intersection</v>
      </c>
      <c r="Y1557" t="s">
        <v>2476</v>
      </c>
      <c r="Z1557" t="str">
        <f t="shared" si="360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47"/>
        <v>40544</v>
      </c>
      <c r="D1558" s="4">
        <f t="shared" si="348"/>
        <v>1.9178082191780823E-2</v>
      </c>
      <c r="E1558" s="3">
        <f t="shared" si="349"/>
        <v>2011</v>
      </c>
      <c r="F1558" s="3">
        <f t="shared" si="350"/>
        <v>1</v>
      </c>
      <c r="G1558" s="3">
        <f t="shared" si="351"/>
        <v>8</v>
      </c>
      <c r="H1558" s="3">
        <f t="shared" si="352"/>
        <v>9</v>
      </c>
      <c r="I1558" s="3">
        <f t="shared" si="353"/>
        <v>30</v>
      </c>
      <c r="J1558" s="3">
        <f t="shared" si="354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55"/>
        <v>YES</v>
      </c>
      <c r="Q1558" t="str">
        <f t="shared" si="356"/>
        <v>NO</v>
      </c>
      <c r="R1558" t="str">
        <f t="shared" si="357"/>
        <v>NO</v>
      </c>
      <c r="T1558" t="s">
        <v>316</v>
      </c>
      <c r="U1558" t="str">
        <f t="shared" si="358"/>
        <v>Bishop Allen Dr</v>
      </c>
      <c r="V1558" t="s">
        <v>777</v>
      </c>
      <c r="W1558" t="str">
        <f t="shared" si="359"/>
        <v>School St</v>
      </c>
      <c r="X1558" t="str">
        <f>IF(ISBLANK(S1558),"Intersection","Non-Intersection")</f>
        <v>Intersection</v>
      </c>
      <c r="Y1558" t="s">
        <v>2478</v>
      </c>
      <c r="Z1558" t="str">
        <f t="shared" si="360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47"/>
        <v>40544</v>
      </c>
      <c r="D1559" s="4">
        <f t="shared" si="348"/>
        <v>1.9178082191780823E-2</v>
      </c>
      <c r="E1559" s="3">
        <f t="shared" si="349"/>
        <v>2011</v>
      </c>
      <c r="F1559" s="3">
        <f t="shared" si="350"/>
        <v>1</v>
      </c>
      <c r="G1559" s="3">
        <f t="shared" si="351"/>
        <v>8</v>
      </c>
      <c r="H1559" s="3">
        <f t="shared" si="352"/>
        <v>18</v>
      </c>
      <c r="I1559" s="3">
        <f t="shared" si="353"/>
        <v>45</v>
      </c>
      <c r="J1559" s="3">
        <f t="shared" si="354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55"/>
        <v>YES</v>
      </c>
      <c r="Q1559" t="str">
        <f t="shared" si="356"/>
        <v>NO</v>
      </c>
      <c r="R1559" t="str">
        <f t="shared" si="357"/>
        <v>NO</v>
      </c>
      <c r="S1559">
        <v>46</v>
      </c>
      <c r="T1559" t="s">
        <v>354</v>
      </c>
      <c r="U1559" t="str">
        <f t="shared" si="358"/>
        <v>Linnaean St</v>
      </c>
      <c r="W1559" t="str">
        <f t="shared" si="359"/>
        <v/>
      </c>
      <c r="X1559" t="str">
        <f>IF(ISBLANK(S1559),"Intersection","Non-Intersection")</f>
        <v>Non-Intersection</v>
      </c>
      <c r="Y1559" t="s">
        <v>2480</v>
      </c>
      <c r="Z1559" t="str">
        <f t="shared" si="360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47"/>
        <v>40544</v>
      </c>
      <c r="D1560" s="4">
        <f t="shared" si="348"/>
        <v>1.9178082191780823E-2</v>
      </c>
      <c r="E1560" s="3">
        <f t="shared" si="349"/>
        <v>2011</v>
      </c>
      <c r="F1560" s="3">
        <f t="shared" si="350"/>
        <v>1</v>
      </c>
      <c r="G1560" s="3">
        <f t="shared" si="351"/>
        <v>8</v>
      </c>
      <c r="H1560" s="3">
        <f t="shared" si="352"/>
        <v>15</v>
      </c>
      <c r="I1560" s="3">
        <f t="shared" si="353"/>
        <v>0</v>
      </c>
      <c r="J1560" s="3">
        <f t="shared" si="354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55"/>
        <v>YES</v>
      </c>
      <c r="Q1560" t="str">
        <f t="shared" si="356"/>
        <v>NO</v>
      </c>
      <c r="R1560" t="str">
        <f t="shared" si="357"/>
        <v>NO</v>
      </c>
      <c r="S1560">
        <v>601</v>
      </c>
      <c r="T1560" t="s">
        <v>14</v>
      </c>
      <c r="U1560" t="str">
        <f t="shared" si="358"/>
        <v>Massachusetts Ave</v>
      </c>
      <c r="W1560" t="str">
        <f t="shared" si="359"/>
        <v/>
      </c>
      <c r="X1560" t="str">
        <f>IF(ISBLANK(S1560),"Intersection","Non-Intersection")</f>
        <v>Non-Intersection</v>
      </c>
      <c r="Y1560" t="s">
        <v>2482</v>
      </c>
      <c r="Z1560" t="str">
        <f t="shared" si="360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47"/>
        <v>40544</v>
      </c>
      <c r="D1561" s="4">
        <f t="shared" si="348"/>
        <v>2.1917808219178082E-2</v>
      </c>
      <c r="E1561" s="3">
        <f t="shared" si="349"/>
        <v>2011</v>
      </c>
      <c r="F1561" s="3">
        <f t="shared" si="350"/>
        <v>1</v>
      </c>
      <c r="G1561" s="3">
        <f t="shared" si="351"/>
        <v>9</v>
      </c>
      <c r="H1561" s="3">
        <f t="shared" si="352"/>
        <v>0</v>
      </c>
      <c r="I1561" s="3">
        <f t="shared" si="353"/>
        <v>21</v>
      </c>
      <c r="J1561" s="3">
        <f t="shared" si="354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55"/>
        <v>YES</v>
      </c>
      <c r="Q1561" t="str">
        <f t="shared" si="356"/>
        <v>NO</v>
      </c>
      <c r="R1561" t="str">
        <f t="shared" si="357"/>
        <v>NO</v>
      </c>
      <c r="S1561">
        <v>2</v>
      </c>
      <c r="T1561" t="s">
        <v>2484</v>
      </c>
      <c r="U1561" t="str">
        <f t="shared" si="358"/>
        <v>Amory Pl</v>
      </c>
      <c r="W1561" t="str">
        <f t="shared" si="359"/>
        <v/>
      </c>
      <c r="X1561" t="str">
        <f>IF(ISBLANK(S1561),"Intersection","Non-Intersection")</f>
        <v>Non-Intersection</v>
      </c>
      <c r="Y1561" t="s">
        <v>2485</v>
      </c>
      <c r="Z1561" t="str">
        <f t="shared" si="360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47"/>
        <v>40544</v>
      </c>
      <c r="D1562" s="4">
        <f t="shared" si="348"/>
        <v>2.4657534246575342E-2</v>
      </c>
      <c r="E1562" s="3">
        <f t="shared" si="349"/>
        <v>2011</v>
      </c>
      <c r="F1562" s="3">
        <f t="shared" si="350"/>
        <v>1</v>
      </c>
      <c r="G1562" s="3">
        <f t="shared" si="351"/>
        <v>10</v>
      </c>
      <c r="H1562" s="3">
        <f t="shared" si="352"/>
        <v>8</v>
      </c>
      <c r="I1562" s="3">
        <f t="shared" si="353"/>
        <v>45</v>
      </c>
      <c r="J1562" s="3">
        <f t="shared" si="354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55"/>
        <v>YES</v>
      </c>
      <c r="Q1562" t="str">
        <f t="shared" si="356"/>
        <v>NO</v>
      </c>
      <c r="R1562" t="str">
        <f t="shared" si="357"/>
        <v>NO</v>
      </c>
      <c r="S1562">
        <v>799</v>
      </c>
      <c r="T1562" t="s">
        <v>186</v>
      </c>
      <c r="U1562" t="str">
        <f t="shared" si="358"/>
        <v>Concord Ave</v>
      </c>
      <c r="W1562" t="str">
        <f t="shared" si="359"/>
        <v/>
      </c>
      <c r="X1562" t="str">
        <f>IF(ISBLANK(S1562),"Intersection","Non-Intersection")</f>
        <v>Non-Intersection</v>
      </c>
      <c r="Y1562" t="s">
        <v>482</v>
      </c>
      <c r="Z1562" t="str">
        <f t="shared" si="360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47"/>
        <v>40544</v>
      </c>
      <c r="D1563" s="4">
        <f t="shared" si="348"/>
        <v>2.4657534246575342E-2</v>
      </c>
      <c r="E1563" s="3">
        <f t="shared" si="349"/>
        <v>2011</v>
      </c>
      <c r="F1563" s="3">
        <f t="shared" si="350"/>
        <v>1</v>
      </c>
      <c r="G1563" s="3">
        <f t="shared" si="351"/>
        <v>10</v>
      </c>
      <c r="H1563" s="3">
        <f t="shared" si="352"/>
        <v>12</v>
      </c>
      <c r="I1563" s="3">
        <f t="shared" si="353"/>
        <v>49</v>
      </c>
      <c r="J1563" s="3">
        <f t="shared" si="354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55"/>
        <v>YES</v>
      </c>
      <c r="Q1563" t="str">
        <f t="shared" si="356"/>
        <v>NO</v>
      </c>
      <c r="R1563" t="str">
        <f t="shared" si="357"/>
        <v>NO</v>
      </c>
      <c r="T1563" t="s">
        <v>342</v>
      </c>
      <c r="U1563" t="str">
        <f t="shared" si="358"/>
        <v>Prospect St</v>
      </c>
      <c r="V1563" t="s">
        <v>133</v>
      </c>
      <c r="W1563" t="str">
        <f t="shared" si="359"/>
        <v>Harvard St</v>
      </c>
      <c r="X1563" t="str">
        <f>IF(ISBLANK(S1563),"Intersection","Non-Intersection")</f>
        <v>Intersection</v>
      </c>
      <c r="Y1563" t="s">
        <v>884</v>
      </c>
      <c r="Z1563" t="str">
        <f t="shared" si="360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47"/>
        <v>40544</v>
      </c>
      <c r="D1564" s="4">
        <f t="shared" si="348"/>
        <v>2.4657534246575342E-2</v>
      </c>
      <c r="E1564" s="3">
        <f t="shared" si="349"/>
        <v>2011</v>
      </c>
      <c r="F1564" s="3">
        <f t="shared" si="350"/>
        <v>1</v>
      </c>
      <c r="G1564" s="3">
        <f t="shared" si="351"/>
        <v>10</v>
      </c>
      <c r="H1564" s="3">
        <f t="shared" si="352"/>
        <v>12</v>
      </c>
      <c r="I1564" s="3">
        <f t="shared" si="353"/>
        <v>53</v>
      </c>
      <c r="J1564" s="3">
        <f t="shared" si="354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55"/>
        <v>YES</v>
      </c>
      <c r="Q1564" t="str">
        <f t="shared" si="356"/>
        <v>NO</v>
      </c>
      <c r="R1564" t="str">
        <f t="shared" si="357"/>
        <v>NO</v>
      </c>
      <c r="S1564">
        <v>174</v>
      </c>
      <c r="T1564" t="s">
        <v>899</v>
      </c>
      <c r="U1564" t="str">
        <f t="shared" si="358"/>
        <v>Cushing St</v>
      </c>
      <c r="W1564" t="str">
        <f t="shared" si="359"/>
        <v/>
      </c>
      <c r="X1564" t="str">
        <f>IF(ISBLANK(S1564),"Intersection","Non-Intersection")</f>
        <v>Non-Intersection</v>
      </c>
      <c r="Y1564" t="s">
        <v>2487</v>
      </c>
      <c r="Z1564" t="str">
        <f t="shared" si="360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47"/>
        <v>40544</v>
      </c>
      <c r="D1565" s="4">
        <f t="shared" si="348"/>
        <v>2.4657534246575342E-2</v>
      </c>
      <c r="E1565" s="3">
        <f t="shared" si="349"/>
        <v>2011</v>
      </c>
      <c r="F1565" s="3">
        <f t="shared" si="350"/>
        <v>1</v>
      </c>
      <c r="G1565" s="3">
        <f t="shared" si="351"/>
        <v>10</v>
      </c>
      <c r="H1565" s="3">
        <f t="shared" si="352"/>
        <v>17</v>
      </c>
      <c r="I1565" s="3">
        <f t="shared" si="353"/>
        <v>42</v>
      </c>
      <c r="J1565" s="3">
        <f t="shared" si="354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55"/>
        <v>NO</v>
      </c>
      <c r="Q1565" t="str">
        <f t="shared" si="356"/>
        <v>YES</v>
      </c>
      <c r="R1565" t="str">
        <f t="shared" si="357"/>
        <v>NO</v>
      </c>
      <c r="S1565">
        <v>28</v>
      </c>
      <c r="T1565" t="s">
        <v>1745</v>
      </c>
      <c r="U1565" t="str">
        <f t="shared" si="358"/>
        <v>Fernald Dr</v>
      </c>
      <c r="W1565" t="str">
        <f t="shared" si="359"/>
        <v/>
      </c>
      <c r="X1565" t="str">
        <f>IF(ISBLANK(S1565),"Intersection","Non-Intersection")</f>
        <v>Non-Intersection</v>
      </c>
      <c r="Y1565" t="s">
        <v>2489</v>
      </c>
      <c r="Z1565" t="str">
        <f t="shared" si="360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47"/>
        <v>40544</v>
      </c>
      <c r="D1566" s="4">
        <f t="shared" si="348"/>
        <v>2.4657534246575342E-2</v>
      </c>
      <c r="E1566" s="3">
        <f t="shared" si="349"/>
        <v>2011</v>
      </c>
      <c r="F1566" s="3">
        <f t="shared" si="350"/>
        <v>1</v>
      </c>
      <c r="G1566" s="3">
        <f t="shared" si="351"/>
        <v>10</v>
      </c>
      <c r="H1566" s="3">
        <f t="shared" si="352"/>
        <v>18</v>
      </c>
      <c r="I1566" s="3">
        <f t="shared" si="353"/>
        <v>0</v>
      </c>
      <c r="J1566" s="3">
        <f t="shared" si="354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55"/>
        <v>YES</v>
      </c>
      <c r="Q1566" t="str">
        <f t="shared" si="356"/>
        <v>NO</v>
      </c>
      <c r="R1566" t="str">
        <f t="shared" si="357"/>
        <v>NO</v>
      </c>
      <c r="S1566">
        <v>25</v>
      </c>
      <c r="T1566" t="s">
        <v>1324</v>
      </c>
      <c r="U1566" t="str">
        <f t="shared" si="358"/>
        <v>Flagg St</v>
      </c>
      <c r="W1566" t="str">
        <f t="shared" si="359"/>
        <v/>
      </c>
      <c r="X1566" t="str">
        <f>IF(ISBLANK(S1566),"Intersection","Non-Intersection")</f>
        <v>Non-Intersection</v>
      </c>
      <c r="Y1566" t="s">
        <v>2491</v>
      </c>
      <c r="Z1566" t="str">
        <f t="shared" si="360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47"/>
        <v>40544</v>
      </c>
      <c r="D1567" s="4">
        <f t="shared" si="348"/>
        <v>2.4657534246575342E-2</v>
      </c>
      <c r="E1567" s="3">
        <f t="shared" si="349"/>
        <v>2011</v>
      </c>
      <c r="F1567" s="3">
        <f t="shared" si="350"/>
        <v>1</v>
      </c>
      <c r="G1567" s="3">
        <f t="shared" si="351"/>
        <v>10</v>
      </c>
      <c r="H1567" s="3">
        <f t="shared" si="352"/>
        <v>9</v>
      </c>
      <c r="I1567" s="3">
        <f t="shared" si="353"/>
        <v>0</v>
      </c>
      <c r="J1567" s="3">
        <f t="shared" si="354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55"/>
        <v>YES</v>
      </c>
      <c r="Q1567" t="str">
        <f t="shared" si="356"/>
        <v>YES</v>
      </c>
      <c r="R1567" t="str">
        <f t="shared" si="357"/>
        <v>NO</v>
      </c>
      <c r="T1567" t="s">
        <v>41</v>
      </c>
      <c r="U1567" t="str">
        <f t="shared" si="358"/>
        <v>River St</v>
      </c>
      <c r="V1567" t="s">
        <v>28</v>
      </c>
      <c r="W1567" t="str">
        <f t="shared" si="359"/>
        <v>Howard St</v>
      </c>
      <c r="X1567" t="str">
        <f>IF(ISBLANK(S1567),"Intersection","Non-Intersection")</f>
        <v>Intersection</v>
      </c>
      <c r="Y1567" t="s">
        <v>2493</v>
      </c>
      <c r="Z1567" t="str">
        <f t="shared" si="360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47"/>
        <v>40544</v>
      </c>
      <c r="D1568" s="4">
        <f t="shared" si="348"/>
        <v>2.4657534246575342E-2</v>
      </c>
      <c r="E1568" s="3">
        <f t="shared" si="349"/>
        <v>2011</v>
      </c>
      <c r="F1568" s="3">
        <f t="shared" si="350"/>
        <v>1</v>
      </c>
      <c r="G1568" s="3">
        <f t="shared" si="351"/>
        <v>10</v>
      </c>
      <c r="H1568" s="3">
        <f t="shared" si="352"/>
        <v>1</v>
      </c>
      <c r="I1568" s="3">
        <f t="shared" si="353"/>
        <v>27</v>
      </c>
      <c r="J1568" s="3">
        <f t="shared" si="354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55"/>
        <v>YES</v>
      </c>
      <c r="Q1568" t="str">
        <f t="shared" si="356"/>
        <v>NO</v>
      </c>
      <c r="R1568" t="str">
        <f t="shared" si="357"/>
        <v>NO</v>
      </c>
      <c r="T1568" t="s">
        <v>14</v>
      </c>
      <c r="U1568" t="str">
        <f t="shared" si="358"/>
        <v>Massachusetts Ave</v>
      </c>
      <c r="V1568" t="s">
        <v>185</v>
      </c>
      <c r="W1568" t="str">
        <f t="shared" si="359"/>
        <v>Garden St</v>
      </c>
      <c r="X1568" t="str">
        <f>IF(ISBLANK(S1568),"Intersection","Non-Intersection")</f>
        <v>Intersection</v>
      </c>
      <c r="Y1568" t="s">
        <v>1247</v>
      </c>
      <c r="Z1568" t="str">
        <f t="shared" si="360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47"/>
        <v>40544</v>
      </c>
      <c r="D1569" s="4">
        <f t="shared" si="348"/>
        <v>2.7397260273972601E-2</v>
      </c>
      <c r="E1569" s="3">
        <f t="shared" si="349"/>
        <v>2011</v>
      </c>
      <c r="F1569" s="3">
        <f t="shared" si="350"/>
        <v>1</v>
      </c>
      <c r="G1569" s="3">
        <f t="shared" si="351"/>
        <v>11</v>
      </c>
      <c r="H1569" s="3">
        <f t="shared" si="352"/>
        <v>14</v>
      </c>
      <c r="I1569" s="3">
        <f t="shared" si="353"/>
        <v>29</v>
      </c>
      <c r="J1569" s="3">
        <f t="shared" si="354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55"/>
        <v>YES</v>
      </c>
      <c r="Q1569" t="str">
        <f t="shared" si="356"/>
        <v>NO</v>
      </c>
      <c r="R1569" t="str">
        <f t="shared" si="357"/>
        <v>NO</v>
      </c>
      <c r="T1569" t="s">
        <v>27</v>
      </c>
      <c r="U1569" t="str">
        <f t="shared" si="358"/>
        <v>Western Ave</v>
      </c>
      <c r="V1569" t="s">
        <v>1024</v>
      </c>
      <c r="W1569" t="str">
        <f t="shared" si="359"/>
        <v>Kinnaird St</v>
      </c>
      <c r="X1569" t="str">
        <f>IF(ISBLANK(S1569),"Intersection","Non-Intersection")</f>
        <v>Intersection</v>
      </c>
      <c r="Y1569" t="s">
        <v>2494</v>
      </c>
      <c r="Z1569" t="str">
        <f t="shared" si="360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47"/>
        <v>40544</v>
      </c>
      <c r="D1570" s="4">
        <f t="shared" si="348"/>
        <v>2.7397260273972601E-2</v>
      </c>
      <c r="E1570" s="3">
        <f t="shared" si="349"/>
        <v>2011</v>
      </c>
      <c r="F1570" s="3">
        <f t="shared" si="350"/>
        <v>1</v>
      </c>
      <c r="G1570" s="3">
        <f t="shared" si="351"/>
        <v>11</v>
      </c>
      <c r="H1570" s="3">
        <f t="shared" si="352"/>
        <v>17</v>
      </c>
      <c r="I1570" s="3">
        <f t="shared" si="353"/>
        <v>9</v>
      </c>
      <c r="J1570" s="3">
        <f t="shared" si="354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55"/>
        <v>YES</v>
      </c>
      <c r="Q1570" t="str">
        <f t="shared" si="356"/>
        <v>NO</v>
      </c>
      <c r="R1570" t="str">
        <f t="shared" si="357"/>
        <v>NO</v>
      </c>
      <c r="T1570" t="s">
        <v>14</v>
      </c>
      <c r="U1570" t="str">
        <f t="shared" si="358"/>
        <v>Massachusetts Ave</v>
      </c>
      <c r="V1570" t="s">
        <v>1275</v>
      </c>
      <c r="W1570" t="str">
        <f t="shared" si="359"/>
        <v>Richard Ave</v>
      </c>
      <c r="X1570" t="str">
        <f>IF(ISBLANK(S1570),"Intersection","Non-Intersection")</f>
        <v>Intersection</v>
      </c>
      <c r="Y1570" t="s">
        <v>2495</v>
      </c>
      <c r="Z1570" t="str">
        <f t="shared" si="360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47"/>
        <v>40544</v>
      </c>
      <c r="D1571" s="4">
        <f t="shared" si="348"/>
        <v>2.7397260273972601E-2</v>
      </c>
      <c r="E1571" s="3">
        <f t="shared" si="349"/>
        <v>2011</v>
      </c>
      <c r="F1571" s="3">
        <f t="shared" si="350"/>
        <v>1</v>
      </c>
      <c r="G1571" s="3">
        <f t="shared" si="351"/>
        <v>11</v>
      </c>
      <c r="H1571" s="3">
        <f t="shared" si="352"/>
        <v>18</v>
      </c>
      <c r="I1571" s="3">
        <f t="shared" si="353"/>
        <v>18</v>
      </c>
      <c r="J1571" s="3">
        <f t="shared" si="354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55"/>
        <v>YES</v>
      </c>
      <c r="Q1571" t="str">
        <f t="shared" si="356"/>
        <v>NO</v>
      </c>
      <c r="R1571" t="str">
        <f t="shared" si="357"/>
        <v>NO</v>
      </c>
      <c r="T1571" t="s">
        <v>142</v>
      </c>
      <c r="U1571" t="str">
        <f t="shared" si="358"/>
        <v>Huron Ave</v>
      </c>
      <c r="V1571" t="s">
        <v>459</v>
      </c>
      <c r="W1571" t="str">
        <f t="shared" si="359"/>
        <v>Fayerweather St</v>
      </c>
      <c r="X1571" t="str">
        <f>IF(ISBLANK(S1571),"Intersection","Non-Intersection")</f>
        <v>Intersection</v>
      </c>
      <c r="Y1571" t="s">
        <v>460</v>
      </c>
      <c r="Z1571" t="str">
        <f t="shared" si="360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47"/>
        <v>40544</v>
      </c>
      <c r="D1572" s="4">
        <f t="shared" si="348"/>
        <v>3.0136986301369864E-2</v>
      </c>
      <c r="E1572" s="3">
        <f t="shared" si="349"/>
        <v>2011</v>
      </c>
      <c r="F1572" s="3">
        <f t="shared" si="350"/>
        <v>1</v>
      </c>
      <c r="G1572" s="3">
        <f t="shared" si="351"/>
        <v>12</v>
      </c>
      <c r="H1572" s="3">
        <f t="shared" si="352"/>
        <v>13</v>
      </c>
      <c r="I1572" s="3">
        <f t="shared" si="353"/>
        <v>25</v>
      </c>
      <c r="J1572" s="3">
        <f t="shared" si="354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55"/>
        <v>YES</v>
      </c>
      <c r="Q1572" t="str">
        <f t="shared" si="356"/>
        <v>NO</v>
      </c>
      <c r="R1572" t="str">
        <f t="shared" si="357"/>
        <v>YES</v>
      </c>
      <c r="T1572" t="s">
        <v>396</v>
      </c>
      <c r="U1572" t="str">
        <f t="shared" si="358"/>
        <v>Prescott St</v>
      </c>
      <c r="V1572" t="s">
        <v>19</v>
      </c>
      <c r="W1572" t="str">
        <f t="shared" si="359"/>
        <v>Cambridge St</v>
      </c>
      <c r="X1572" t="str">
        <f>IF(ISBLANK(S1572),"Intersection","Non-Intersection")</f>
        <v>Intersection</v>
      </c>
      <c r="Y1572" t="s">
        <v>2497</v>
      </c>
      <c r="Z1572" t="str">
        <f t="shared" si="360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47"/>
        <v>40544</v>
      </c>
      <c r="D1573" s="4">
        <f t="shared" si="348"/>
        <v>3.0136986301369864E-2</v>
      </c>
      <c r="E1573" s="3">
        <f t="shared" si="349"/>
        <v>2011</v>
      </c>
      <c r="F1573" s="3">
        <f t="shared" si="350"/>
        <v>1</v>
      </c>
      <c r="G1573" s="3">
        <f t="shared" si="351"/>
        <v>12</v>
      </c>
      <c r="H1573" s="3">
        <f t="shared" si="352"/>
        <v>19</v>
      </c>
      <c r="I1573" s="3">
        <f t="shared" si="353"/>
        <v>34</v>
      </c>
      <c r="J1573" s="3">
        <f t="shared" si="354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55"/>
        <v>YES</v>
      </c>
      <c r="Q1573" t="str">
        <f t="shared" si="356"/>
        <v>NO</v>
      </c>
      <c r="R1573" t="str">
        <f t="shared" si="357"/>
        <v>NO</v>
      </c>
      <c r="S1573">
        <v>10</v>
      </c>
      <c r="T1573" t="s">
        <v>2498</v>
      </c>
      <c r="U1573" t="str">
        <f t="shared" si="358"/>
        <v>Longfellow Park</v>
      </c>
      <c r="W1573" t="str">
        <f t="shared" si="359"/>
        <v/>
      </c>
      <c r="X1573" t="str">
        <f>IF(ISBLANK(S1573),"Intersection","Non-Intersection")</f>
        <v>Non-Intersection</v>
      </c>
      <c r="Y1573" t="s">
        <v>2499</v>
      </c>
      <c r="Z1573" t="str">
        <f t="shared" si="360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47"/>
        <v>40544</v>
      </c>
      <c r="D1574" s="4">
        <f t="shared" si="348"/>
        <v>3.0136986301369864E-2</v>
      </c>
      <c r="E1574" s="3">
        <f t="shared" si="349"/>
        <v>2011</v>
      </c>
      <c r="F1574" s="3">
        <f t="shared" si="350"/>
        <v>1</v>
      </c>
      <c r="G1574" s="3">
        <f t="shared" si="351"/>
        <v>12</v>
      </c>
      <c r="H1574" s="3">
        <f t="shared" si="352"/>
        <v>8</v>
      </c>
      <c r="I1574" s="3">
        <f t="shared" si="353"/>
        <v>29</v>
      </c>
      <c r="J1574" s="3">
        <f t="shared" si="354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55"/>
        <v>YES</v>
      </c>
      <c r="Q1574" t="str">
        <f t="shared" si="356"/>
        <v>NO</v>
      </c>
      <c r="R1574" t="str">
        <f t="shared" si="357"/>
        <v>NO</v>
      </c>
      <c r="T1574" t="s">
        <v>332</v>
      </c>
      <c r="U1574" t="str">
        <f t="shared" si="358"/>
        <v>Allston St</v>
      </c>
      <c r="V1574" t="s">
        <v>453</v>
      </c>
      <c r="W1574" t="str">
        <f t="shared" si="359"/>
        <v>Brookline St</v>
      </c>
      <c r="X1574" t="str">
        <f>IF(ISBLANK(S1574),"Intersection","Non-Intersection")</f>
        <v>Intersection</v>
      </c>
      <c r="Y1574" t="s">
        <v>1040</v>
      </c>
      <c r="Z1574" t="str">
        <f t="shared" si="360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47"/>
        <v>40544</v>
      </c>
      <c r="D1575" s="4">
        <f t="shared" si="348"/>
        <v>3.0136986301369864E-2</v>
      </c>
      <c r="E1575" s="3">
        <f t="shared" si="349"/>
        <v>2011</v>
      </c>
      <c r="F1575" s="3">
        <f t="shared" si="350"/>
        <v>1</v>
      </c>
      <c r="G1575" s="3">
        <f t="shared" si="351"/>
        <v>12</v>
      </c>
      <c r="H1575" s="3">
        <f t="shared" si="352"/>
        <v>12</v>
      </c>
      <c r="I1575" s="3">
        <f t="shared" si="353"/>
        <v>0</v>
      </c>
      <c r="J1575" s="3">
        <f t="shared" si="354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55"/>
        <v>YES</v>
      </c>
      <c r="Q1575" t="str">
        <f t="shared" si="356"/>
        <v>NO</v>
      </c>
      <c r="R1575" t="str">
        <f t="shared" si="357"/>
        <v>NO</v>
      </c>
      <c r="S1575">
        <v>20</v>
      </c>
      <c r="T1575" t="s">
        <v>2501</v>
      </c>
      <c r="U1575" t="str">
        <f t="shared" si="358"/>
        <v>Wilson Rd</v>
      </c>
      <c r="W1575" t="str">
        <f t="shared" si="359"/>
        <v/>
      </c>
      <c r="X1575" t="str">
        <f>IF(ISBLANK(S1575),"Intersection","Non-Intersection")</f>
        <v>Non-Intersection</v>
      </c>
      <c r="Y1575" t="s">
        <v>2502</v>
      </c>
      <c r="Z1575" t="str">
        <f t="shared" si="360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47"/>
        <v>40544</v>
      </c>
      <c r="D1576" s="4">
        <f t="shared" si="348"/>
        <v>3.0136986301369864E-2</v>
      </c>
      <c r="E1576" s="3">
        <f t="shared" si="349"/>
        <v>2011</v>
      </c>
      <c r="F1576" s="3">
        <f t="shared" si="350"/>
        <v>1</v>
      </c>
      <c r="G1576" s="3">
        <f t="shared" si="351"/>
        <v>12</v>
      </c>
      <c r="H1576" s="3">
        <f t="shared" si="352"/>
        <v>14</v>
      </c>
      <c r="I1576" s="3">
        <f t="shared" si="353"/>
        <v>25</v>
      </c>
      <c r="J1576" s="3">
        <f t="shared" si="354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55"/>
        <v>YES</v>
      </c>
      <c r="Q1576" t="str">
        <f t="shared" si="356"/>
        <v>NO</v>
      </c>
      <c r="R1576" t="str">
        <f t="shared" si="357"/>
        <v>NO</v>
      </c>
      <c r="S1576">
        <v>234</v>
      </c>
      <c r="T1576" t="s">
        <v>108</v>
      </c>
      <c r="U1576" t="str">
        <f t="shared" si="358"/>
        <v>Franklin St</v>
      </c>
      <c r="W1576" t="str">
        <f t="shared" si="359"/>
        <v/>
      </c>
      <c r="X1576" t="str">
        <f>IF(ISBLANK(S1576),"Intersection","Non-Intersection")</f>
        <v>Non-Intersection</v>
      </c>
      <c r="Y1576" t="s">
        <v>2504</v>
      </c>
      <c r="Z1576" t="str">
        <f t="shared" si="360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47"/>
        <v>40544</v>
      </c>
      <c r="D1577" s="4">
        <f t="shared" si="348"/>
        <v>3.0136986301369864E-2</v>
      </c>
      <c r="E1577" s="3">
        <f t="shared" si="349"/>
        <v>2011</v>
      </c>
      <c r="F1577" s="3">
        <f t="shared" si="350"/>
        <v>1</v>
      </c>
      <c r="G1577" s="3">
        <f t="shared" si="351"/>
        <v>12</v>
      </c>
      <c r="H1577" s="3">
        <f t="shared" si="352"/>
        <v>0</v>
      </c>
      <c r="I1577" s="3">
        <f t="shared" si="353"/>
        <v>1</v>
      </c>
      <c r="J1577" s="3">
        <f t="shared" si="354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55"/>
        <v>YES</v>
      </c>
      <c r="Q1577" t="str">
        <f t="shared" si="356"/>
        <v>NO</v>
      </c>
      <c r="R1577" t="str">
        <f t="shared" si="357"/>
        <v>NO</v>
      </c>
      <c r="T1577" t="s">
        <v>134</v>
      </c>
      <c r="U1577" t="str">
        <f t="shared" si="358"/>
        <v>Quincy St</v>
      </c>
      <c r="V1577" t="s">
        <v>19</v>
      </c>
      <c r="W1577" t="str">
        <f t="shared" si="359"/>
        <v>Cambridge St</v>
      </c>
      <c r="X1577" t="str">
        <f>IF(ISBLANK(S1577),"Intersection","Non-Intersection")</f>
        <v>Intersection</v>
      </c>
      <c r="Y1577" t="s">
        <v>426</v>
      </c>
      <c r="Z1577" t="str">
        <f t="shared" si="360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47"/>
        <v>40544</v>
      </c>
      <c r="D1578" s="4">
        <f t="shared" si="348"/>
        <v>3.287671232876712E-2</v>
      </c>
      <c r="E1578" s="3">
        <f t="shared" si="349"/>
        <v>2011</v>
      </c>
      <c r="F1578" s="3">
        <f t="shared" si="350"/>
        <v>1</v>
      </c>
      <c r="G1578" s="3">
        <f t="shared" si="351"/>
        <v>13</v>
      </c>
      <c r="H1578" s="3">
        <f t="shared" si="352"/>
        <v>12</v>
      </c>
      <c r="I1578" s="3">
        <f t="shared" si="353"/>
        <v>49</v>
      </c>
      <c r="J1578" s="3">
        <f t="shared" si="354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55"/>
        <v>YES</v>
      </c>
      <c r="Q1578" t="str">
        <f t="shared" si="356"/>
        <v>NO</v>
      </c>
      <c r="R1578" t="str">
        <f t="shared" si="357"/>
        <v>NO</v>
      </c>
      <c r="T1578" t="s">
        <v>105</v>
      </c>
      <c r="U1578" t="str">
        <f t="shared" si="358"/>
        <v>Broadway</v>
      </c>
      <c r="V1578" t="s">
        <v>260</v>
      </c>
      <c r="W1578" t="str">
        <f t="shared" si="359"/>
        <v>Third St</v>
      </c>
      <c r="X1578" t="str">
        <f>IF(ISBLANK(S1578),"Intersection","Non-Intersection")</f>
        <v>Intersection</v>
      </c>
      <c r="Y1578" t="s">
        <v>2506</v>
      </c>
      <c r="Z1578" t="str">
        <f t="shared" si="360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47"/>
        <v>40544</v>
      </c>
      <c r="D1579" s="4">
        <f t="shared" si="348"/>
        <v>3.287671232876712E-2</v>
      </c>
      <c r="E1579" s="3">
        <f t="shared" si="349"/>
        <v>2011</v>
      </c>
      <c r="F1579" s="3">
        <f t="shared" si="350"/>
        <v>1</v>
      </c>
      <c r="G1579" s="3">
        <f t="shared" si="351"/>
        <v>13</v>
      </c>
      <c r="H1579" s="3">
        <f t="shared" si="352"/>
        <v>11</v>
      </c>
      <c r="I1579" s="3">
        <f t="shared" si="353"/>
        <v>15</v>
      </c>
      <c r="J1579" s="3">
        <f t="shared" si="354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55"/>
        <v>YES</v>
      </c>
      <c r="Q1579" t="str">
        <f t="shared" si="356"/>
        <v>NO</v>
      </c>
      <c r="R1579" t="str">
        <f t="shared" si="357"/>
        <v>YES</v>
      </c>
      <c r="S1579" t="s">
        <v>2508</v>
      </c>
      <c r="T1579" t="s">
        <v>170</v>
      </c>
      <c r="U1579" t="str">
        <f t="shared" si="358"/>
        <v>Alewife Brook Pky</v>
      </c>
      <c r="W1579" t="str">
        <f t="shared" si="359"/>
        <v/>
      </c>
      <c r="X1579" t="str">
        <f>IF(ISBLANK(S1579),"Intersection","Non-Intersection")</f>
        <v>Non-Intersection</v>
      </c>
      <c r="Y1579" t="s">
        <v>2509</v>
      </c>
      <c r="Z1579" t="str">
        <f t="shared" si="360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47"/>
        <v>40544</v>
      </c>
      <c r="D1580" s="4">
        <f t="shared" si="348"/>
        <v>3.287671232876712E-2</v>
      </c>
      <c r="E1580" s="3">
        <f t="shared" si="349"/>
        <v>2011</v>
      </c>
      <c r="F1580" s="3">
        <f t="shared" si="350"/>
        <v>1</v>
      </c>
      <c r="G1580" s="3">
        <f t="shared" si="351"/>
        <v>13</v>
      </c>
      <c r="H1580" s="3">
        <f t="shared" si="352"/>
        <v>13</v>
      </c>
      <c r="I1580" s="3">
        <f t="shared" si="353"/>
        <v>3</v>
      </c>
      <c r="J1580" s="3">
        <f t="shared" si="354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55"/>
        <v>YES</v>
      </c>
      <c r="Q1580" t="str">
        <f t="shared" si="356"/>
        <v>NO</v>
      </c>
      <c r="R1580" t="str">
        <f t="shared" si="357"/>
        <v>NO</v>
      </c>
      <c r="S1580">
        <v>60</v>
      </c>
      <c r="T1580" t="s">
        <v>202</v>
      </c>
      <c r="U1580" t="str">
        <f t="shared" si="358"/>
        <v>Vassar St</v>
      </c>
      <c r="W1580" t="str">
        <f t="shared" si="359"/>
        <v/>
      </c>
      <c r="X1580" t="str">
        <f>IF(ISBLANK(S1580),"Intersection","Non-Intersection")</f>
        <v>Non-Intersection</v>
      </c>
      <c r="Y1580" t="s">
        <v>2510</v>
      </c>
      <c r="Z1580" t="str">
        <f t="shared" si="360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47"/>
        <v>40544</v>
      </c>
      <c r="D1581" s="4">
        <f t="shared" si="348"/>
        <v>3.287671232876712E-2</v>
      </c>
      <c r="E1581" s="3">
        <f t="shared" si="349"/>
        <v>2011</v>
      </c>
      <c r="F1581" s="3">
        <f t="shared" si="350"/>
        <v>1</v>
      </c>
      <c r="G1581" s="3">
        <f t="shared" si="351"/>
        <v>13</v>
      </c>
      <c r="H1581" s="3">
        <f t="shared" si="352"/>
        <v>13</v>
      </c>
      <c r="I1581" s="3">
        <f t="shared" si="353"/>
        <v>54</v>
      </c>
      <c r="J1581" s="3">
        <f t="shared" si="354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55"/>
        <v>YES</v>
      </c>
      <c r="Q1581" t="str">
        <f t="shared" si="356"/>
        <v>NO</v>
      </c>
      <c r="R1581" t="str">
        <f t="shared" si="357"/>
        <v>NO</v>
      </c>
      <c r="T1581" t="s">
        <v>342</v>
      </c>
      <c r="U1581" t="str">
        <f t="shared" si="358"/>
        <v>Prospect St</v>
      </c>
      <c r="V1581" t="s">
        <v>133</v>
      </c>
      <c r="W1581" t="str">
        <f t="shared" si="359"/>
        <v>Harvard St</v>
      </c>
      <c r="X1581" t="str">
        <f>IF(ISBLANK(S1581),"Intersection","Non-Intersection")</f>
        <v>Intersection</v>
      </c>
      <c r="Y1581" t="s">
        <v>884</v>
      </c>
      <c r="Z1581" t="str">
        <f t="shared" si="360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47"/>
        <v>40544</v>
      </c>
      <c r="D1582" s="4">
        <f t="shared" si="348"/>
        <v>3.287671232876712E-2</v>
      </c>
      <c r="E1582" s="3">
        <f t="shared" si="349"/>
        <v>2011</v>
      </c>
      <c r="F1582" s="3">
        <f t="shared" si="350"/>
        <v>1</v>
      </c>
      <c r="G1582" s="3">
        <f t="shared" si="351"/>
        <v>13</v>
      </c>
      <c r="H1582" s="3">
        <f t="shared" si="352"/>
        <v>15</v>
      </c>
      <c r="I1582" s="3">
        <f t="shared" si="353"/>
        <v>49</v>
      </c>
      <c r="J1582" s="3">
        <f t="shared" si="354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55"/>
        <v>YES</v>
      </c>
      <c r="Q1582" t="str">
        <f t="shared" si="356"/>
        <v>NO</v>
      </c>
      <c r="R1582" t="str">
        <f t="shared" si="357"/>
        <v>NO</v>
      </c>
      <c r="S1582">
        <v>48</v>
      </c>
      <c r="T1582" t="s">
        <v>316</v>
      </c>
      <c r="U1582" t="str">
        <f t="shared" si="358"/>
        <v>Bishop Allen Dr</v>
      </c>
      <c r="W1582" t="str">
        <f t="shared" si="359"/>
        <v/>
      </c>
      <c r="X1582" t="str">
        <f>IF(ISBLANK(S1582),"Intersection","Non-Intersection")</f>
        <v>Non-Intersection</v>
      </c>
      <c r="Y1582" t="s">
        <v>2512</v>
      </c>
      <c r="Z1582" t="str">
        <f t="shared" si="360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47"/>
        <v>40544</v>
      </c>
      <c r="D1583" s="4">
        <f t="shared" si="348"/>
        <v>3.287671232876712E-2</v>
      </c>
      <c r="E1583" s="3">
        <f t="shared" si="349"/>
        <v>2011</v>
      </c>
      <c r="F1583" s="3">
        <f t="shared" si="350"/>
        <v>1</v>
      </c>
      <c r="G1583" s="3">
        <f t="shared" si="351"/>
        <v>13</v>
      </c>
      <c r="H1583" s="3">
        <f t="shared" si="352"/>
        <v>18</v>
      </c>
      <c r="I1583" s="3">
        <f t="shared" si="353"/>
        <v>11</v>
      </c>
      <c r="J1583" s="3">
        <f t="shared" si="354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55"/>
        <v>YES</v>
      </c>
      <c r="Q1583" t="str">
        <f t="shared" si="356"/>
        <v>NO</v>
      </c>
      <c r="R1583" t="str">
        <f t="shared" si="357"/>
        <v>NO</v>
      </c>
      <c r="T1583" t="s">
        <v>198</v>
      </c>
      <c r="U1583" t="str">
        <f t="shared" si="358"/>
        <v>Mount Auburn St</v>
      </c>
      <c r="V1583" t="s">
        <v>464</v>
      </c>
      <c r="W1583" t="str">
        <f t="shared" si="359"/>
        <v>Aberdeen Way</v>
      </c>
      <c r="X1583" t="str">
        <f>IF(ISBLANK(S1583),"Intersection","Non-Intersection")</f>
        <v>Intersection</v>
      </c>
      <c r="Y1583" t="s">
        <v>1666</v>
      </c>
      <c r="Z1583" t="str">
        <f t="shared" si="360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47"/>
        <v>40544</v>
      </c>
      <c r="D1584" s="4">
        <f t="shared" si="348"/>
        <v>3.5616438356164383E-2</v>
      </c>
      <c r="E1584" s="3">
        <f t="shared" si="349"/>
        <v>2011</v>
      </c>
      <c r="F1584" s="3">
        <f t="shared" si="350"/>
        <v>1</v>
      </c>
      <c r="G1584" s="3">
        <f t="shared" si="351"/>
        <v>14</v>
      </c>
      <c r="H1584" s="3">
        <f t="shared" si="352"/>
        <v>8</v>
      </c>
      <c r="I1584" s="3">
        <f t="shared" si="353"/>
        <v>29</v>
      </c>
      <c r="J1584" s="3">
        <f t="shared" si="354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55"/>
        <v>YES</v>
      </c>
      <c r="Q1584" t="str">
        <f t="shared" si="356"/>
        <v>YES</v>
      </c>
      <c r="R1584" t="str">
        <f t="shared" si="357"/>
        <v>NO</v>
      </c>
      <c r="T1584" t="s">
        <v>74</v>
      </c>
      <c r="U1584" t="str">
        <f t="shared" si="358"/>
        <v>Hampshire St</v>
      </c>
      <c r="V1584" t="s">
        <v>75</v>
      </c>
      <c r="W1584" t="str">
        <f t="shared" si="359"/>
        <v>Elm St</v>
      </c>
      <c r="X1584" t="str">
        <f>IF(ISBLANK(S1584),"Intersection","Non-Intersection")</f>
        <v>Intersection</v>
      </c>
      <c r="Y1584" t="s">
        <v>76</v>
      </c>
      <c r="Z1584" t="str">
        <f t="shared" si="360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47"/>
        <v>40544</v>
      </c>
      <c r="D1585" s="4">
        <f t="shared" si="348"/>
        <v>3.5616438356164383E-2</v>
      </c>
      <c r="E1585" s="3">
        <f t="shared" si="349"/>
        <v>2011</v>
      </c>
      <c r="F1585" s="3">
        <f t="shared" si="350"/>
        <v>1</v>
      </c>
      <c r="G1585" s="3">
        <f t="shared" si="351"/>
        <v>14</v>
      </c>
      <c r="H1585" s="3">
        <f t="shared" si="352"/>
        <v>8</v>
      </c>
      <c r="I1585" s="3">
        <f t="shared" si="353"/>
        <v>29</v>
      </c>
      <c r="J1585" s="3">
        <f t="shared" si="354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55"/>
        <v>YES</v>
      </c>
      <c r="Q1585" t="str">
        <f t="shared" si="356"/>
        <v>NO</v>
      </c>
      <c r="R1585" t="str">
        <f t="shared" si="357"/>
        <v>NO</v>
      </c>
      <c r="S1585">
        <v>422</v>
      </c>
      <c r="T1585" t="s">
        <v>42</v>
      </c>
      <c r="U1585" t="str">
        <f t="shared" si="358"/>
        <v>Putnam Ave</v>
      </c>
      <c r="V1585" t="s">
        <v>37</v>
      </c>
      <c r="W1585" t="str">
        <f t="shared" si="359"/>
        <v>Magazine St</v>
      </c>
      <c r="X1585" t="str">
        <f>IF(ISBLANK(S1585),"Intersection","Non-Intersection")</f>
        <v>Non-Intersection</v>
      </c>
      <c r="Y1585" t="s">
        <v>2514</v>
      </c>
      <c r="Z1585" t="str">
        <f t="shared" si="360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47"/>
        <v>40544</v>
      </c>
      <c r="D1586" s="4">
        <f t="shared" si="348"/>
        <v>3.5616438356164383E-2</v>
      </c>
      <c r="E1586" s="3">
        <f t="shared" si="349"/>
        <v>2011</v>
      </c>
      <c r="F1586" s="3">
        <f t="shared" si="350"/>
        <v>1</v>
      </c>
      <c r="G1586" s="3">
        <f t="shared" si="351"/>
        <v>14</v>
      </c>
      <c r="H1586" s="3">
        <f t="shared" si="352"/>
        <v>1</v>
      </c>
      <c r="I1586" s="3">
        <f t="shared" si="353"/>
        <v>3</v>
      </c>
      <c r="J1586" s="3">
        <f t="shared" si="354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55"/>
        <v>YES</v>
      </c>
      <c r="Q1586" t="str">
        <f t="shared" si="356"/>
        <v>NO</v>
      </c>
      <c r="R1586" t="str">
        <f t="shared" si="357"/>
        <v>NO</v>
      </c>
      <c r="S1586">
        <v>50</v>
      </c>
      <c r="T1586" t="s">
        <v>658</v>
      </c>
      <c r="U1586" t="str">
        <f t="shared" si="358"/>
        <v>Mooney St</v>
      </c>
      <c r="W1586" t="str">
        <f t="shared" si="359"/>
        <v/>
      </c>
      <c r="X1586" t="str">
        <f>IF(ISBLANK(S1586),"Intersection","Non-Intersection")</f>
        <v>Non-Intersection</v>
      </c>
      <c r="Y1586" t="s">
        <v>2516</v>
      </c>
      <c r="Z1586" t="str">
        <f t="shared" si="360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47"/>
        <v>40544</v>
      </c>
      <c r="D1587" s="4">
        <f t="shared" si="348"/>
        <v>3.5616438356164383E-2</v>
      </c>
      <c r="E1587" s="3">
        <f t="shared" si="349"/>
        <v>2011</v>
      </c>
      <c r="F1587" s="3">
        <f t="shared" si="350"/>
        <v>1</v>
      </c>
      <c r="G1587" s="3">
        <f t="shared" si="351"/>
        <v>14</v>
      </c>
      <c r="H1587" s="3">
        <f t="shared" si="352"/>
        <v>14</v>
      </c>
      <c r="I1587" s="3">
        <f t="shared" si="353"/>
        <v>10</v>
      </c>
      <c r="J1587" s="3">
        <f t="shared" si="354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55"/>
        <v>YES</v>
      </c>
      <c r="Q1587" t="str">
        <f t="shared" si="356"/>
        <v>NO</v>
      </c>
      <c r="R1587" t="str">
        <f t="shared" si="357"/>
        <v>NO</v>
      </c>
      <c r="T1587" t="s">
        <v>86</v>
      </c>
      <c r="U1587" t="str">
        <f t="shared" si="358"/>
        <v>Granite St</v>
      </c>
      <c r="V1587" t="s">
        <v>850</v>
      </c>
      <c r="W1587" t="str">
        <f t="shared" si="359"/>
        <v>Rockingham St</v>
      </c>
      <c r="X1587" t="str">
        <f>IF(ISBLANK(S1587),"Intersection","Non-Intersection")</f>
        <v>Intersection</v>
      </c>
      <c r="Y1587" t="s">
        <v>851</v>
      </c>
      <c r="Z1587" t="str">
        <f t="shared" si="360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47"/>
        <v>40544</v>
      </c>
      <c r="D1588" s="4">
        <f t="shared" si="348"/>
        <v>3.5616438356164383E-2</v>
      </c>
      <c r="E1588" s="3">
        <f t="shared" si="349"/>
        <v>2011</v>
      </c>
      <c r="F1588" s="3">
        <f t="shared" si="350"/>
        <v>1</v>
      </c>
      <c r="G1588" s="3">
        <f t="shared" si="351"/>
        <v>14</v>
      </c>
      <c r="H1588" s="3">
        <f t="shared" si="352"/>
        <v>19</v>
      </c>
      <c r="I1588" s="3">
        <f t="shared" si="353"/>
        <v>40</v>
      </c>
      <c r="J1588" s="3">
        <f t="shared" si="354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55"/>
        <v>YES</v>
      </c>
      <c r="Q1588" t="str">
        <f t="shared" si="356"/>
        <v>NO</v>
      </c>
      <c r="R1588" t="str">
        <f t="shared" si="357"/>
        <v>NO</v>
      </c>
      <c r="S1588">
        <v>26</v>
      </c>
      <c r="T1588" t="s">
        <v>124</v>
      </c>
      <c r="U1588" t="str">
        <f t="shared" si="358"/>
        <v>York St</v>
      </c>
      <c r="W1588" t="str">
        <f t="shared" si="359"/>
        <v/>
      </c>
      <c r="X1588" t="str">
        <f>IF(ISBLANK(S1588),"Intersection","Non-Intersection")</f>
        <v>Non-Intersection</v>
      </c>
      <c r="Y1588" t="s">
        <v>2518</v>
      </c>
      <c r="Z1588" t="str">
        <f t="shared" si="360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47"/>
        <v>40544</v>
      </c>
      <c r="D1589" s="4">
        <f t="shared" si="348"/>
        <v>3.5616438356164383E-2</v>
      </c>
      <c r="E1589" s="3">
        <f t="shared" si="349"/>
        <v>2011</v>
      </c>
      <c r="F1589" s="3">
        <f t="shared" si="350"/>
        <v>1</v>
      </c>
      <c r="G1589" s="3">
        <f t="shared" si="351"/>
        <v>14</v>
      </c>
      <c r="H1589" s="3">
        <f t="shared" si="352"/>
        <v>20</v>
      </c>
      <c r="I1589" s="3">
        <f t="shared" si="353"/>
        <v>3</v>
      </c>
      <c r="J1589" s="3">
        <f t="shared" si="354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55"/>
        <v>YES</v>
      </c>
      <c r="Q1589" t="str">
        <f t="shared" si="356"/>
        <v>NO</v>
      </c>
      <c r="R1589" t="str">
        <f t="shared" si="357"/>
        <v>NO</v>
      </c>
      <c r="T1589" t="s">
        <v>509</v>
      </c>
      <c r="U1589" t="str">
        <f t="shared" si="358"/>
        <v>Green St</v>
      </c>
      <c r="V1589" t="s">
        <v>178</v>
      </c>
      <c r="W1589" t="str">
        <f t="shared" si="359"/>
        <v>Pleasant St</v>
      </c>
      <c r="X1589" t="str">
        <f>IF(ISBLANK(S1589),"Intersection","Non-Intersection")</f>
        <v>Intersection</v>
      </c>
      <c r="Y1589" t="s">
        <v>2520</v>
      </c>
      <c r="Z1589" t="str">
        <f t="shared" si="360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47"/>
        <v>40544</v>
      </c>
      <c r="D1590" s="4">
        <f t="shared" si="348"/>
        <v>3.5616438356164383E-2</v>
      </c>
      <c r="E1590" s="3">
        <f t="shared" si="349"/>
        <v>2011</v>
      </c>
      <c r="F1590" s="3">
        <f t="shared" si="350"/>
        <v>1</v>
      </c>
      <c r="G1590" s="3">
        <f t="shared" si="351"/>
        <v>14</v>
      </c>
      <c r="H1590" s="3">
        <f t="shared" si="352"/>
        <v>11</v>
      </c>
      <c r="I1590" s="3">
        <f t="shared" si="353"/>
        <v>58</v>
      </c>
      <c r="J1590" s="3">
        <f t="shared" si="354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55"/>
        <v>YES</v>
      </c>
      <c r="Q1590" t="str">
        <f t="shared" si="356"/>
        <v>NO</v>
      </c>
      <c r="R1590" t="str">
        <f t="shared" si="357"/>
        <v>NO</v>
      </c>
      <c r="S1590">
        <v>41</v>
      </c>
      <c r="T1590" t="s">
        <v>840</v>
      </c>
      <c r="U1590" t="str">
        <f t="shared" si="358"/>
        <v>Church St</v>
      </c>
      <c r="W1590" t="str">
        <f t="shared" si="359"/>
        <v/>
      </c>
      <c r="X1590" t="str">
        <f>IF(ISBLANK(S1590),"Intersection","Non-Intersection")</f>
        <v>Non-Intersection</v>
      </c>
      <c r="Y1590" t="s">
        <v>1180</v>
      </c>
      <c r="Z1590" t="str">
        <f t="shared" si="360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47"/>
        <v>40544</v>
      </c>
      <c r="D1591" s="4">
        <f t="shared" si="348"/>
        <v>3.5616438356164383E-2</v>
      </c>
      <c r="E1591" s="3">
        <f t="shared" si="349"/>
        <v>2011</v>
      </c>
      <c r="F1591" s="3">
        <f t="shared" si="350"/>
        <v>1</v>
      </c>
      <c r="G1591" s="3">
        <f t="shared" si="351"/>
        <v>14</v>
      </c>
      <c r="H1591" s="3">
        <f t="shared" si="352"/>
        <v>17</v>
      </c>
      <c r="I1591" s="3">
        <f t="shared" si="353"/>
        <v>45</v>
      </c>
      <c r="J1591" s="3">
        <f t="shared" si="354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55"/>
        <v>YES</v>
      </c>
      <c r="Q1591" t="str">
        <f t="shared" si="356"/>
        <v>NO</v>
      </c>
      <c r="R1591" t="str">
        <f t="shared" si="357"/>
        <v>NO</v>
      </c>
      <c r="T1591" t="s">
        <v>14</v>
      </c>
      <c r="U1591" t="str">
        <f t="shared" si="358"/>
        <v>Massachusetts Ave</v>
      </c>
      <c r="V1591" t="s">
        <v>1032</v>
      </c>
      <c r="W1591" t="str">
        <f t="shared" si="359"/>
        <v>Meacham Rd</v>
      </c>
      <c r="X1591" t="str">
        <f>IF(ISBLANK(S1591),"Intersection","Non-Intersection")</f>
        <v>Intersection</v>
      </c>
      <c r="Y1591" t="s">
        <v>1033</v>
      </c>
      <c r="Z1591" t="str">
        <f t="shared" si="360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47"/>
        <v>40544</v>
      </c>
      <c r="D1592" s="4">
        <f t="shared" si="348"/>
        <v>3.8356164383561646E-2</v>
      </c>
      <c r="E1592" s="3">
        <f t="shared" si="349"/>
        <v>2011</v>
      </c>
      <c r="F1592" s="3">
        <f t="shared" si="350"/>
        <v>1</v>
      </c>
      <c r="G1592" s="3">
        <f t="shared" si="351"/>
        <v>15</v>
      </c>
      <c r="H1592" s="3">
        <f t="shared" si="352"/>
        <v>13</v>
      </c>
      <c r="I1592" s="3">
        <f t="shared" si="353"/>
        <v>19</v>
      </c>
      <c r="J1592" s="3">
        <f t="shared" si="354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55"/>
        <v>YES</v>
      </c>
      <c r="Q1592" t="str">
        <f t="shared" si="356"/>
        <v>NO</v>
      </c>
      <c r="R1592" t="str">
        <f t="shared" si="357"/>
        <v>NO</v>
      </c>
      <c r="S1592">
        <v>11</v>
      </c>
      <c r="T1592" t="s">
        <v>1145</v>
      </c>
      <c r="U1592" t="str">
        <f t="shared" si="358"/>
        <v>Pemberton St</v>
      </c>
      <c r="W1592" t="str">
        <f t="shared" si="359"/>
        <v/>
      </c>
      <c r="X1592" t="str">
        <f>IF(ISBLANK(S1592),"Intersection","Non-Intersection")</f>
        <v>Non-Intersection</v>
      </c>
      <c r="Y1592" t="s">
        <v>2522</v>
      </c>
      <c r="Z1592" t="str">
        <f t="shared" si="360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61">EOMONTH(B1593,MONTH(B1593)*-1)+1</f>
        <v>40544</v>
      </c>
      <c r="D1593" s="4">
        <f t="shared" ref="D1593:D1648" si="362">YEARFRAC(C1593,B1593,1)</f>
        <v>4.1095890410958902E-2</v>
      </c>
      <c r="E1593" s="3">
        <f t="shared" ref="E1593:E1648" si="363">YEAR(B1593)</f>
        <v>2011</v>
      </c>
      <c r="F1593" s="3">
        <f t="shared" ref="F1593:F1648" si="364">MONTH(B1593)</f>
        <v>1</v>
      </c>
      <c r="G1593" s="3">
        <f t="shared" ref="G1593:G1648" si="365">DAY(B1593)</f>
        <v>16</v>
      </c>
      <c r="H1593" s="3">
        <f t="shared" ref="H1593:H1648" si="366">HOUR(B1593)</f>
        <v>8</v>
      </c>
      <c r="I1593" s="3">
        <f t="shared" ref="I1593:I1648" si="367">MINUTE(B1593)</f>
        <v>29</v>
      </c>
      <c r="J1593" s="3">
        <f t="shared" ref="J1593:J1648" si="368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69">IF(OR(N1593="Auto",O1593="Auto"),"YES",IF(OR(N1593="Taxi",O1593="Taxi"),"YES",IF(OR(N1593="Van",O1593="Van"),"YES",IF(OR(N1593="Truck",O1593="Truck"),"YES","NO"))))</f>
        <v>YES</v>
      </c>
      <c r="Q1593" t="str">
        <f t="shared" ref="Q1593:Q1648" si="370">IF(OR(N1593="Bicycle",O1593="Bicycle"),"YES","NO")</f>
        <v>NO</v>
      </c>
      <c r="R1593" t="str">
        <f t="shared" ref="R1593:R1648" si="371">IF(OR(N1593="Pedestrian",O1593="Pedestrian"),"YES","NO")</f>
        <v>NO</v>
      </c>
      <c r="S1593">
        <v>600</v>
      </c>
      <c r="T1593" t="s">
        <v>2524</v>
      </c>
      <c r="U1593" t="str">
        <f t="shared" si="358"/>
        <v>Technology Sq</v>
      </c>
      <c r="V1593" t="s">
        <v>796</v>
      </c>
      <c r="W1593" t="str">
        <f t="shared" si="359"/>
        <v>Portland St</v>
      </c>
      <c r="X1593" t="str">
        <f>IF(ISBLANK(S1593),"Intersection","Non-Intersection")</f>
        <v>Non-Intersection</v>
      </c>
      <c r="Y1593" t="s">
        <v>2525</v>
      </c>
      <c r="Z1593" t="str">
        <f t="shared" si="360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61"/>
        <v>40544</v>
      </c>
      <c r="D1594" s="4">
        <f t="shared" si="362"/>
        <v>4.1095890410958902E-2</v>
      </c>
      <c r="E1594" s="3">
        <f t="shared" si="363"/>
        <v>2011</v>
      </c>
      <c r="F1594" s="3">
        <f t="shared" si="364"/>
        <v>1</v>
      </c>
      <c r="G1594" s="3">
        <f t="shared" si="365"/>
        <v>16</v>
      </c>
      <c r="H1594" s="3">
        <f t="shared" si="366"/>
        <v>13</v>
      </c>
      <c r="I1594" s="3">
        <f t="shared" si="367"/>
        <v>25</v>
      </c>
      <c r="J1594" s="3">
        <f t="shared" si="368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69"/>
        <v>NO</v>
      </c>
      <c r="Q1594" t="str">
        <f t="shared" si="370"/>
        <v>NO</v>
      </c>
      <c r="R1594" t="str">
        <f t="shared" si="371"/>
        <v>NO</v>
      </c>
      <c r="T1594" t="s">
        <v>1438</v>
      </c>
      <c r="U1594" t="str">
        <f t="shared" si="358"/>
        <v>Dunster St</v>
      </c>
      <c r="W1594" t="str">
        <f t="shared" si="359"/>
        <v/>
      </c>
      <c r="X1594" t="str">
        <f>IF(ISBLANK(S1594),"Intersection","Non-Intersection")</f>
        <v>Intersection</v>
      </c>
      <c r="Y1594" t="s">
        <v>2442</v>
      </c>
      <c r="Z1594" t="str">
        <f t="shared" si="360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61"/>
        <v>40544</v>
      </c>
      <c r="D1595" s="4">
        <f t="shared" si="362"/>
        <v>4.1095890410958902E-2</v>
      </c>
      <c r="E1595" s="3">
        <f t="shared" si="363"/>
        <v>2011</v>
      </c>
      <c r="F1595" s="3">
        <f t="shared" si="364"/>
        <v>1</v>
      </c>
      <c r="G1595" s="3">
        <f t="shared" si="365"/>
        <v>16</v>
      </c>
      <c r="H1595" s="3">
        <f t="shared" si="366"/>
        <v>12</v>
      </c>
      <c r="I1595" s="3">
        <f t="shared" si="367"/>
        <v>59</v>
      </c>
      <c r="J1595" s="3">
        <f t="shared" si="368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69"/>
        <v>YES</v>
      </c>
      <c r="Q1595" t="str">
        <f t="shared" si="370"/>
        <v>NO</v>
      </c>
      <c r="R1595" t="str">
        <f t="shared" si="371"/>
        <v>NO</v>
      </c>
      <c r="T1595" t="s">
        <v>199</v>
      </c>
      <c r="U1595" t="str">
        <f t="shared" si="358"/>
        <v>Brattle St</v>
      </c>
      <c r="V1595" t="s">
        <v>1458</v>
      </c>
      <c r="W1595" t="str">
        <f t="shared" si="359"/>
        <v>Hilliard St</v>
      </c>
      <c r="X1595" t="str">
        <f>IF(ISBLANK(S1595),"Intersection","Non-Intersection")</f>
        <v>Intersection</v>
      </c>
      <c r="Y1595" t="s">
        <v>1459</v>
      </c>
      <c r="Z1595" t="str">
        <f t="shared" si="360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61"/>
        <v>40544</v>
      </c>
      <c r="D1596" s="4">
        <f t="shared" si="362"/>
        <v>4.3835616438356165E-2</v>
      </c>
      <c r="E1596" s="3">
        <f t="shared" si="363"/>
        <v>2011</v>
      </c>
      <c r="F1596" s="3">
        <f t="shared" si="364"/>
        <v>1</v>
      </c>
      <c r="G1596" s="3">
        <f t="shared" si="365"/>
        <v>17</v>
      </c>
      <c r="H1596" s="3">
        <f t="shared" si="366"/>
        <v>15</v>
      </c>
      <c r="I1596" s="3">
        <f t="shared" si="367"/>
        <v>39</v>
      </c>
      <c r="J1596" s="3">
        <f t="shared" si="368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69"/>
        <v>YES</v>
      </c>
      <c r="Q1596" t="str">
        <f t="shared" si="370"/>
        <v>YES</v>
      </c>
      <c r="R1596" t="str">
        <f t="shared" si="371"/>
        <v>NO</v>
      </c>
      <c r="S1596">
        <v>41</v>
      </c>
      <c r="T1596" t="s">
        <v>354</v>
      </c>
      <c r="U1596" t="str">
        <f t="shared" si="358"/>
        <v>Linnaean St</v>
      </c>
      <c r="W1596" t="str">
        <f t="shared" si="359"/>
        <v/>
      </c>
      <c r="X1596" t="str">
        <f>IF(ISBLANK(S1596),"Intersection","Non-Intersection")</f>
        <v>Non-Intersection</v>
      </c>
      <c r="Y1596" t="s">
        <v>2527</v>
      </c>
      <c r="Z1596" t="str">
        <f t="shared" si="360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61"/>
        <v>40544</v>
      </c>
      <c r="D1597" s="4">
        <f t="shared" si="362"/>
        <v>4.3835616438356165E-2</v>
      </c>
      <c r="E1597" s="3">
        <f t="shared" si="363"/>
        <v>2011</v>
      </c>
      <c r="F1597" s="3">
        <f t="shared" si="364"/>
        <v>1</v>
      </c>
      <c r="G1597" s="3">
        <f t="shared" si="365"/>
        <v>17</v>
      </c>
      <c r="H1597" s="3">
        <f t="shared" si="366"/>
        <v>11</v>
      </c>
      <c r="I1597" s="3">
        <f t="shared" si="367"/>
        <v>26</v>
      </c>
      <c r="J1597" s="3">
        <f t="shared" si="368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69"/>
        <v>YES</v>
      </c>
      <c r="Q1597" t="str">
        <f t="shared" si="370"/>
        <v>NO</v>
      </c>
      <c r="R1597" t="str">
        <f t="shared" si="371"/>
        <v>YES</v>
      </c>
      <c r="T1597" t="s">
        <v>342</v>
      </c>
      <c r="U1597" t="str">
        <f t="shared" si="358"/>
        <v>Prospect St</v>
      </c>
      <c r="V1597" t="s">
        <v>316</v>
      </c>
      <c r="W1597" t="str">
        <f t="shared" si="359"/>
        <v>Bishop Allen Dr</v>
      </c>
      <c r="X1597" t="str">
        <f>IF(ISBLANK(S1597),"Intersection","Non-Intersection")</f>
        <v>Intersection</v>
      </c>
      <c r="Y1597" t="s">
        <v>2529</v>
      </c>
      <c r="Z1597" t="str">
        <f t="shared" si="360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61"/>
        <v>40544</v>
      </c>
      <c r="D1598" s="4">
        <f t="shared" si="362"/>
        <v>4.3835616438356165E-2</v>
      </c>
      <c r="E1598" s="3">
        <f t="shared" si="363"/>
        <v>2011</v>
      </c>
      <c r="F1598" s="3">
        <f t="shared" si="364"/>
        <v>1</v>
      </c>
      <c r="G1598" s="3">
        <f t="shared" si="365"/>
        <v>17</v>
      </c>
      <c r="H1598" s="3">
        <f t="shared" si="366"/>
        <v>9</v>
      </c>
      <c r="I1598" s="3">
        <f t="shared" si="367"/>
        <v>59</v>
      </c>
      <c r="J1598" s="3">
        <f t="shared" si="368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69"/>
        <v>YES</v>
      </c>
      <c r="Q1598" t="str">
        <f t="shared" si="370"/>
        <v>NO</v>
      </c>
      <c r="R1598" t="str">
        <f t="shared" si="371"/>
        <v>NO</v>
      </c>
      <c r="S1598">
        <v>108</v>
      </c>
      <c r="T1598" t="s">
        <v>464</v>
      </c>
      <c r="U1598" t="str">
        <f t="shared" si="358"/>
        <v>Aberdeen Way</v>
      </c>
      <c r="W1598" t="str">
        <f t="shared" si="359"/>
        <v/>
      </c>
      <c r="X1598" t="str">
        <f>IF(ISBLANK(S1598),"Intersection","Non-Intersection")</f>
        <v>Non-Intersection</v>
      </c>
      <c r="Y1598" t="s">
        <v>2530</v>
      </c>
      <c r="Z1598" t="str">
        <f t="shared" si="360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61"/>
        <v>40544</v>
      </c>
      <c r="D1599" s="4">
        <f t="shared" si="362"/>
        <v>4.3835616438356165E-2</v>
      </c>
      <c r="E1599" s="3">
        <f t="shared" si="363"/>
        <v>2011</v>
      </c>
      <c r="F1599" s="3">
        <f t="shared" si="364"/>
        <v>1</v>
      </c>
      <c r="G1599" s="3">
        <f t="shared" si="365"/>
        <v>17</v>
      </c>
      <c r="H1599" s="3">
        <f t="shared" si="366"/>
        <v>12</v>
      </c>
      <c r="I1599" s="3">
        <f t="shared" si="367"/>
        <v>17</v>
      </c>
      <c r="J1599" s="3">
        <f t="shared" si="368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69"/>
        <v>YES</v>
      </c>
      <c r="Q1599" t="str">
        <f t="shared" si="370"/>
        <v>NO</v>
      </c>
      <c r="R1599" t="str">
        <f t="shared" si="371"/>
        <v>NO</v>
      </c>
      <c r="T1599" t="s">
        <v>50</v>
      </c>
      <c r="U1599" t="str">
        <f t="shared" si="358"/>
        <v>Belmont St</v>
      </c>
      <c r="V1599" t="s">
        <v>899</v>
      </c>
      <c r="W1599" t="str">
        <f t="shared" si="359"/>
        <v>Cushing St</v>
      </c>
      <c r="X1599" t="str">
        <f>IF(ISBLANK(S1599),"Intersection","Non-Intersection")</f>
        <v>Intersection</v>
      </c>
      <c r="Y1599" t="s">
        <v>900</v>
      </c>
      <c r="Z1599" t="str">
        <f t="shared" si="360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61"/>
        <v>40544</v>
      </c>
      <c r="D1600" s="4">
        <f t="shared" si="362"/>
        <v>4.6575342465753428E-2</v>
      </c>
      <c r="E1600" s="3">
        <f t="shared" si="363"/>
        <v>2011</v>
      </c>
      <c r="F1600" s="3">
        <f t="shared" si="364"/>
        <v>1</v>
      </c>
      <c r="G1600" s="3">
        <f t="shared" si="365"/>
        <v>18</v>
      </c>
      <c r="H1600" s="3">
        <f t="shared" si="366"/>
        <v>20</v>
      </c>
      <c r="I1600" s="3">
        <f t="shared" si="367"/>
        <v>32</v>
      </c>
      <c r="J1600" s="3">
        <f t="shared" si="368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69"/>
        <v>YES</v>
      </c>
      <c r="Q1600" t="str">
        <f t="shared" si="370"/>
        <v>NO</v>
      </c>
      <c r="R1600" t="str">
        <f t="shared" si="371"/>
        <v>NO</v>
      </c>
      <c r="T1600" t="s">
        <v>19</v>
      </c>
      <c r="U1600" t="str">
        <f t="shared" si="358"/>
        <v>Cambridge St</v>
      </c>
      <c r="V1600" t="s">
        <v>342</v>
      </c>
      <c r="W1600" t="str">
        <f t="shared" si="359"/>
        <v>Prospect St</v>
      </c>
      <c r="X1600" t="str">
        <f>IF(ISBLANK(S1600),"Intersection","Non-Intersection")</f>
        <v>Intersection</v>
      </c>
      <c r="Y1600" t="s">
        <v>821</v>
      </c>
      <c r="Z1600" t="str">
        <f t="shared" si="360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61"/>
        <v>40544</v>
      </c>
      <c r="D1601" s="4">
        <f t="shared" si="362"/>
        <v>4.6575342465753428E-2</v>
      </c>
      <c r="E1601" s="3">
        <f t="shared" si="363"/>
        <v>2011</v>
      </c>
      <c r="F1601" s="3">
        <f t="shared" si="364"/>
        <v>1</v>
      </c>
      <c r="G1601" s="3">
        <f t="shared" si="365"/>
        <v>18</v>
      </c>
      <c r="H1601" s="3">
        <f t="shared" si="366"/>
        <v>7</v>
      </c>
      <c r="I1601" s="3">
        <f t="shared" si="367"/>
        <v>12</v>
      </c>
      <c r="J1601" s="3">
        <f t="shared" si="368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69"/>
        <v>YES</v>
      </c>
      <c r="Q1601" t="str">
        <f t="shared" si="370"/>
        <v>NO</v>
      </c>
      <c r="R1601" t="str">
        <f t="shared" si="371"/>
        <v>NO</v>
      </c>
      <c r="S1601">
        <v>65</v>
      </c>
      <c r="T1601" t="s">
        <v>37</v>
      </c>
      <c r="U1601" t="str">
        <f t="shared" si="358"/>
        <v>Magazine St</v>
      </c>
      <c r="V1601" t="s">
        <v>1299</v>
      </c>
      <c r="W1601" t="str">
        <f t="shared" si="359"/>
        <v>Lawrence St</v>
      </c>
      <c r="X1601" t="str">
        <f>IF(ISBLANK(S1601),"Intersection","Non-Intersection")</f>
        <v>Non-Intersection</v>
      </c>
      <c r="Y1601" t="s">
        <v>2533</v>
      </c>
      <c r="Z1601" t="str">
        <f t="shared" si="360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61"/>
        <v>40544</v>
      </c>
      <c r="D1602" s="4">
        <f t="shared" si="362"/>
        <v>4.6575342465753428E-2</v>
      </c>
      <c r="E1602" s="3">
        <f t="shared" si="363"/>
        <v>2011</v>
      </c>
      <c r="F1602" s="3">
        <f t="shared" si="364"/>
        <v>1</v>
      </c>
      <c r="G1602" s="3">
        <f t="shared" si="365"/>
        <v>18</v>
      </c>
      <c r="H1602" s="3">
        <f t="shared" si="366"/>
        <v>7</v>
      </c>
      <c r="I1602" s="3">
        <f t="shared" si="367"/>
        <v>30</v>
      </c>
      <c r="J1602" s="3">
        <f t="shared" si="368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69"/>
        <v>YES</v>
      </c>
      <c r="Q1602" t="str">
        <f t="shared" si="370"/>
        <v>NO</v>
      </c>
      <c r="R1602" t="str">
        <f t="shared" si="371"/>
        <v>NO</v>
      </c>
      <c r="S1602">
        <v>17</v>
      </c>
      <c r="T1602" t="s">
        <v>971</v>
      </c>
      <c r="U1602" t="str">
        <f t="shared" si="358"/>
        <v>Ellsworth Ave</v>
      </c>
      <c r="W1602" t="str">
        <f t="shared" si="359"/>
        <v/>
      </c>
      <c r="X1602" t="str">
        <f>IF(ISBLANK(S1602),"Intersection","Non-Intersection")</f>
        <v>Non-Intersection</v>
      </c>
      <c r="Y1602" t="s">
        <v>2535</v>
      </c>
      <c r="Z1602" t="str">
        <f t="shared" si="360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61"/>
        <v>40544</v>
      </c>
      <c r="D1603" s="4">
        <f t="shared" si="362"/>
        <v>4.6575342465753428E-2</v>
      </c>
      <c r="E1603" s="3">
        <f t="shared" si="363"/>
        <v>2011</v>
      </c>
      <c r="F1603" s="3">
        <f t="shared" si="364"/>
        <v>1</v>
      </c>
      <c r="G1603" s="3">
        <f t="shared" si="365"/>
        <v>18</v>
      </c>
      <c r="H1603" s="3">
        <f t="shared" si="366"/>
        <v>7</v>
      </c>
      <c r="I1603" s="3">
        <f t="shared" si="367"/>
        <v>54</v>
      </c>
      <c r="J1603" s="3">
        <f t="shared" si="368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69"/>
        <v>YES</v>
      </c>
      <c r="Q1603" t="str">
        <f t="shared" si="370"/>
        <v>NO</v>
      </c>
      <c r="R1603" t="str">
        <f t="shared" si="371"/>
        <v>NO</v>
      </c>
      <c r="S1603">
        <v>2029</v>
      </c>
      <c r="T1603" t="s">
        <v>14</v>
      </c>
      <c r="U1603" t="str">
        <f t="shared" ref="U1603:U1666" si="372">TRIM(PROPER(T1603))</f>
        <v>Massachusetts Ave</v>
      </c>
      <c r="W1603" t="str">
        <f t="shared" ref="W1603:W1666" si="373">TRIM(PROPER(V1603))</f>
        <v/>
      </c>
      <c r="X1603" t="str">
        <f>IF(ISBLANK(S1603),"Intersection","Non-Intersection")</f>
        <v>Non-Intersection</v>
      </c>
      <c r="Y1603" t="s">
        <v>2537</v>
      </c>
      <c r="Z1603" t="str">
        <f t="shared" ref="Z1603:Z1666" si="374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61"/>
        <v>40544</v>
      </c>
      <c r="D1604" s="4">
        <f t="shared" si="362"/>
        <v>4.6575342465753428E-2</v>
      </c>
      <c r="E1604" s="3">
        <f t="shared" si="363"/>
        <v>2011</v>
      </c>
      <c r="F1604" s="3">
        <f t="shared" si="364"/>
        <v>1</v>
      </c>
      <c r="G1604" s="3">
        <f t="shared" si="365"/>
        <v>18</v>
      </c>
      <c r="H1604" s="3">
        <f t="shared" si="366"/>
        <v>8</v>
      </c>
      <c r="I1604" s="3">
        <f t="shared" si="367"/>
        <v>9</v>
      </c>
      <c r="J1604" s="3">
        <f t="shared" si="368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69"/>
        <v>YES</v>
      </c>
      <c r="Q1604" t="str">
        <f t="shared" si="370"/>
        <v>NO</v>
      </c>
      <c r="R1604" t="str">
        <f t="shared" si="371"/>
        <v>NO</v>
      </c>
      <c r="S1604">
        <v>9</v>
      </c>
      <c r="T1604" t="s">
        <v>86</v>
      </c>
      <c r="U1604" t="str">
        <f t="shared" si="372"/>
        <v>Granite St</v>
      </c>
      <c r="W1604" t="str">
        <f t="shared" si="373"/>
        <v/>
      </c>
      <c r="X1604" t="str">
        <f>IF(ISBLANK(S1604),"Intersection","Non-Intersection")</f>
        <v>Non-Intersection</v>
      </c>
      <c r="Y1604" t="s">
        <v>2539</v>
      </c>
      <c r="Z1604" t="str">
        <f t="shared" si="374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61"/>
        <v>40544</v>
      </c>
      <c r="D1605" s="4">
        <f t="shared" si="362"/>
        <v>4.6575342465753428E-2</v>
      </c>
      <c r="E1605" s="3">
        <f t="shared" si="363"/>
        <v>2011</v>
      </c>
      <c r="F1605" s="3">
        <f t="shared" si="364"/>
        <v>1</v>
      </c>
      <c r="G1605" s="3">
        <f t="shared" si="365"/>
        <v>18</v>
      </c>
      <c r="H1605" s="3">
        <f t="shared" si="366"/>
        <v>8</v>
      </c>
      <c r="I1605" s="3">
        <f t="shared" si="367"/>
        <v>25</v>
      </c>
      <c r="J1605" s="3">
        <f t="shared" si="368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69"/>
        <v>YES</v>
      </c>
      <c r="Q1605" t="str">
        <f t="shared" si="370"/>
        <v>NO</v>
      </c>
      <c r="R1605" t="str">
        <f t="shared" si="371"/>
        <v>NO</v>
      </c>
      <c r="T1605" t="s">
        <v>509</v>
      </c>
      <c r="U1605" t="str">
        <f t="shared" si="372"/>
        <v>Green St</v>
      </c>
      <c r="V1605" t="s">
        <v>41</v>
      </c>
      <c r="W1605" t="str">
        <f t="shared" si="373"/>
        <v>River St</v>
      </c>
      <c r="X1605" t="str">
        <f>IF(ISBLANK(S1605),"Intersection","Non-Intersection")</f>
        <v>Intersection</v>
      </c>
      <c r="Y1605" t="s">
        <v>2541</v>
      </c>
      <c r="Z1605" t="str">
        <f t="shared" si="374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61"/>
        <v>40544</v>
      </c>
      <c r="D1606" s="4">
        <f t="shared" si="362"/>
        <v>4.6575342465753428E-2</v>
      </c>
      <c r="E1606" s="3">
        <f t="shared" si="363"/>
        <v>2011</v>
      </c>
      <c r="F1606" s="3">
        <f t="shared" si="364"/>
        <v>1</v>
      </c>
      <c r="G1606" s="3">
        <f t="shared" si="365"/>
        <v>18</v>
      </c>
      <c r="H1606" s="3">
        <f t="shared" si="366"/>
        <v>9</v>
      </c>
      <c r="I1606" s="3">
        <f t="shared" si="367"/>
        <v>0</v>
      </c>
      <c r="J1606" s="3">
        <f t="shared" si="368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69"/>
        <v>YES</v>
      </c>
      <c r="Q1606" t="str">
        <f t="shared" si="370"/>
        <v>NO</v>
      </c>
      <c r="R1606" t="str">
        <f t="shared" si="371"/>
        <v>NO</v>
      </c>
      <c r="S1606">
        <v>270</v>
      </c>
      <c r="T1606" t="s">
        <v>119</v>
      </c>
      <c r="U1606" t="str">
        <f t="shared" si="372"/>
        <v>Albany St</v>
      </c>
      <c r="W1606" t="str">
        <f t="shared" si="373"/>
        <v/>
      </c>
      <c r="X1606" t="str">
        <f>IF(ISBLANK(S1606),"Intersection","Non-Intersection")</f>
        <v>Non-Intersection</v>
      </c>
      <c r="Y1606" t="s">
        <v>2542</v>
      </c>
      <c r="Z1606" t="str">
        <f t="shared" si="374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61"/>
        <v>40544</v>
      </c>
      <c r="D1607" s="4">
        <f t="shared" si="362"/>
        <v>4.6575342465753428E-2</v>
      </c>
      <c r="E1607" s="3">
        <f t="shared" si="363"/>
        <v>2011</v>
      </c>
      <c r="F1607" s="3">
        <f t="shared" si="364"/>
        <v>1</v>
      </c>
      <c r="G1607" s="3">
        <f t="shared" si="365"/>
        <v>18</v>
      </c>
      <c r="H1607" s="3">
        <f t="shared" si="366"/>
        <v>9</v>
      </c>
      <c r="I1607" s="3">
        <f t="shared" si="367"/>
        <v>29</v>
      </c>
      <c r="J1607" s="3">
        <f t="shared" si="368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69"/>
        <v>YES</v>
      </c>
      <c r="Q1607" t="str">
        <f t="shared" si="370"/>
        <v>NO</v>
      </c>
      <c r="R1607" t="str">
        <f t="shared" si="371"/>
        <v>NO</v>
      </c>
      <c r="S1607">
        <v>176</v>
      </c>
      <c r="T1607" t="s">
        <v>45</v>
      </c>
      <c r="U1607" t="str">
        <f t="shared" si="372"/>
        <v>Sherman St</v>
      </c>
      <c r="W1607" t="str">
        <f t="shared" si="373"/>
        <v/>
      </c>
      <c r="X1607" t="str">
        <f>IF(ISBLANK(S1607),"Intersection","Non-Intersection")</f>
        <v>Non-Intersection</v>
      </c>
      <c r="Y1607" t="s">
        <v>2544</v>
      </c>
      <c r="Z1607" t="str">
        <f t="shared" si="374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61"/>
        <v>40544</v>
      </c>
      <c r="D1608" s="4">
        <f t="shared" si="362"/>
        <v>4.6575342465753428E-2</v>
      </c>
      <c r="E1608" s="3">
        <f t="shared" si="363"/>
        <v>2011</v>
      </c>
      <c r="F1608" s="3">
        <f t="shared" si="364"/>
        <v>1</v>
      </c>
      <c r="G1608" s="3">
        <f t="shared" si="365"/>
        <v>18</v>
      </c>
      <c r="H1608" s="3">
        <f t="shared" si="366"/>
        <v>10</v>
      </c>
      <c r="I1608" s="3">
        <f t="shared" si="367"/>
        <v>40</v>
      </c>
      <c r="J1608" s="3">
        <f t="shared" si="368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69"/>
        <v>YES</v>
      </c>
      <c r="Q1608" t="str">
        <f t="shared" si="370"/>
        <v>NO</v>
      </c>
      <c r="R1608" t="str">
        <f t="shared" si="371"/>
        <v>NO</v>
      </c>
      <c r="T1608" t="s">
        <v>342</v>
      </c>
      <c r="U1608" t="str">
        <f t="shared" si="372"/>
        <v>Prospect St</v>
      </c>
      <c r="V1608" t="s">
        <v>2546</v>
      </c>
      <c r="W1608" t="str">
        <f t="shared" si="373"/>
        <v>St Paul St</v>
      </c>
      <c r="X1608" t="str">
        <f>IF(ISBLANK(S1608),"Intersection","Non-Intersection")</f>
        <v>Intersection</v>
      </c>
      <c r="Y1608" t="s">
        <v>2547</v>
      </c>
      <c r="Z1608" t="str">
        <f t="shared" si="374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61"/>
        <v>40544</v>
      </c>
      <c r="D1609" s="4">
        <f t="shared" si="362"/>
        <v>4.6575342465753428E-2</v>
      </c>
      <c r="E1609" s="3">
        <f t="shared" si="363"/>
        <v>2011</v>
      </c>
      <c r="F1609" s="3">
        <f t="shared" si="364"/>
        <v>1</v>
      </c>
      <c r="G1609" s="3">
        <f t="shared" si="365"/>
        <v>18</v>
      </c>
      <c r="H1609" s="3">
        <f t="shared" si="366"/>
        <v>12</v>
      </c>
      <c r="I1609" s="3">
        <f t="shared" si="367"/>
        <v>59</v>
      </c>
      <c r="J1609" s="3">
        <f t="shared" si="368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69"/>
        <v>YES</v>
      </c>
      <c r="Q1609" t="str">
        <f t="shared" si="370"/>
        <v>NO</v>
      </c>
      <c r="R1609" t="str">
        <f t="shared" si="371"/>
        <v>NO</v>
      </c>
      <c r="T1609" t="s">
        <v>402</v>
      </c>
      <c r="U1609" t="str">
        <f t="shared" si="372"/>
        <v>Avon Hill St</v>
      </c>
      <c r="W1609" t="str">
        <f t="shared" si="373"/>
        <v/>
      </c>
      <c r="X1609" t="str">
        <f>IF(ISBLANK(S1609),"Intersection","Non-Intersection")</f>
        <v>Intersection</v>
      </c>
      <c r="Y1609" t="s">
        <v>2549</v>
      </c>
      <c r="Z1609" t="str">
        <f t="shared" si="374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61"/>
        <v>40544</v>
      </c>
      <c r="D1610" s="4">
        <f t="shared" si="362"/>
        <v>4.6575342465753428E-2</v>
      </c>
      <c r="E1610" s="3">
        <f t="shared" si="363"/>
        <v>2011</v>
      </c>
      <c r="F1610" s="3">
        <f t="shared" si="364"/>
        <v>1</v>
      </c>
      <c r="G1610" s="3">
        <f t="shared" si="365"/>
        <v>18</v>
      </c>
      <c r="H1610" s="3">
        <f t="shared" si="366"/>
        <v>15</v>
      </c>
      <c r="I1610" s="3">
        <f t="shared" si="367"/>
        <v>58</v>
      </c>
      <c r="J1610" s="3">
        <f t="shared" si="368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69"/>
        <v>YES</v>
      </c>
      <c r="Q1610" t="str">
        <f t="shared" si="370"/>
        <v>NO</v>
      </c>
      <c r="R1610" t="str">
        <f t="shared" si="371"/>
        <v>NO</v>
      </c>
      <c r="S1610">
        <v>1001</v>
      </c>
      <c r="T1610" t="s">
        <v>19</v>
      </c>
      <c r="U1610" t="str">
        <f t="shared" si="372"/>
        <v>Cambridge St</v>
      </c>
      <c r="V1610" t="s">
        <v>189</v>
      </c>
      <c r="W1610" t="str">
        <f t="shared" si="373"/>
        <v>Windsor St</v>
      </c>
      <c r="X1610" t="str">
        <f>IF(ISBLANK(S1610),"Intersection","Non-Intersection")</f>
        <v>Non-Intersection</v>
      </c>
      <c r="Y1610" t="s">
        <v>2171</v>
      </c>
      <c r="Z1610" t="str">
        <f t="shared" si="374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61"/>
        <v>40544</v>
      </c>
      <c r="D1611" s="4">
        <f t="shared" si="362"/>
        <v>4.6575342465753428E-2</v>
      </c>
      <c r="E1611" s="3">
        <f t="shared" si="363"/>
        <v>2011</v>
      </c>
      <c r="F1611" s="3">
        <f t="shared" si="364"/>
        <v>1</v>
      </c>
      <c r="G1611" s="3">
        <f t="shared" si="365"/>
        <v>18</v>
      </c>
      <c r="H1611" s="3">
        <f t="shared" si="366"/>
        <v>16</v>
      </c>
      <c r="I1611" s="3">
        <f t="shared" si="367"/>
        <v>24</v>
      </c>
      <c r="J1611" s="3">
        <f t="shared" si="368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69"/>
        <v>YES</v>
      </c>
      <c r="Q1611" t="str">
        <f t="shared" si="370"/>
        <v>NO</v>
      </c>
      <c r="R1611" t="str">
        <f t="shared" si="371"/>
        <v>NO</v>
      </c>
      <c r="T1611" t="s">
        <v>119</v>
      </c>
      <c r="U1611" t="str">
        <f t="shared" si="372"/>
        <v>Albany St</v>
      </c>
      <c r="V1611" t="s">
        <v>14</v>
      </c>
      <c r="W1611" t="str">
        <f t="shared" si="373"/>
        <v>Massachusetts Ave</v>
      </c>
      <c r="X1611" t="str">
        <f>IF(ISBLANK(S1611),"Intersection","Non-Intersection")</f>
        <v>Intersection</v>
      </c>
      <c r="Y1611" t="s">
        <v>1000</v>
      </c>
      <c r="Z1611" t="str">
        <f t="shared" si="374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61"/>
        <v>40544</v>
      </c>
      <c r="D1612" s="4">
        <f t="shared" si="362"/>
        <v>4.6575342465753428E-2</v>
      </c>
      <c r="E1612" s="3">
        <f t="shared" si="363"/>
        <v>2011</v>
      </c>
      <c r="F1612" s="3">
        <f t="shared" si="364"/>
        <v>1</v>
      </c>
      <c r="G1612" s="3">
        <f t="shared" si="365"/>
        <v>18</v>
      </c>
      <c r="H1612" s="3">
        <f t="shared" si="366"/>
        <v>18</v>
      </c>
      <c r="I1612" s="3">
        <f t="shared" si="367"/>
        <v>27</v>
      </c>
      <c r="J1612" s="3">
        <f t="shared" si="368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69"/>
        <v>YES</v>
      </c>
      <c r="Q1612" t="str">
        <f t="shared" si="370"/>
        <v>NO</v>
      </c>
      <c r="R1612" t="str">
        <f t="shared" si="371"/>
        <v>NO</v>
      </c>
      <c r="S1612">
        <v>748</v>
      </c>
      <c r="T1612" t="s">
        <v>203</v>
      </c>
      <c r="U1612" t="str">
        <f t="shared" si="372"/>
        <v>Memorial Dr</v>
      </c>
      <c r="W1612" t="str">
        <f t="shared" si="373"/>
        <v/>
      </c>
      <c r="X1612" t="str">
        <f>IF(ISBLANK(S1612),"Intersection","Non-Intersection")</f>
        <v>Non-Intersection</v>
      </c>
      <c r="Y1612" t="s">
        <v>1731</v>
      </c>
      <c r="Z1612" t="str">
        <f t="shared" si="374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61"/>
        <v>40544</v>
      </c>
      <c r="D1613" s="4">
        <f t="shared" si="362"/>
        <v>4.6575342465753428E-2</v>
      </c>
      <c r="E1613" s="3">
        <f t="shared" si="363"/>
        <v>2011</v>
      </c>
      <c r="F1613" s="3">
        <f t="shared" si="364"/>
        <v>1</v>
      </c>
      <c r="G1613" s="3">
        <f t="shared" si="365"/>
        <v>18</v>
      </c>
      <c r="H1613" s="3">
        <f t="shared" si="366"/>
        <v>20</v>
      </c>
      <c r="I1613" s="3">
        <f t="shared" si="367"/>
        <v>23</v>
      </c>
      <c r="J1613" s="3">
        <f t="shared" si="368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69"/>
        <v>YES</v>
      </c>
      <c r="Q1613" t="str">
        <f t="shared" si="370"/>
        <v>NO</v>
      </c>
      <c r="R1613" t="str">
        <f t="shared" si="371"/>
        <v>YES</v>
      </c>
      <c r="T1613" t="s">
        <v>14</v>
      </c>
      <c r="U1613" t="str">
        <f t="shared" si="372"/>
        <v>Massachusetts Ave</v>
      </c>
      <c r="V1613" t="s">
        <v>37</v>
      </c>
      <c r="W1613" t="str">
        <f t="shared" si="373"/>
        <v>Magazine St</v>
      </c>
      <c r="X1613" t="str">
        <f>IF(ISBLANK(S1613),"Intersection","Non-Intersection")</f>
        <v>Intersection</v>
      </c>
      <c r="Y1613" t="s">
        <v>2550</v>
      </c>
      <c r="Z1613" t="str">
        <f t="shared" si="374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61"/>
        <v>40544</v>
      </c>
      <c r="D1614" s="4">
        <f t="shared" si="362"/>
        <v>4.6575342465753428E-2</v>
      </c>
      <c r="E1614" s="3">
        <f t="shared" si="363"/>
        <v>2011</v>
      </c>
      <c r="F1614" s="3">
        <f t="shared" si="364"/>
        <v>1</v>
      </c>
      <c r="G1614" s="3">
        <f t="shared" si="365"/>
        <v>18</v>
      </c>
      <c r="H1614" s="3">
        <f t="shared" si="366"/>
        <v>5</v>
      </c>
      <c r="I1614" s="3">
        <f t="shared" si="367"/>
        <v>39</v>
      </c>
      <c r="J1614" s="3">
        <f t="shared" si="368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69"/>
        <v>YES</v>
      </c>
      <c r="Q1614" t="str">
        <f t="shared" si="370"/>
        <v>YES</v>
      </c>
      <c r="R1614" t="str">
        <f t="shared" si="371"/>
        <v>NO</v>
      </c>
      <c r="T1614" t="s">
        <v>326</v>
      </c>
      <c r="U1614" t="str">
        <f t="shared" si="372"/>
        <v>Jfk St</v>
      </c>
      <c r="W1614" t="str">
        <f t="shared" si="373"/>
        <v/>
      </c>
      <c r="X1614" t="str">
        <f>IF(ISBLANK(S1614),"Intersection","Non-Intersection")</f>
        <v>Intersection</v>
      </c>
      <c r="Y1614" t="s">
        <v>2551</v>
      </c>
      <c r="Z1614" t="str">
        <f t="shared" si="374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61"/>
        <v>40544</v>
      </c>
      <c r="D1615" s="4">
        <f t="shared" si="362"/>
        <v>4.9315068493150684E-2</v>
      </c>
      <c r="E1615" s="3">
        <f t="shared" si="363"/>
        <v>2011</v>
      </c>
      <c r="F1615" s="3">
        <f t="shared" si="364"/>
        <v>1</v>
      </c>
      <c r="G1615" s="3">
        <f t="shared" si="365"/>
        <v>19</v>
      </c>
      <c r="H1615" s="3">
        <f t="shared" si="366"/>
        <v>9</v>
      </c>
      <c r="I1615" s="3">
        <f t="shared" si="367"/>
        <v>0</v>
      </c>
      <c r="J1615" s="3">
        <f t="shared" si="368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69"/>
        <v>YES</v>
      </c>
      <c r="Q1615" t="str">
        <f t="shared" si="370"/>
        <v>NO</v>
      </c>
      <c r="R1615" t="str">
        <f t="shared" si="371"/>
        <v>NO</v>
      </c>
      <c r="S1615">
        <v>49</v>
      </c>
      <c r="T1615" t="s">
        <v>268</v>
      </c>
      <c r="U1615" t="str">
        <f t="shared" si="372"/>
        <v>White St</v>
      </c>
      <c r="W1615" t="str">
        <f t="shared" si="373"/>
        <v/>
      </c>
      <c r="X1615" t="str">
        <f>IF(ISBLANK(S1615),"Intersection","Non-Intersection")</f>
        <v>Non-Intersection</v>
      </c>
      <c r="Y1615" t="s">
        <v>270</v>
      </c>
      <c r="Z1615" t="str">
        <f t="shared" si="374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61"/>
        <v>40544</v>
      </c>
      <c r="D1616" s="4">
        <f t="shared" si="362"/>
        <v>4.9315068493150684E-2</v>
      </c>
      <c r="E1616" s="3">
        <f t="shared" si="363"/>
        <v>2011</v>
      </c>
      <c r="F1616" s="3">
        <f t="shared" si="364"/>
        <v>1</v>
      </c>
      <c r="G1616" s="3">
        <f t="shared" si="365"/>
        <v>19</v>
      </c>
      <c r="H1616" s="3">
        <f t="shared" si="366"/>
        <v>15</v>
      </c>
      <c r="I1616" s="3">
        <f t="shared" si="367"/>
        <v>0</v>
      </c>
      <c r="J1616" s="3">
        <f t="shared" si="368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69"/>
        <v>YES</v>
      </c>
      <c r="Q1616" t="str">
        <f t="shared" si="370"/>
        <v>NO</v>
      </c>
      <c r="R1616" t="str">
        <f t="shared" si="371"/>
        <v>NO</v>
      </c>
      <c r="T1616" t="s">
        <v>185</v>
      </c>
      <c r="U1616" t="str">
        <f t="shared" si="372"/>
        <v>Garden St</v>
      </c>
      <c r="W1616" t="str">
        <f t="shared" si="373"/>
        <v/>
      </c>
      <c r="X1616" t="str">
        <f>IF(ISBLANK(S1616),"Intersection","Non-Intersection")</f>
        <v>Intersection</v>
      </c>
      <c r="Y1616" t="s">
        <v>566</v>
      </c>
      <c r="Z1616" t="str">
        <f t="shared" si="374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61"/>
        <v>40544</v>
      </c>
      <c r="D1617" s="4">
        <f t="shared" si="362"/>
        <v>4.9315068493150684E-2</v>
      </c>
      <c r="E1617" s="3">
        <f t="shared" si="363"/>
        <v>2011</v>
      </c>
      <c r="F1617" s="3">
        <f t="shared" si="364"/>
        <v>1</v>
      </c>
      <c r="G1617" s="3">
        <f t="shared" si="365"/>
        <v>19</v>
      </c>
      <c r="H1617" s="3">
        <f t="shared" si="366"/>
        <v>19</v>
      </c>
      <c r="I1617" s="3">
        <f t="shared" si="367"/>
        <v>30</v>
      </c>
      <c r="J1617" s="3">
        <f t="shared" si="368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69"/>
        <v>YES</v>
      </c>
      <c r="Q1617" t="str">
        <f t="shared" si="370"/>
        <v>NO</v>
      </c>
      <c r="R1617" t="str">
        <f t="shared" si="371"/>
        <v>NO</v>
      </c>
      <c r="S1617">
        <v>50</v>
      </c>
      <c r="T1617" t="s">
        <v>316</v>
      </c>
      <c r="U1617" t="str">
        <f t="shared" si="372"/>
        <v>Bishop Allen Dr</v>
      </c>
      <c r="W1617" t="str">
        <f t="shared" si="373"/>
        <v/>
      </c>
      <c r="X1617" t="str">
        <f>IF(ISBLANK(S1617),"Intersection","Non-Intersection")</f>
        <v>Non-Intersection</v>
      </c>
      <c r="Y1617" t="s">
        <v>2553</v>
      </c>
      <c r="Z1617" t="str">
        <f t="shared" si="374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61"/>
        <v>40544</v>
      </c>
      <c r="D1618" s="4">
        <f t="shared" si="362"/>
        <v>4.9315068493150684E-2</v>
      </c>
      <c r="E1618" s="3">
        <f t="shared" si="363"/>
        <v>2011</v>
      </c>
      <c r="F1618" s="3">
        <f t="shared" si="364"/>
        <v>1</v>
      </c>
      <c r="G1618" s="3">
        <f t="shared" si="365"/>
        <v>19</v>
      </c>
      <c r="H1618" s="3">
        <f t="shared" si="366"/>
        <v>12</v>
      </c>
      <c r="I1618" s="3">
        <f t="shared" si="367"/>
        <v>30</v>
      </c>
      <c r="J1618" s="3">
        <f t="shared" si="368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69"/>
        <v>YES</v>
      </c>
      <c r="Q1618" t="str">
        <f t="shared" si="370"/>
        <v>NO</v>
      </c>
      <c r="R1618" t="str">
        <f t="shared" si="371"/>
        <v>NO</v>
      </c>
      <c r="T1618" t="s">
        <v>185</v>
      </c>
      <c r="U1618" t="str">
        <f t="shared" si="372"/>
        <v>Garden St</v>
      </c>
      <c r="V1618" t="s">
        <v>449</v>
      </c>
      <c r="W1618" t="str">
        <f t="shared" si="373"/>
        <v>Appian Way</v>
      </c>
      <c r="X1618" t="str">
        <f>IF(ISBLANK(S1618),"Intersection","Non-Intersection")</f>
        <v>Intersection</v>
      </c>
      <c r="Y1618" t="s">
        <v>729</v>
      </c>
      <c r="Z1618" t="str">
        <f t="shared" si="374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61"/>
        <v>40544</v>
      </c>
      <c r="D1619" s="4">
        <f t="shared" si="362"/>
        <v>4.9315068493150684E-2</v>
      </c>
      <c r="E1619" s="3">
        <f t="shared" si="363"/>
        <v>2011</v>
      </c>
      <c r="F1619" s="3">
        <f t="shared" si="364"/>
        <v>1</v>
      </c>
      <c r="G1619" s="3">
        <f t="shared" si="365"/>
        <v>19</v>
      </c>
      <c r="H1619" s="3">
        <f t="shared" si="366"/>
        <v>18</v>
      </c>
      <c r="I1619" s="3">
        <f t="shared" si="367"/>
        <v>59</v>
      </c>
      <c r="J1619" s="3">
        <f t="shared" si="368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69"/>
        <v>YES</v>
      </c>
      <c r="Q1619" t="str">
        <f t="shared" si="370"/>
        <v>NO</v>
      </c>
      <c r="R1619" t="str">
        <f t="shared" si="371"/>
        <v>NO</v>
      </c>
      <c r="S1619">
        <v>264</v>
      </c>
      <c r="T1619" t="s">
        <v>133</v>
      </c>
      <c r="U1619" t="str">
        <f t="shared" si="372"/>
        <v>Harvard St</v>
      </c>
      <c r="W1619" t="str">
        <f t="shared" si="373"/>
        <v/>
      </c>
      <c r="X1619" t="str">
        <f>IF(ISBLANK(S1619),"Intersection","Non-Intersection")</f>
        <v>Non-Intersection</v>
      </c>
      <c r="Y1619" t="s">
        <v>2555</v>
      </c>
      <c r="Z1619" t="str">
        <f t="shared" si="374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61"/>
        <v>40544</v>
      </c>
      <c r="D1620" s="4">
        <f t="shared" si="362"/>
        <v>5.2054794520547946E-2</v>
      </c>
      <c r="E1620" s="3">
        <f t="shared" si="363"/>
        <v>2011</v>
      </c>
      <c r="F1620" s="3">
        <f t="shared" si="364"/>
        <v>1</v>
      </c>
      <c r="G1620" s="3">
        <f t="shared" si="365"/>
        <v>20</v>
      </c>
      <c r="H1620" s="3">
        <f t="shared" si="366"/>
        <v>18</v>
      </c>
      <c r="I1620" s="3">
        <f t="shared" si="367"/>
        <v>49</v>
      </c>
      <c r="J1620" s="3">
        <f t="shared" si="368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69"/>
        <v>YES</v>
      </c>
      <c r="Q1620" t="str">
        <f t="shared" si="370"/>
        <v>NO</v>
      </c>
      <c r="R1620" t="str">
        <f t="shared" si="371"/>
        <v>NO</v>
      </c>
      <c r="S1620">
        <v>253</v>
      </c>
      <c r="T1620" t="s">
        <v>189</v>
      </c>
      <c r="U1620" t="str">
        <f t="shared" si="372"/>
        <v>Windsor St</v>
      </c>
      <c r="V1620" t="s">
        <v>105</v>
      </c>
      <c r="W1620" t="str">
        <f t="shared" si="373"/>
        <v>Broadway</v>
      </c>
      <c r="X1620" t="str">
        <f>IF(ISBLANK(S1620),"Intersection","Non-Intersection")</f>
        <v>Non-Intersection</v>
      </c>
      <c r="Y1620" t="s">
        <v>2557</v>
      </c>
      <c r="Z1620" t="str">
        <f t="shared" si="374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61"/>
        <v>40544</v>
      </c>
      <c r="D1621" s="4">
        <f t="shared" si="362"/>
        <v>5.2054794520547946E-2</v>
      </c>
      <c r="E1621" s="3">
        <f t="shared" si="363"/>
        <v>2011</v>
      </c>
      <c r="F1621" s="3">
        <f t="shared" si="364"/>
        <v>1</v>
      </c>
      <c r="G1621" s="3">
        <f t="shared" si="365"/>
        <v>20</v>
      </c>
      <c r="H1621" s="3">
        <f t="shared" si="366"/>
        <v>21</v>
      </c>
      <c r="I1621" s="3">
        <f t="shared" si="367"/>
        <v>14</v>
      </c>
      <c r="J1621" s="3">
        <f t="shared" si="368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69"/>
        <v>YES</v>
      </c>
      <c r="Q1621" t="str">
        <f t="shared" si="370"/>
        <v>NO</v>
      </c>
      <c r="R1621" t="str">
        <f t="shared" si="371"/>
        <v>NO</v>
      </c>
      <c r="S1621">
        <v>222</v>
      </c>
      <c r="T1621" t="s">
        <v>108</v>
      </c>
      <c r="U1621" t="str">
        <f t="shared" si="372"/>
        <v>Franklin St</v>
      </c>
      <c r="W1621" t="str">
        <f t="shared" si="373"/>
        <v/>
      </c>
      <c r="X1621" t="str">
        <f>IF(ISBLANK(S1621),"Intersection","Non-Intersection")</f>
        <v>Non-Intersection</v>
      </c>
      <c r="Y1621" t="s">
        <v>2559</v>
      </c>
      <c r="Z1621" t="str">
        <f t="shared" si="374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61"/>
        <v>40544</v>
      </c>
      <c r="D1622" s="4">
        <f t="shared" si="362"/>
        <v>5.2054794520547946E-2</v>
      </c>
      <c r="E1622" s="3">
        <f t="shared" si="363"/>
        <v>2011</v>
      </c>
      <c r="F1622" s="3">
        <f t="shared" si="364"/>
        <v>1</v>
      </c>
      <c r="G1622" s="3">
        <f t="shared" si="365"/>
        <v>20</v>
      </c>
      <c r="H1622" s="3">
        <f t="shared" si="366"/>
        <v>20</v>
      </c>
      <c r="I1622" s="3">
        <f t="shared" si="367"/>
        <v>35</v>
      </c>
      <c r="J1622" s="3">
        <f t="shared" si="368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69"/>
        <v>YES</v>
      </c>
      <c r="Q1622" t="str">
        <f t="shared" si="370"/>
        <v>YES</v>
      </c>
      <c r="R1622" t="str">
        <f t="shared" si="371"/>
        <v>NO</v>
      </c>
      <c r="T1622" t="s">
        <v>105</v>
      </c>
      <c r="U1622" t="str">
        <f t="shared" si="372"/>
        <v>Broadway</v>
      </c>
      <c r="V1622" t="s">
        <v>796</v>
      </c>
      <c r="W1622" t="str">
        <f t="shared" si="373"/>
        <v>Portland St</v>
      </c>
      <c r="X1622" t="str">
        <f>IF(ISBLANK(S1622),"Intersection","Non-Intersection")</f>
        <v>Intersection</v>
      </c>
      <c r="Y1622" t="s">
        <v>2561</v>
      </c>
      <c r="Z1622" t="str">
        <f t="shared" si="374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61"/>
        <v>40544</v>
      </c>
      <c r="D1623" s="4">
        <f t="shared" si="362"/>
        <v>5.2054794520547946E-2</v>
      </c>
      <c r="E1623" s="3">
        <f t="shared" si="363"/>
        <v>2011</v>
      </c>
      <c r="F1623" s="3">
        <f t="shared" si="364"/>
        <v>1</v>
      </c>
      <c r="G1623" s="3">
        <f t="shared" si="365"/>
        <v>20</v>
      </c>
      <c r="H1623" s="3">
        <f t="shared" si="366"/>
        <v>18</v>
      </c>
      <c r="I1623" s="3">
        <f t="shared" si="367"/>
        <v>30</v>
      </c>
      <c r="J1623" s="3">
        <f t="shared" si="368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69"/>
        <v>YES</v>
      </c>
      <c r="Q1623" t="str">
        <f t="shared" si="370"/>
        <v>NO</v>
      </c>
      <c r="R1623" t="str">
        <f t="shared" si="371"/>
        <v>NO</v>
      </c>
      <c r="T1623" t="s">
        <v>185</v>
      </c>
      <c r="U1623" t="str">
        <f t="shared" si="372"/>
        <v>Garden St</v>
      </c>
      <c r="V1623" t="s">
        <v>449</v>
      </c>
      <c r="W1623" t="str">
        <f t="shared" si="373"/>
        <v>Appian Way</v>
      </c>
      <c r="X1623" t="str">
        <f>IF(ISBLANK(S1623),"Intersection","Non-Intersection")</f>
        <v>Intersection</v>
      </c>
      <c r="Y1623" t="s">
        <v>729</v>
      </c>
      <c r="Z1623" t="str">
        <f t="shared" si="374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61"/>
        <v>40544</v>
      </c>
      <c r="D1624" s="4">
        <f t="shared" si="362"/>
        <v>5.4794520547945202E-2</v>
      </c>
      <c r="E1624" s="3">
        <f t="shared" si="363"/>
        <v>2011</v>
      </c>
      <c r="F1624" s="3">
        <f t="shared" si="364"/>
        <v>1</v>
      </c>
      <c r="G1624" s="3">
        <f t="shared" si="365"/>
        <v>21</v>
      </c>
      <c r="H1624" s="3">
        <f t="shared" si="366"/>
        <v>7</v>
      </c>
      <c r="I1624" s="3">
        <f t="shared" si="367"/>
        <v>50</v>
      </c>
      <c r="J1624" s="3">
        <f t="shared" si="368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69"/>
        <v>YES</v>
      </c>
      <c r="Q1624" t="str">
        <f t="shared" si="370"/>
        <v>NO</v>
      </c>
      <c r="R1624" t="str">
        <f t="shared" si="371"/>
        <v>NO</v>
      </c>
      <c r="S1624">
        <v>725</v>
      </c>
      <c r="T1624" t="s">
        <v>186</v>
      </c>
      <c r="U1624" t="str">
        <f t="shared" si="372"/>
        <v>Concord Ave</v>
      </c>
      <c r="W1624" t="str">
        <f t="shared" si="373"/>
        <v/>
      </c>
      <c r="X1624" t="str">
        <f>IF(ISBLANK(S1624),"Intersection","Non-Intersection")</f>
        <v>Non-Intersection</v>
      </c>
      <c r="Y1624" t="s">
        <v>617</v>
      </c>
      <c r="Z1624" t="str">
        <f t="shared" si="374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61"/>
        <v>40544</v>
      </c>
      <c r="D1625" s="4">
        <f t="shared" si="362"/>
        <v>5.4794520547945202E-2</v>
      </c>
      <c r="E1625" s="3">
        <f t="shared" si="363"/>
        <v>2011</v>
      </c>
      <c r="F1625" s="3">
        <f t="shared" si="364"/>
        <v>1</v>
      </c>
      <c r="G1625" s="3">
        <f t="shared" si="365"/>
        <v>21</v>
      </c>
      <c r="H1625" s="3">
        <f t="shared" si="366"/>
        <v>12</v>
      </c>
      <c r="I1625" s="3">
        <f t="shared" si="367"/>
        <v>59</v>
      </c>
      <c r="J1625" s="3">
        <f t="shared" si="368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69"/>
        <v>YES</v>
      </c>
      <c r="Q1625" t="str">
        <f t="shared" si="370"/>
        <v>NO</v>
      </c>
      <c r="R1625" t="str">
        <f t="shared" si="371"/>
        <v>NO</v>
      </c>
      <c r="S1625">
        <v>3</v>
      </c>
      <c r="T1625" t="s">
        <v>2563</v>
      </c>
      <c r="U1625" t="str">
        <f t="shared" si="372"/>
        <v>Inman Pl</v>
      </c>
      <c r="W1625" t="str">
        <f t="shared" si="373"/>
        <v/>
      </c>
      <c r="X1625" t="str">
        <f>IF(ISBLANK(S1625),"Intersection","Non-Intersection")</f>
        <v>Non-Intersection</v>
      </c>
      <c r="Y1625" t="s">
        <v>2564</v>
      </c>
      <c r="Z1625" t="str">
        <f t="shared" si="374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61"/>
        <v>40544</v>
      </c>
      <c r="D1626" s="4">
        <f t="shared" si="362"/>
        <v>5.4794520547945202E-2</v>
      </c>
      <c r="E1626" s="3">
        <f t="shared" si="363"/>
        <v>2011</v>
      </c>
      <c r="F1626" s="3">
        <f t="shared" si="364"/>
        <v>1</v>
      </c>
      <c r="G1626" s="3">
        <f t="shared" si="365"/>
        <v>21</v>
      </c>
      <c r="H1626" s="3">
        <f t="shared" si="366"/>
        <v>13</v>
      </c>
      <c r="I1626" s="3">
        <f t="shared" si="367"/>
        <v>30</v>
      </c>
      <c r="J1626" s="3">
        <f t="shared" si="368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69"/>
        <v>YES</v>
      </c>
      <c r="Q1626" t="str">
        <f t="shared" si="370"/>
        <v>NO</v>
      </c>
      <c r="R1626" t="str">
        <f t="shared" si="371"/>
        <v>NO</v>
      </c>
      <c r="S1626">
        <v>24</v>
      </c>
      <c r="T1626" t="s">
        <v>2566</v>
      </c>
      <c r="U1626" t="str">
        <f t="shared" si="372"/>
        <v>Kenwood St</v>
      </c>
      <c r="W1626" t="str">
        <f t="shared" si="373"/>
        <v/>
      </c>
      <c r="X1626" t="str">
        <f>IF(ISBLANK(S1626),"Intersection","Non-Intersection")</f>
        <v>Non-Intersection</v>
      </c>
      <c r="Y1626" t="s">
        <v>2567</v>
      </c>
      <c r="Z1626" t="str">
        <f t="shared" si="374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61"/>
        <v>40544</v>
      </c>
      <c r="D1627" s="4">
        <f t="shared" si="362"/>
        <v>5.4794520547945202E-2</v>
      </c>
      <c r="E1627" s="3">
        <f t="shared" si="363"/>
        <v>2011</v>
      </c>
      <c r="F1627" s="3">
        <f t="shared" si="364"/>
        <v>1</v>
      </c>
      <c r="G1627" s="3">
        <f t="shared" si="365"/>
        <v>21</v>
      </c>
      <c r="H1627" s="3">
        <f t="shared" si="366"/>
        <v>22</v>
      </c>
      <c r="I1627" s="3">
        <f t="shared" si="367"/>
        <v>15</v>
      </c>
      <c r="J1627" s="3">
        <f t="shared" si="368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69"/>
        <v>YES</v>
      </c>
      <c r="Q1627" t="str">
        <f t="shared" si="370"/>
        <v>NO</v>
      </c>
      <c r="R1627" t="str">
        <f t="shared" si="371"/>
        <v>NO</v>
      </c>
      <c r="T1627" t="s">
        <v>75</v>
      </c>
      <c r="U1627" t="str">
        <f t="shared" si="372"/>
        <v>Elm St</v>
      </c>
      <c r="V1627" t="s">
        <v>587</v>
      </c>
      <c r="W1627" t="str">
        <f t="shared" si="373"/>
        <v>Webster Ave</v>
      </c>
      <c r="X1627" t="str">
        <f>IF(ISBLANK(S1627),"Intersection","Non-Intersection")</f>
        <v>Intersection</v>
      </c>
      <c r="Y1627" t="s">
        <v>2569</v>
      </c>
      <c r="Z1627" t="str">
        <f t="shared" si="374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61"/>
        <v>40544</v>
      </c>
      <c r="D1628" s="4">
        <f t="shared" si="362"/>
        <v>5.4794520547945202E-2</v>
      </c>
      <c r="E1628" s="3">
        <f t="shared" si="363"/>
        <v>2011</v>
      </c>
      <c r="F1628" s="3">
        <f t="shared" si="364"/>
        <v>1</v>
      </c>
      <c r="G1628" s="3">
        <f t="shared" si="365"/>
        <v>21</v>
      </c>
      <c r="H1628" s="3">
        <f t="shared" si="366"/>
        <v>8</v>
      </c>
      <c r="I1628" s="3">
        <f t="shared" si="367"/>
        <v>0</v>
      </c>
      <c r="J1628" s="3">
        <f t="shared" si="368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69"/>
        <v>YES</v>
      </c>
      <c r="Q1628" t="str">
        <f t="shared" si="370"/>
        <v>NO</v>
      </c>
      <c r="R1628" t="str">
        <f t="shared" si="371"/>
        <v>NO</v>
      </c>
      <c r="S1628">
        <v>12</v>
      </c>
      <c r="T1628" t="s">
        <v>2570</v>
      </c>
      <c r="U1628" t="str">
        <f t="shared" si="372"/>
        <v>Hawthorne Park</v>
      </c>
      <c r="W1628" t="str">
        <f t="shared" si="373"/>
        <v/>
      </c>
      <c r="X1628" t="str">
        <f>IF(ISBLANK(S1628),"Intersection","Non-Intersection")</f>
        <v>Non-Intersection</v>
      </c>
      <c r="Y1628" t="s">
        <v>2571</v>
      </c>
      <c r="Z1628" t="str">
        <f t="shared" si="374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61"/>
        <v>40544</v>
      </c>
      <c r="D1629" s="4">
        <f t="shared" si="362"/>
        <v>5.7534246575342465E-2</v>
      </c>
      <c r="E1629" s="3">
        <f t="shared" si="363"/>
        <v>2011</v>
      </c>
      <c r="F1629" s="3">
        <f t="shared" si="364"/>
        <v>1</v>
      </c>
      <c r="G1629" s="3">
        <f t="shared" si="365"/>
        <v>22</v>
      </c>
      <c r="H1629" s="3">
        <f t="shared" si="366"/>
        <v>9</v>
      </c>
      <c r="I1629" s="3">
        <f t="shared" si="367"/>
        <v>24</v>
      </c>
      <c r="J1629" s="3">
        <f t="shared" si="368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69"/>
        <v>YES</v>
      </c>
      <c r="Q1629" t="str">
        <f t="shared" si="370"/>
        <v>NO</v>
      </c>
      <c r="R1629" t="str">
        <f t="shared" si="371"/>
        <v>NO</v>
      </c>
      <c r="T1629" t="s">
        <v>74</v>
      </c>
      <c r="U1629" t="str">
        <f t="shared" si="372"/>
        <v>Hampshire St</v>
      </c>
      <c r="V1629" t="s">
        <v>189</v>
      </c>
      <c r="W1629" t="str">
        <f t="shared" si="373"/>
        <v>Windsor St</v>
      </c>
      <c r="X1629" t="str">
        <f>IF(ISBLANK(S1629),"Intersection","Non-Intersection")</f>
        <v>Intersection</v>
      </c>
      <c r="Y1629" t="s">
        <v>1447</v>
      </c>
      <c r="Z1629" t="str">
        <f t="shared" si="374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61"/>
        <v>40544</v>
      </c>
      <c r="D1630" s="4">
        <f t="shared" si="362"/>
        <v>5.7534246575342465E-2</v>
      </c>
      <c r="E1630" s="3">
        <f t="shared" si="363"/>
        <v>2011</v>
      </c>
      <c r="F1630" s="3">
        <f t="shared" si="364"/>
        <v>1</v>
      </c>
      <c r="G1630" s="3">
        <f t="shared" si="365"/>
        <v>22</v>
      </c>
      <c r="H1630" s="3">
        <f t="shared" si="366"/>
        <v>15</v>
      </c>
      <c r="I1630" s="3">
        <f t="shared" si="367"/>
        <v>49</v>
      </c>
      <c r="J1630" s="3">
        <f t="shared" si="368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69"/>
        <v>YES</v>
      </c>
      <c r="Q1630" t="str">
        <f t="shared" si="370"/>
        <v>NO</v>
      </c>
      <c r="R1630" t="str">
        <f t="shared" si="371"/>
        <v>NO</v>
      </c>
      <c r="T1630" t="s">
        <v>142</v>
      </c>
      <c r="U1630" t="str">
        <f t="shared" si="372"/>
        <v>Huron Ave</v>
      </c>
      <c r="V1630" t="s">
        <v>2573</v>
      </c>
      <c r="W1630" t="str">
        <f t="shared" si="373"/>
        <v>Larchwood Dr</v>
      </c>
      <c r="X1630" t="str">
        <f>IF(ISBLANK(S1630),"Intersection","Non-Intersection")</f>
        <v>Intersection</v>
      </c>
      <c r="Y1630" t="s">
        <v>2574</v>
      </c>
      <c r="Z1630" t="str">
        <f t="shared" si="374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61"/>
        <v>40544</v>
      </c>
      <c r="D1631" s="4">
        <f t="shared" si="362"/>
        <v>5.7534246575342465E-2</v>
      </c>
      <c r="E1631" s="3">
        <f t="shared" si="363"/>
        <v>2011</v>
      </c>
      <c r="F1631" s="3">
        <f t="shared" si="364"/>
        <v>1</v>
      </c>
      <c r="G1631" s="3">
        <f t="shared" si="365"/>
        <v>22</v>
      </c>
      <c r="H1631" s="3">
        <f t="shared" si="366"/>
        <v>16</v>
      </c>
      <c r="I1631" s="3">
        <f t="shared" si="367"/>
        <v>15</v>
      </c>
      <c r="J1631" s="3">
        <f t="shared" si="368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69"/>
        <v>YES</v>
      </c>
      <c r="Q1631" t="str">
        <f t="shared" si="370"/>
        <v>NO</v>
      </c>
      <c r="R1631" t="str">
        <f t="shared" si="371"/>
        <v>NO</v>
      </c>
      <c r="S1631">
        <v>50</v>
      </c>
      <c r="T1631" t="s">
        <v>79</v>
      </c>
      <c r="U1631" t="str">
        <f t="shared" si="372"/>
        <v>Ames St</v>
      </c>
      <c r="W1631" t="str">
        <f t="shared" si="373"/>
        <v/>
      </c>
      <c r="X1631" t="str">
        <f>IF(ISBLANK(S1631),"Intersection","Non-Intersection")</f>
        <v>Non-Intersection</v>
      </c>
      <c r="Y1631" t="s">
        <v>2576</v>
      </c>
      <c r="Z1631" t="str">
        <f t="shared" si="374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61"/>
        <v>40544</v>
      </c>
      <c r="D1632" s="4">
        <f t="shared" si="362"/>
        <v>5.7534246575342465E-2</v>
      </c>
      <c r="E1632" s="3">
        <f t="shared" si="363"/>
        <v>2011</v>
      </c>
      <c r="F1632" s="3">
        <f t="shared" si="364"/>
        <v>1</v>
      </c>
      <c r="G1632" s="3">
        <f t="shared" si="365"/>
        <v>22</v>
      </c>
      <c r="H1632" s="3">
        <f t="shared" si="366"/>
        <v>17</v>
      </c>
      <c r="I1632" s="3">
        <f t="shared" si="367"/>
        <v>49</v>
      </c>
      <c r="J1632" s="3">
        <f t="shared" si="368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69"/>
        <v>YES</v>
      </c>
      <c r="Q1632" t="str">
        <f t="shared" si="370"/>
        <v>NO</v>
      </c>
      <c r="R1632" t="str">
        <f t="shared" si="371"/>
        <v>NO</v>
      </c>
      <c r="T1632" t="s">
        <v>19</v>
      </c>
      <c r="U1632" t="str">
        <f t="shared" si="372"/>
        <v>Cambridge St</v>
      </c>
      <c r="V1632" t="s">
        <v>189</v>
      </c>
      <c r="W1632" t="str">
        <f t="shared" si="373"/>
        <v>Windsor St</v>
      </c>
      <c r="X1632" t="str">
        <f>IF(ISBLANK(S1632),"Intersection","Non-Intersection")</f>
        <v>Intersection</v>
      </c>
      <c r="Y1632" t="s">
        <v>244</v>
      </c>
      <c r="Z1632" t="str">
        <f t="shared" si="374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61"/>
        <v>40544</v>
      </c>
      <c r="D1633" s="4">
        <f t="shared" si="362"/>
        <v>6.0273972602739728E-2</v>
      </c>
      <c r="E1633" s="3">
        <f t="shared" si="363"/>
        <v>2011</v>
      </c>
      <c r="F1633" s="3">
        <f t="shared" si="364"/>
        <v>1</v>
      </c>
      <c r="G1633" s="3">
        <f t="shared" si="365"/>
        <v>23</v>
      </c>
      <c r="H1633" s="3">
        <f t="shared" si="366"/>
        <v>9</v>
      </c>
      <c r="I1633" s="3">
        <f t="shared" si="367"/>
        <v>30</v>
      </c>
      <c r="J1633" s="3">
        <f t="shared" si="368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69"/>
        <v>YES</v>
      </c>
      <c r="Q1633" t="str">
        <f t="shared" si="370"/>
        <v>NO</v>
      </c>
      <c r="R1633" t="str">
        <f t="shared" si="371"/>
        <v>NO</v>
      </c>
      <c r="S1633">
        <v>149</v>
      </c>
      <c r="T1633" t="s">
        <v>942</v>
      </c>
      <c r="U1633" t="str">
        <f t="shared" si="372"/>
        <v>Amory St</v>
      </c>
      <c r="W1633" t="str">
        <f t="shared" si="373"/>
        <v/>
      </c>
      <c r="X1633" t="str">
        <f>IF(ISBLANK(S1633),"Intersection","Non-Intersection")</f>
        <v>Non-Intersection</v>
      </c>
      <c r="Y1633" t="s">
        <v>2578</v>
      </c>
      <c r="Z1633" t="str">
        <f t="shared" si="374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61"/>
        <v>40544</v>
      </c>
      <c r="D1634" s="4">
        <f t="shared" si="362"/>
        <v>6.0273972602739728E-2</v>
      </c>
      <c r="E1634" s="3">
        <f t="shared" si="363"/>
        <v>2011</v>
      </c>
      <c r="F1634" s="3">
        <f t="shared" si="364"/>
        <v>1</v>
      </c>
      <c r="G1634" s="3">
        <f t="shared" si="365"/>
        <v>23</v>
      </c>
      <c r="H1634" s="3">
        <f t="shared" si="366"/>
        <v>13</v>
      </c>
      <c r="I1634" s="3">
        <f t="shared" si="367"/>
        <v>44</v>
      </c>
      <c r="J1634" s="3">
        <f t="shared" si="368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69"/>
        <v>YES</v>
      </c>
      <c r="Q1634" t="str">
        <f t="shared" si="370"/>
        <v>NO</v>
      </c>
      <c r="R1634" t="str">
        <f t="shared" si="371"/>
        <v>NO</v>
      </c>
      <c r="T1634" t="s">
        <v>2580</v>
      </c>
      <c r="U1634" t="str">
        <f t="shared" si="372"/>
        <v>Land Blvd</v>
      </c>
      <c r="V1634" t="s">
        <v>1062</v>
      </c>
      <c r="W1634" t="str">
        <f t="shared" si="373"/>
        <v>Cambridgeside Pl</v>
      </c>
      <c r="X1634" t="str">
        <f>IF(ISBLANK(S1634),"Intersection","Non-Intersection")</f>
        <v>Intersection</v>
      </c>
      <c r="Y1634" t="s">
        <v>2581</v>
      </c>
      <c r="Z1634" t="str">
        <f t="shared" si="374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61"/>
        <v>40544</v>
      </c>
      <c r="D1635" s="4">
        <f t="shared" si="362"/>
        <v>6.0273972602739728E-2</v>
      </c>
      <c r="E1635" s="3">
        <f t="shared" si="363"/>
        <v>2011</v>
      </c>
      <c r="F1635" s="3">
        <f t="shared" si="364"/>
        <v>1</v>
      </c>
      <c r="G1635" s="3">
        <f t="shared" si="365"/>
        <v>23</v>
      </c>
      <c r="H1635" s="3">
        <f t="shared" si="366"/>
        <v>17</v>
      </c>
      <c r="I1635" s="3">
        <f t="shared" si="367"/>
        <v>3</v>
      </c>
      <c r="J1635" s="3">
        <f t="shared" si="368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69"/>
        <v>YES</v>
      </c>
      <c r="Q1635" t="str">
        <f t="shared" si="370"/>
        <v>YES</v>
      </c>
      <c r="R1635" t="str">
        <f t="shared" si="371"/>
        <v>NO</v>
      </c>
      <c r="T1635" t="s">
        <v>162</v>
      </c>
      <c r="U1635" t="str">
        <f t="shared" si="372"/>
        <v>Bennett St</v>
      </c>
      <c r="V1635" t="s">
        <v>325</v>
      </c>
      <c r="W1635" t="str">
        <f t="shared" si="373"/>
        <v>Eliot St</v>
      </c>
      <c r="X1635" t="str">
        <f>IF(ISBLANK(S1635),"Intersection","Non-Intersection")</f>
        <v>Intersection</v>
      </c>
      <c r="Y1635" t="s">
        <v>844</v>
      </c>
      <c r="Z1635" t="str">
        <f t="shared" si="374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61"/>
        <v>40544</v>
      </c>
      <c r="D1636" s="4">
        <f t="shared" si="362"/>
        <v>6.0273972602739728E-2</v>
      </c>
      <c r="E1636" s="3">
        <f t="shared" si="363"/>
        <v>2011</v>
      </c>
      <c r="F1636" s="3">
        <f t="shared" si="364"/>
        <v>1</v>
      </c>
      <c r="G1636" s="3">
        <f t="shared" si="365"/>
        <v>23</v>
      </c>
      <c r="H1636" s="3">
        <f t="shared" si="366"/>
        <v>18</v>
      </c>
      <c r="I1636" s="3">
        <f t="shared" si="367"/>
        <v>30</v>
      </c>
      <c r="J1636" s="3">
        <f t="shared" si="368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69"/>
        <v>YES</v>
      </c>
      <c r="Q1636" t="str">
        <f t="shared" si="370"/>
        <v>NO</v>
      </c>
      <c r="R1636" t="str">
        <f t="shared" si="371"/>
        <v>NO</v>
      </c>
      <c r="S1636">
        <v>168</v>
      </c>
      <c r="T1636" t="s">
        <v>37</v>
      </c>
      <c r="U1636" t="str">
        <f t="shared" si="372"/>
        <v>Magazine St</v>
      </c>
      <c r="W1636" t="str">
        <f t="shared" si="373"/>
        <v/>
      </c>
      <c r="X1636" t="str">
        <f>IF(ISBLANK(S1636),"Intersection","Non-Intersection")</f>
        <v>Non-Intersection</v>
      </c>
      <c r="Y1636" t="s">
        <v>2583</v>
      </c>
      <c r="Z1636" t="str">
        <f t="shared" si="374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61"/>
        <v>40544</v>
      </c>
      <c r="D1637" s="4">
        <f t="shared" si="362"/>
        <v>6.0273972602739728E-2</v>
      </c>
      <c r="E1637" s="3">
        <f t="shared" si="363"/>
        <v>2011</v>
      </c>
      <c r="F1637" s="3">
        <f t="shared" si="364"/>
        <v>1</v>
      </c>
      <c r="G1637" s="3">
        <f t="shared" si="365"/>
        <v>23</v>
      </c>
      <c r="H1637" s="3">
        <f t="shared" si="366"/>
        <v>8</v>
      </c>
      <c r="I1637" s="3">
        <f t="shared" si="367"/>
        <v>0</v>
      </c>
      <c r="J1637" s="3">
        <f t="shared" si="368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69"/>
        <v>YES</v>
      </c>
      <c r="Q1637" t="str">
        <f t="shared" si="370"/>
        <v>NO</v>
      </c>
      <c r="R1637" t="str">
        <f t="shared" si="371"/>
        <v>NO</v>
      </c>
      <c r="T1637" t="s">
        <v>2466</v>
      </c>
      <c r="U1637" t="str">
        <f t="shared" si="372"/>
        <v>Regent St</v>
      </c>
      <c r="V1637" t="s">
        <v>14</v>
      </c>
      <c r="W1637" t="str">
        <f t="shared" si="373"/>
        <v>Massachusetts Ave</v>
      </c>
      <c r="X1637" t="str">
        <f>IF(ISBLANK(S1637),"Intersection","Non-Intersection")</f>
        <v>Intersection</v>
      </c>
      <c r="Y1637" t="s">
        <v>2585</v>
      </c>
      <c r="Z1637" t="str">
        <f t="shared" si="374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61"/>
        <v>40544</v>
      </c>
      <c r="D1638" s="4">
        <f t="shared" si="362"/>
        <v>6.3013698630136991E-2</v>
      </c>
      <c r="E1638" s="3">
        <f t="shared" si="363"/>
        <v>2011</v>
      </c>
      <c r="F1638" s="3">
        <f t="shared" si="364"/>
        <v>1</v>
      </c>
      <c r="G1638" s="3">
        <f t="shared" si="365"/>
        <v>24</v>
      </c>
      <c r="H1638" s="3">
        <f t="shared" si="366"/>
        <v>11</v>
      </c>
      <c r="I1638" s="3">
        <f t="shared" si="367"/>
        <v>29</v>
      </c>
      <c r="J1638" s="3">
        <f t="shared" si="368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69"/>
        <v>YES</v>
      </c>
      <c r="Q1638" t="str">
        <f t="shared" si="370"/>
        <v>NO</v>
      </c>
      <c r="R1638" t="str">
        <f t="shared" si="371"/>
        <v>NO</v>
      </c>
      <c r="S1638">
        <v>11</v>
      </c>
      <c r="T1638" t="s">
        <v>252</v>
      </c>
      <c r="U1638" t="str">
        <f t="shared" si="372"/>
        <v>Walden St</v>
      </c>
      <c r="W1638" t="str">
        <f t="shared" si="373"/>
        <v/>
      </c>
      <c r="X1638" t="str">
        <f>IF(ISBLANK(S1638),"Intersection","Non-Intersection")</f>
        <v>Non-Intersection</v>
      </c>
      <c r="Y1638" t="s">
        <v>2587</v>
      </c>
      <c r="Z1638" t="str">
        <f t="shared" si="374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61"/>
        <v>40544</v>
      </c>
      <c r="D1639" s="4">
        <f t="shared" si="362"/>
        <v>6.3013698630136991E-2</v>
      </c>
      <c r="E1639" s="3">
        <f t="shared" si="363"/>
        <v>2011</v>
      </c>
      <c r="F1639" s="3">
        <f t="shared" si="364"/>
        <v>1</v>
      </c>
      <c r="G1639" s="3">
        <f t="shared" si="365"/>
        <v>24</v>
      </c>
      <c r="H1639" s="3">
        <f t="shared" si="366"/>
        <v>6</v>
      </c>
      <c r="I1639" s="3">
        <f t="shared" si="367"/>
        <v>0</v>
      </c>
      <c r="J1639" s="3">
        <f t="shared" si="368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69"/>
        <v>YES</v>
      </c>
      <c r="Q1639" t="str">
        <f t="shared" si="370"/>
        <v>NO</v>
      </c>
      <c r="R1639" t="str">
        <f t="shared" si="371"/>
        <v>NO</v>
      </c>
      <c r="S1639">
        <v>1</v>
      </c>
      <c r="T1639" t="s">
        <v>268</v>
      </c>
      <c r="U1639" t="str">
        <f t="shared" si="372"/>
        <v>White St</v>
      </c>
      <c r="W1639" t="str">
        <f t="shared" si="373"/>
        <v/>
      </c>
      <c r="X1639" t="str">
        <f>IF(ISBLANK(S1639),"Intersection","Non-Intersection")</f>
        <v>Non-Intersection</v>
      </c>
      <c r="Y1639" t="s">
        <v>272</v>
      </c>
      <c r="Z1639" t="str">
        <f t="shared" si="374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61"/>
        <v>40544</v>
      </c>
      <c r="D1640" s="4">
        <f t="shared" si="362"/>
        <v>6.3013698630136991E-2</v>
      </c>
      <c r="E1640" s="3">
        <f t="shared" si="363"/>
        <v>2011</v>
      </c>
      <c r="F1640" s="3">
        <f t="shared" si="364"/>
        <v>1</v>
      </c>
      <c r="G1640" s="3">
        <f t="shared" si="365"/>
        <v>24</v>
      </c>
      <c r="H1640" s="3">
        <f t="shared" si="366"/>
        <v>9</v>
      </c>
      <c r="I1640" s="3">
        <f t="shared" si="367"/>
        <v>59</v>
      </c>
      <c r="J1640" s="3">
        <f t="shared" si="368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69"/>
        <v>YES</v>
      </c>
      <c r="Q1640" t="str">
        <f t="shared" si="370"/>
        <v>NO</v>
      </c>
      <c r="R1640" t="str">
        <f t="shared" si="371"/>
        <v>NO</v>
      </c>
      <c r="T1640" t="s">
        <v>198</v>
      </c>
      <c r="U1640" t="str">
        <f t="shared" si="372"/>
        <v>Mount Auburn St</v>
      </c>
      <c r="V1640" t="s">
        <v>24</v>
      </c>
      <c r="W1640" t="str">
        <f t="shared" si="373"/>
        <v>Coolidge Ave</v>
      </c>
      <c r="X1640" t="str">
        <f>IF(ISBLANK(S1640),"Intersection","Non-Intersection")</f>
        <v>Intersection</v>
      </c>
      <c r="Y1640" t="s">
        <v>2019</v>
      </c>
      <c r="Z1640" t="str">
        <f t="shared" si="374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61"/>
        <v>40544</v>
      </c>
      <c r="D1641" s="4">
        <f t="shared" si="362"/>
        <v>6.3013698630136991E-2</v>
      </c>
      <c r="E1641" s="3">
        <f t="shared" si="363"/>
        <v>2011</v>
      </c>
      <c r="F1641" s="3">
        <f t="shared" si="364"/>
        <v>1</v>
      </c>
      <c r="G1641" s="3">
        <f t="shared" si="365"/>
        <v>24</v>
      </c>
      <c r="H1641" s="3">
        <f t="shared" si="366"/>
        <v>7</v>
      </c>
      <c r="I1641" s="3">
        <f t="shared" si="367"/>
        <v>44</v>
      </c>
      <c r="J1641" s="3">
        <f t="shared" si="368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69"/>
        <v>YES</v>
      </c>
      <c r="Q1641" t="str">
        <f t="shared" si="370"/>
        <v>NO</v>
      </c>
      <c r="R1641" t="str">
        <f t="shared" si="371"/>
        <v>NO</v>
      </c>
      <c r="T1641" t="s">
        <v>198</v>
      </c>
      <c r="U1641" t="str">
        <f t="shared" si="372"/>
        <v>Mount Auburn St</v>
      </c>
      <c r="V1641" t="s">
        <v>464</v>
      </c>
      <c r="W1641" t="str">
        <f t="shared" si="373"/>
        <v>Aberdeen Way</v>
      </c>
      <c r="X1641" t="str">
        <f>IF(ISBLANK(S1641),"Intersection","Non-Intersection")</f>
        <v>Intersection</v>
      </c>
      <c r="Y1641" t="s">
        <v>1666</v>
      </c>
      <c r="Z1641" t="str">
        <f t="shared" si="374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61"/>
        <v>40544</v>
      </c>
      <c r="D1642" s="4">
        <f t="shared" si="362"/>
        <v>6.3013698630136991E-2</v>
      </c>
      <c r="E1642" s="3">
        <f t="shared" si="363"/>
        <v>2011</v>
      </c>
      <c r="F1642" s="3">
        <f t="shared" si="364"/>
        <v>1</v>
      </c>
      <c r="G1642" s="3">
        <f t="shared" si="365"/>
        <v>24</v>
      </c>
      <c r="H1642" s="3">
        <f t="shared" si="366"/>
        <v>8</v>
      </c>
      <c r="I1642" s="3">
        <f t="shared" si="367"/>
        <v>25</v>
      </c>
      <c r="J1642" s="3">
        <f t="shared" si="368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69"/>
        <v>YES</v>
      </c>
      <c r="Q1642" t="str">
        <f t="shared" si="370"/>
        <v>NO</v>
      </c>
      <c r="R1642" t="str">
        <f t="shared" si="371"/>
        <v>NO</v>
      </c>
      <c r="T1642" t="s">
        <v>260</v>
      </c>
      <c r="U1642" t="str">
        <f t="shared" si="372"/>
        <v>Third St</v>
      </c>
      <c r="W1642" t="str">
        <f t="shared" si="373"/>
        <v/>
      </c>
      <c r="X1642" t="str">
        <f>IF(ISBLANK(S1642),"Intersection","Non-Intersection")</f>
        <v>Intersection</v>
      </c>
      <c r="Y1642" t="s">
        <v>2589</v>
      </c>
      <c r="Z1642" t="str">
        <f t="shared" si="374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61"/>
        <v>40544</v>
      </c>
      <c r="D1643" s="4">
        <f t="shared" si="362"/>
        <v>6.575342465753424E-2</v>
      </c>
      <c r="E1643" s="3">
        <f t="shared" si="363"/>
        <v>2011</v>
      </c>
      <c r="F1643" s="3">
        <f t="shared" si="364"/>
        <v>1</v>
      </c>
      <c r="G1643" s="3">
        <f t="shared" si="365"/>
        <v>25</v>
      </c>
      <c r="H1643" s="3">
        <f t="shared" si="366"/>
        <v>3</v>
      </c>
      <c r="I1643" s="3">
        <f t="shared" si="367"/>
        <v>55</v>
      </c>
      <c r="J1643" s="3">
        <f t="shared" si="368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69"/>
        <v>YES</v>
      </c>
      <c r="Q1643" t="str">
        <f t="shared" si="370"/>
        <v>NO</v>
      </c>
      <c r="R1643" t="str">
        <f t="shared" si="371"/>
        <v>NO</v>
      </c>
      <c r="T1643" t="s">
        <v>14</v>
      </c>
      <c r="U1643" t="str">
        <f t="shared" si="372"/>
        <v>Massachusetts Ave</v>
      </c>
      <c r="V1643" t="s">
        <v>342</v>
      </c>
      <c r="W1643" t="str">
        <f t="shared" si="373"/>
        <v>Prospect St</v>
      </c>
      <c r="X1643" t="str">
        <f>IF(ISBLANK(S1643),"Intersection","Non-Intersection")</f>
        <v>Intersection</v>
      </c>
      <c r="Y1643" t="s">
        <v>2590</v>
      </c>
      <c r="Z1643" t="str">
        <f t="shared" si="374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61"/>
        <v>40544</v>
      </c>
      <c r="D1644" s="4">
        <f t="shared" si="362"/>
        <v>6.575342465753424E-2</v>
      </c>
      <c r="E1644" s="3">
        <f t="shared" si="363"/>
        <v>2011</v>
      </c>
      <c r="F1644" s="3">
        <f t="shared" si="364"/>
        <v>1</v>
      </c>
      <c r="G1644" s="3">
        <f t="shared" si="365"/>
        <v>25</v>
      </c>
      <c r="H1644" s="3">
        <f t="shared" si="366"/>
        <v>12</v>
      </c>
      <c r="I1644" s="3">
        <f t="shared" si="367"/>
        <v>0</v>
      </c>
      <c r="J1644" s="3">
        <f t="shared" si="368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69"/>
        <v>YES</v>
      </c>
      <c r="Q1644" t="str">
        <f t="shared" si="370"/>
        <v>NO</v>
      </c>
      <c r="R1644" t="str">
        <f t="shared" si="371"/>
        <v>NO</v>
      </c>
      <c r="S1644">
        <v>56</v>
      </c>
      <c r="T1644" t="s">
        <v>238</v>
      </c>
      <c r="U1644" t="str">
        <f t="shared" si="372"/>
        <v>Kirkland St</v>
      </c>
      <c r="W1644" t="str">
        <f t="shared" si="373"/>
        <v/>
      </c>
      <c r="X1644" t="str">
        <f>IF(ISBLANK(S1644),"Intersection","Non-Intersection")</f>
        <v>Non-Intersection</v>
      </c>
      <c r="Y1644" t="s">
        <v>2591</v>
      </c>
      <c r="Z1644" t="str">
        <f t="shared" si="374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61"/>
        <v>40544</v>
      </c>
      <c r="D1645" s="4">
        <f t="shared" si="362"/>
        <v>6.575342465753424E-2</v>
      </c>
      <c r="E1645" s="3">
        <f t="shared" si="363"/>
        <v>2011</v>
      </c>
      <c r="F1645" s="3">
        <f t="shared" si="364"/>
        <v>1</v>
      </c>
      <c r="G1645" s="3">
        <f t="shared" si="365"/>
        <v>25</v>
      </c>
      <c r="H1645" s="3">
        <f t="shared" si="366"/>
        <v>12</v>
      </c>
      <c r="I1645" s="3">
        <f t="shared" si="367"/>
        <v>59</v>
      </c>
      <c r="J1645" s="3">
        <f t="shared" si="368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69"/>
        <v>YES</v>
      </c>
      <c r="Q1645" t="str">
        <f t="shared" si="370"/>
        <v>NO</v>
      </c>
      <c r="R1645" t="str">
        <f t="shared" si="371"/>
        <v>NO</v>
      </c>
      <c r="S1645">
        <v>60</v>
      </c>
      <c r="T1645" t="s">
        <v>166</v>
      </c>
      <c r="U1645" t="str">
        <f t="shared" si="372"/>
        <v>Oxford Ave</v>
      </c>
      <c r="W1645" t="str">
        <f t="shared" si="373"/>
        <v/>
      </c>
      <c r="X1645" t="str">
        <f>IF(ISBLANK(S1645),"Intersection","Non-Intersection")</f>
        <v>Non-Intersection</v>
      </c>
      <c r="Y1645" t="s">
        <v>2328</v>
      </c>
      <c r="Z1645" t="str">
        <f t="shared" si="374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61"/>
        <v>40544</v>
      </c>
      <c r="D1646" s="4">
        <f t="shared" si="362"/>
        <v>6.575342465753424E-2</v>
      </c>
      <c r="E1646" s="3">
        <f t="shared" si="363"/>
        <v>2011</v>
      </c>
      <c r="F1646" s="3">
        <f t="shared" si="364"/>
        <v>1</v>
      </c>
      <c r="G1646" s="3">
        <f t="shared" si="365"/>
        <v>25</v>
      </c>
      <c r="H1646" s="3">
        <f t="shared" si="366"/>
        <v>15</v>
      </c>
      <c r="I1646" s="3">
        <f t="shared" si="367"/>
        <v>4</v>
      </c>
      <c r="J1646" s="3">
        <f t="shared" si="368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69"/>
        <v>YES</v>
      </c>
      <c r="Q1646" t="str">
        <f t="shared" si="370"/>
        <v>NO</v>
      </c>
      <c r="R1646" t="str">
        <f t="shared" si="371"/>
        <v>NO</v>
      </c>
      <c r="S1646">
        <v>59</v>
      </c>
      <c r="T1646" t="s">
        <v>166</v>
      </c>
      <c r="U1646" t="str">
        <f t="shared" si="372"/>
        <v>Oxford Ave</v>
      </c>
      <c r="W1646" t="str">
        <f t="shared" si="373"/>
        <v/>
      </c>
      <c r="X1646" t="str">
        <f>IF(ISBLANK(S1646),"Intersection","Non-Intersection")</f>
        <v>Non-Intersection</v>
      </c>
      <c r="Y1646" t="s">
        <v>2593</v>
      </c>
      <c r="Z1646" t="str">
        <f t="shared" si="374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61"/>
        <v>40544</v>
      </c>
      <c r="D1647" s="4">
        <f t="shared" si="362"/>
        <v>6.575342465753424E-2</v>
      </c>
      <c r="E1647" s="3">
        <f t="shared" si="363"/>
        <v>2011</v>
      </c>
      <c r="F1647" s="3">
        <f t="shared" si="364"/>
        <v>1</v>
      </c>
      <c r="G1647" s="3">
        <f t="shared" si="365"/>
        <v>25</v>
      </c>
      <c r="H1647" s="3">
        <f t="shared" si="366"/>
        <v>14</v>
      </c>
      <c r="I1647" s="3">
        <f t="shared" si="367"/>
        <v>35</v>
      </c>
      <c r="J1647" s="3">
        <f t="shared" si="368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69"/>
        <v>YES</v>
      </c>
      <c r="Q1647" t="str">
        <f t="shared" si="370"/>
        <v>NO</v>
      </c>
      <c r="R1647" t="str">
        <f t="shared" si="371"/>
        <v>NO</v>
      </c>
      <c r="T1647" t="s">
        <v>142</v>
      </c>
      <c r="U1647" t="str">
        <f t="shared" si="372"/>
        <v>Huron Ave</v>
      </c>
      <c r="V1647" t="s">
        <v>1510</v>
      </c>
      <c r="W1647" t="str">
        <f t="shared" si="373"/>
        <v>Reservoir St</v>
      </c>
      <c r="X1647" t="str">
        <f>IF(ISBLANK(S1647),"Intersection","Non-Intersection")</f>
        <v>Intersection</v>
      </c>
      <c r="Y1647" t="s">
        <v>2595</v>
      </c>
      <c r="Z1647" t="str">
        <f t="shared" si="374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61"/>
        <v>40544</v>
      </c>
      <c r="D1648" s="4">
        <f t="shared" si="362"/>
        <v>6.575342465753424E-2</v>
      </c>
      <c r="E1648" s="3">
        <f t="shared" si="363"/>
        <v>2011</v>
      </c>
      <c r="F1648" s="3">
        <f t="shared" si="364"/>
        <v>1</v>
      </c>
      <c r="G1648" s="3">
        <f t="shared" si="365"/>
        <v>25</v>
      </c>
      <c r="H1648" s="3">
        <f t="shared" si="366"/>
        <v>7</v>
      </c>
      <c r="I1648" s="3">
        <f t="shared" si="367"/>
        <v>30</v>
      </c>
      <c r="J1648" s="3">
        <f t="shared" si="368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69"/>
        <v>YES</v>
      </c>
      <c r="Q1648" t="str">
        <f t="shared" si="370"/>
        <v>NO</v>
      </c>
      <c r="R1648" t="str">
        <f t="shared" si="371"/>
        <v>NO</v>
      </c>
      <c r="S1648">
        <v>47</v>
      </c>
      <c r="T1648" t="s">
        <v>1114</v>
      </c>
      <c r="U1648" t="str">
        <f t="shared" si="372"/>
        <v>Market St</v>
      </c>
      <c r="W1648" t="str">
        <f t="shared" si="373"/>
        <v/>
      </c>
      <c r="X1648" t="str">
        <f>IF(ISBLANK(S1648),"Intersection","Non-Intersection")</f>
        <v>Non-Intersection</v>
      </c>
      <c r="Y1648" t="s">
        <v>2596</v>
      </c>
      <c r="Z1648" t="str">
        <f t="shared" si="374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375">EOMONTH(B1649,MONTH(B1649)*-1)+1</f>
        <v>40544</v>
      </c>
      <c r="D1649" s="4">
        <f t="shared" ref="D1649:D1708" si="376">YEARFRAC(C1649,B1649,1)</f>
        <v>6.575342465753424E-2</v>
      </c>
      <c r="E1649" s="3">
        <f t="shared" ref="E1649:E1708" si="377">YEAR(B1649)</f>
        <v>2011</v>
      </c>
      <c r="F1649" s="3">
        <f t="shared" ref="F1649:F1708" si="378">MONTH(B1649)</f>
        <v>1</v>
      </c>
      <c r="G1649" s="3">
        <f t="shared" ref="G1649:G1708" si="379">DAY(B1649)</f>
        <v>25</v>
      </c>
      <c r="H1649" s="3">
        <f t="shared" ref="H1649:H1708" si="380">HOUR(B1649)</f>
        <v>8</v>
      </c>
      <c r="I1649" s="3">
        <f t="shared" ref="I1649:I1708" si="381">MINUTE(B1649)</f>
        <v>49</v>
      </c>
      <c r="J1649" s="3">
        <f t="shared" ref="J1649:J1708" si="382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383">IF(OR(N1649="Auto",O1649="Auto"),"YES",IF(OR(N1649="Taxi",O1649="Taxi"),"YES",IF(OR(N1649="Van",O1649="Van"),"YES",IF(OR(N1649="Truck",O1649="Truck"),"YES","NO"))))</f>
        <v>YES</v>
      </c>
      <c r="Q1649" t="str">
        <f t="shared" ref="Q1649:Q1708" si="384">IF(OR(N1649="Bicycle",O1649="Bicycle"),"YES","NO")</f>
        <v>NO</v>
      </c>
      <c r="R1649" t="str">
        <f t="shared" ref="R1649:R1708" si="385">IF(OR(N1649="Pedestrian",O1649="Pedestrian"),"YES","NO")</f>
        <v>NO</v>
      </c>
      <c r="S1649">
        <v>151</v>
      </c>
      <c r="T1649" t="s">
        <v>42</v>
      </c>
      <c r="U1649" t="str">
        <f t="shared" si="372"/>
        <v>Putnam Ave</v>
      </c>
      <c r="W1649" t="str">
        <f t="shared" si="373"/>
        <v/>
      </c>
      <c r="X1649" t="str">
        <f>IF(ISBLANK(S1649),"Intersection","Non-Intersection")</f>
        <v>Non-Intersection</v>
      </c>
      <c r="Y1649" t="s">
        <v>2598</v>
      </c>
      <c r="Z1649" t="str">
        <f t="shared" si="374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375"/>
        <v>40544</v>
      </c>
      <c r="D1650" s="4">
        <f t="shared" si="376"/>
        <v>6.8493150684931503E-2</v>
      </c>
      <c r="E1650" s="3">
        <f t="shared" si="377"/>
        <v>2011</v>
      </c>
      <c r="F1650" s="3">
        <f t="shared" si="378"/>
        <v>1</v>
      </c>
      <c r="G1650" s="3">
        <f t="shared" si="379"/>
        <v>26</v>
      </c>
      <c r="H1650" s="3">
        <f t="shared" si="380"/>
        <v>8</v>
      </c>
      <c r="I1650" s="3">
        <f t="shared" si="381"/>
        <v>17</v>
      </c>
      <c r="J1650" s="3">
        <f t="shared" si="382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383"/>
        <v>YES</v>
      </c>
      <c r="Q1650" t="str">
        <f t="shared" si="384"/>
        <v>NO</v>
      </c>
      <c r="R1650" t="str">
        <f t="shared" si="385"/>
        <v>NO</v>
      </c>
      <c r="T1650" t="s">
        <v>14</v>
      </c>
      <c r="U1650" t="str">
        <f t="shared" si="372"/>
        <v>Massachusetts Ave</v>
      </c>
      <c r="V1650" t="s">
        <v>252</v>
      </c>
      <c r="W1650" t="str">
        <f t="shared" si="373"/>
        <v>Walden St</v>
      </c>
      <c r="X1650" t="str">
        <f>IF(ISBLANK(S1650),"Intersection","Non-Intersection")</f>
        <v>Intersection</v>
      </c>
      <c r="Y1650" t="s">
        <v>2600</v>
      </c>
      <c r="Z1650" t="str">
        <f t="shared" si="374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375"/>
        <v>40544</v>
      </c>
      <c r="D1651" s="4">
        <f t="shared" si="376"/>
        <v>6.8493150684931503E-2</v>
      </c>
      <c r="E1651" s="3">
        <f t="shared" si="377"/>
        <v>2011</v>
      </c>
      <c r="F1651" s="3">
        <f t="shared" si="378"/>
        <v>1</v>
      </c>
      <c r="G1651" s="3">
        <f t="shared" si="379"/>
        <v>26</v>
      </c>
      <c r="H1651" s="3">
        <f t="shared" si="380"/>
        <v>8</v>
      </c>
      <c r="I1651" s="3">
        <f t="shared" si="381"/>
        <v>25</v>
      </c>
      <c r="J1651" s="3">
        <f t="shared" si="382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383"/>
        <v>YES</v>
      </c>
      <c r="Q1651" t="str">
        <f t="shared" si="384"/>
        <v>NO</v>
      </c>
      <c r="R1651" t="str">
        <f t="shared" si="385"/>
        <v>NO</v>
      </c>
      <c r="S1651">
        <v>208</v>
      </c>
      <c r="T1651" t="s">
        <v>19</v>
      </c>
      <c r="U1651" t="str">
        <f t="shared" si="372"/>
        <v>Cambridge St</v>
      </c>
      <c r="V1651" t="s">
        <v>379</v>
      </c>
      <c r="W1651" t="str">
        <f t="shared" si="373"/>
        <v>Second St</v>
      </c>
      <c r="X1651" t="str">
        <f>IF(ISBLANK(S1651),"Intersection","Non-Intersection")</f>
        <v>Non-Intersection</v>
      </c>
      <c r="Y1651" t="s">
        <v>2602</v>
      </c>
      <c r="Z1651" t="str">
        <f t="shared" si="374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375"/>
        <v>40544</v>
      </c>
      <c r="D1652" s="4">
        <f t="shared" si="376"/>
        <v>6.8493150684931503E-2</v>
      </c>
      <c r="E1652" s="3">
        <f t="shared" si="377"/>
        <v>2011</v>
      </c>
      <c r="F1652" s="3">
        <f t="shared" si="378"/>
        <v>1</v>
      </c>
      <c r="G1652" s="3">
        <f t="shared" si="379"/>
        <v>26</v>
      </c>
      <c r="H1652" s="3">
        <f t="shared" si="380"/>
        <v>9</v>
      </c>
      <c r="I1652" s="3">
        <f t="shared" si="381"/>
        <v>14</v>
      </c>
      <c r="J1652" s="3">
        <f t="shared" si="382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383"/>
        <v>YES</v>
      </c>
      <c r="Q1652" t="str">
        <f t="shared" si="384"/>
        <v>NO</v>
      </c>
      <c r="R1652" t="str">
        <f t="shared" si="385"/>
        <v>NO</v>
      </c>
      <c r="T1652" t="s">
        <v>37</v>
      </c>
      <c r="U1652" t="str">
        <f t="shared" si="372"/>
        <v>Magazine St</v>
      </c>
      <c r="V1652" t="s">
        <v>1612</v>
      </c>
      <c r="W1652" t="str">
        <f t="shared" si="373"/>
        <v>William St</v>
      </c>
      <c r="X1652" t="str">
        <f>IF(ISBLANK(S1652),"Intersection","Non-Intersection")</f>
        <v>Intersection</v>
      </c>
      <c r="Y1652" t="s">
        <v>1613</v>
      </c>
      <c r="Z1652" t="str">
        <f t="shared" si="374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375"/>
        <v>40544</v>
      </c>
      <c r="D1653" s="4">
        <f t="shared" si="376"/>
        <v>6.8493150684931503E-2</v>
      </c>
      <c r="E1653" s="3">
        <f t="shared" si="377"/>
        <v>2011</v>
      </c>
      <c r="F1653" s="3">
        <f t="shared" si="378"/>
        <v>1</v>
      </c>
      <c r="G1653" s="3">
        <f t="shared" si="379"/>
        <v>26</v>
      </c>
      <c r="H1653" s="3">
        <f t="shared" si="380"/>
        <v>10</v>
      </c>
      <c r="I1653" s="3">
        <f t="shared" si="381"/>
        <v>50</v>
      </c>
      <c r="J1653" s="3">
        <f t="shared" si="382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383"/>
        <v>YES</v>
      </c>
      <c r="Q1653" t="str">
        <f t="shared" si="384"/>
        <v>NO</v>
      </c>
      <c r="R1653" t="str">
        <f t="shared" si="385"/>
        <v>NO</v>
      </c>
      <c r="S1653">
        <v>1972</v>
      </c>
      <c r="T1653" t="s">
        <v>14</v>
      </c>
      <c r="U1653" t="str">
        <f t="shared" si="372"/>
        <v>Massachusetts Ave</v>
      </c>
      <c r="W1653" t="str">
        <f t="shared" si="373"/>
        <v/>
      </c>
      <c r="X1653" t="str">
        <f>IF(ISBLANK(S1653),"Intersection","Non-Intersection")</f>
        <v>Non-Intersection</v>
      </c>
      <c r="Y1653" t="s">
        <v>2604</v>
      </c>
      <c r="Z1653" t="str">
        <f t="shared" si="374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375"/>
        <v>40544</v>
      </c>
      <c r="D1654" s="4">
        <f t="shared" si="376"/>
        <v>6.8493150684931503E-2</v>
      </c>
      <c r="E1654" s="3">
        <f t="shared" si="377"/>
        <v>2011</v>
      </c>
      <c r="F1654" s="3">
        <f t="shared" si="378"/>
        <v>1</v>
      </c>
      <c r="G1654" s="3">
        <f t="shared" si="379"/>
        <v>26</v>
      </c>
      <c r="H1654" s="3">
        <f t="shared" si="380"/>
        <v>20</v>
      </c>
      <c r="I1654" s="3">
        <f t="shared" si="381"/>
        <v>0</v>
      </c>
      <c r="J1654" s="3">
        <f t="shared" si="382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383"/>
        <v>YES</v>
      </c>
      <c r="Q1654" t="str">
        <f t="shared" si="384"/>
        <v>NO</v>
      </c>
      <c r="R1654" t="str">
        <f t="shared" si="385"/>
        <v>NO</v>
      </c>
      <c r="S1654">
        <v>7</v>
      </c>
      <c r="T1654" t="s">
        <v>2606</v>
      </c>
      <c r="U1654" t="str">
        <f t="shared" si="372"/>
        <v>Alberta Ter</v>
      </c>
      <c r="W1654" t="str">
        <f t="shared" si="373"/>
        <v/>
      </c>
      <c r="X1654" t="str">
        <f>IF(ISBLANK(S1654),"Intersection","Non-Intersection")</f>
        <v>Non-Intersection</v>
      </c>
      <c r="Y1654" t="s">
        <v>2607</v>
      </c>
      <c r="Z1654" t="str">
        <f t="shared" si="374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375"/>
        <v>40544</v>
      </c>
      <c r="D1655" s="4">
        <f t="shared" si="376"/>
        <v>6.8493150684931503E-2</v>
      </c>
      <c r="E1655" s="3">
        <f t="shared" si="377"/>
        <v>2011</v>
      </c>
      <c r="F1655" s="3">
        <f t="shared" si="378"/>
        <v>1</v>
      </c>
      <c r="G1655" s="3">
        <f t="shared" si="379"/>
        <v>26</v>
      </c>
      <c r="H1655" s="3">
        <f t="shared" si="380"/>
        <v>20</v>
      </c>
      <c r="I1655" s="3">
        <f t="shared" si="381"/>
        <v>29</v>
      </c>
      <c r="J1655" s="3">
        <f t="shared" si="382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383"/>
        <v>YES</v>
      </c>
      <c r="Q1655" t="str">
        <f t="shared" si="384"/>
        <v>NO</v>
      </c>
      <c r="R1655" t="str">
        <f t="shared" si="385"/>
        <v>NO</v>
      </c>
      <c r="T1655" t="s">
        <v>101</v>
      </c>
      <c r="U1655" t="str">
        <f t="shared" si="372"/>
        <v>Columbia St</v>
      </c>
      <c r="W1655" t="str">
        <f t="shared" si="373"/>
        <v/>
      </c>
      <c r="X1655" t="str">
        <f>IF(ISBLANK(S1655),"Intersection","Non-Intersection")</f>
        <v>Intersection</v>
      </c>
      <c r="Y1655" t="s">
        <v>2312</v>
      </c>
      <c r="Z1655" t="str">
        <f t="shared" si="374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375"/>
        <v>40544</v>
      </c>
      <c r="D1656" s="4">
        <f t="shared" si="376"/>
        <v>6.8493150684931503E-2</v>
      </c>
      <c r="E1656" s="3">
        <f t="shared" si="377"/>
        <v>2011</v>
      </c>
      <c r="F1656" s="3">
        <f t="shared" si="378"/>
        <v>1</v>
      </c>
      <c r="G1656" s="3">
        <f t="shared" si="379"/>
        <v>26</v>
      </c>
      <c r="H1656" s="3">
        <f t="shared" si="380"/>
        <v>7</v>
      </c>
      <c r="I1656" s="3">
        <f t="shared" si="381"/>
        <v>50</v>
      </c>
      <c r="J1656" s="3">
        <f t="shared" si="382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383"/>
        <v>YES</v>
      </c>
      <c r="Q1656" t="str">
        <f t="shared" si="384"/>
        <v>NO</v>
      </c>
      <c r="R1656" t="str">
        <f t="shared" si="385"/>
        <v>NO</v>
      </c>
      <c r="T1656" t="s">
        <v>186</v>
      </c>
      <c r="U1656" t="str">
        <f t="shared" si="372"/>
        <v>Concord Ave</v>
      </c>
      <c r="V1656" t="s">
        <v>2609</v>
      </c>
      <c r="W1656" t="str">
        <f t="shared" si="373"/>
        <v>Parker St</v>
      </c>
      <c r="X1656" t="str">
        <f>IF(ISBLANK(S1656),"Intersection","Non-Intersection")</f>
        <v>Intersection</v>
      </c>
      <c r="Y1656" t="s">
        <v>2610</v>
      </c>
      <c r="Z1656" t="str">
        <f t="shared" si="374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375"/>
        <v>40544</v>
      </c>
      <c r="D1657" s="4">
        <f t="shared" si="376"/>
        <v>7.1232876712328766E-2</v>
      </c>
      <c r="E1657" s="3">
        <f t="shared" si="377"/>
        <v>2011</v>
      </c>
      <c r="F1657" s="3">
        <f t="shared" si="378"/>
        <v>1</v>
      </c>
      <c r="G1657" s="3">
        <f t="shared" si="379"/>
        <v>27</v>
      </c>
      <c r="H1657" s="3">
        <f t="shared" si="380"/>
        <v>9</v>
      </c>
      <c r="I1657" s="3">
        <f t="shared" si="381"/>
        <v>50</v>
      </c>
      <c r="J1657" s="3">
        <f t="shared" si="382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383"/>
        <v>YES</v>
      </c>
      <c r="Q1657" t="str">
        <f t="shared" si="384"/>
        <v>NO</v>
      </c>
      <c r="R1657" t="str">
        <f t="shared" si="385"/>
        <v>NO</v>
      </c>
      <c r="S1657">
        <v>87</v>
      </c>
      <c r="T1657" t="s">
        <v>533</v>
      </c>
      <c r="U1657" t="str">
        <f t="shared" si="372"/>
        <v>Cherry St</v>
      </c>
      <c r="V1657" t="s">
        <v>216</v>
      </c>
      <c r="W1657" t="str">
        <f t="shared" si="373"/>
        <v>Washington Ave</v>
      </c>
      <c r="X1657" t="str">
        <f>IF(ISBLANK(S1657),"Intersection","Non-Intersection")</f>
        <v>Non-Intersection</v>
      </c>
      <c r="Y1657" t="s">
        <v>2612</v>
      </c>
      <c r="Z1657" t="str">
        <f t="shared" si="374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375"/>
        <v>40544</v>
      </c>
      <c r="D1658" s="4">
        <f t="shared" si="376"/>
        <v>7.1232876712328766E-2</v>
      </c>
      <c r="E1658" s="3">
        <f t="shared" si="377"/>
        <v>2011</v>
      </c>
      <c r="F1658" s="3">
        <f t="shared" si="378"/>
        <v>1</v>
      </c>
      <c r="G1658" s="3">
        <f t="shared" si="379"/>
        <v>27</v>
      </c>
      <c r="H1658" s="3">
        <f t="shared" si="380"/>
        <v>4</v>
      </c>
      <c r="I1658" s="3">
        <f t="shared" si="381"/>
        <v>30</v>
      </c>
      <c r="J1658" s="3">
        <f t="shared" si="382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383"/>
        <v>YES</v>
      </c>
      <c r="Q1658" t="str">
        <f t="shared" si="384"/>
        <v>NO</v>
      </c>
      <c r="R1658" t="str">
        <f t="shared" si="385"/>
        <v>NO</v>
      </c>
      <c r="S1658">
        <v>13</v>
      </c>
      <c r="T1658" t="s">
        <v>1823</v>
      </c>
      <c r="U1658" t="str">
        <f t="shared" si="372"/>
        <v>Walden Square Rd</v>
      </c>
      <c r="W1658" t="str">
        <f t="shared" si="373"/>
        <v/>
      </c>
      <c r="X1658" t="str">
        <f>IF(ISBLANK(S1658),"Intersection","Non-Intersection")</f>
        <v>Non-Intersection</v>
      </c>
      <c r="Y1658" t="s">
        <v>2614</v>
      </c>
      <c r="Z1658" t="str">
        <f t="shared" si="374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375"/>
        <v>40544</v>
      </c>
      <c r="D1659" s="4">
        <f t="shared" si="376"/>
        <v>7.1232876712328766E-2</v>
      </c>
      <c r="E1659" s="3">
        <f t="shared" si="377"/>
        <v>2011</v>
      </c>
      <c r="F1659" s="3">
        <f t="shared" si="378"/>
        <v>1</v>
      </c>
      <c r="G1659" s="3">
        <f t="shared" si="379"/>
        <v>27</v>
      </c>
      <c r="H1659" s="3">
        <f t="shared" si="380"/>
        <v>8</v>
      </c>
      <c r="I1659" s="3">
        <f t="shared" si="381"/>
        <v>55</v>
      </c>
      <c r="J1659" s="3">
        <f t="shared" si="382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383"/>
        <v>YES</v>
      </c>
      <c r="Q1659" t="str">
        <f t="shared" si="384"/>
        <v>NO</v>
      </c>
      <c r="R1659" t="str">
        <f t="shared" si="385"/>
        <v>NO</v>
      </c>
      <c r="T1659" t="s">
        <v>685</v>
      </c>
      <c r="U1659" t="str">
        <f t="shared" si="372"/>
        <v>Warren St</v>
      </c>
      <c r="V1659" t="s">
        <v>484</v>
      </c>
      <c r="W1659" t="str">
        <f t="shared" si="373"/>
        <v>Porter St</v>
      </c>
      <c r="X1659" t="str">
        <f>IF(ISBLANK(S1659),"Intersection","Non-Intersection")</f>
        <v>Intersection</v>
      </c>
      <c r="Y1659" t="s">
        <v>2616</v>
      </c>
      <c r="Z1659" t="str">
        <f t="shared" si="374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375"/>
        <v>40544</v>
      </c>
      <c r="D1660" s="4">
        <f t="shared" si="376"/>
        <v>7.1232876712328766E-2</v>
      </c>
      <c r="E1660" s="3">
        <f t="shared" si="377"/>
        <v>2011</v>
      </c>
      <c r="F1660" s="3">
        <f t="shared" si="378"/>
        <v>1</v>
      </c>
      <c r="G1660" s="3">
        <f t="shared" si="379"/>
        <v>27</v>
      </c>
      <c r="H1660" s="3">
        <f t="shared" si="380"/>
        <v>19</v>
      </c>
      <c r="I1660" s="3">
        <f t="shared" si="381"/>
        <v>9</v>
      </c>
      <c r="J1660" s="3">
        <f t="shared" si="382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383"/>
        <v>YES</v>
      </c>
      <c r="Q1660" t="str">
        <f t="shared" si="384"/>
        <v>NO</v>
      </c>
      <c r="R1660" t="str">
        <f t="shared" si="385"/>
        <v>YES</v>
      </c>
      <c r="T1660" t="s">
        <v>14</v>
      </c>
      <c r="U1660" t="str">
        <f t="shared" si="372"/>
        <v>Massachusetts Ave</v>
      </c>
      <c r="V1660" t="s">
        <v>119</v>
      </c>
      <c r="W1660" t="str">
        <f t="shared" si="373"/>
        <v>Albany St</v>
      </c>
      <c r="X1660" t="str">
        <f>IF(ISBLANK(S1660),"Intersection","Non-Intersection")</f>
        <v>Intersection</v>
      </c>
      <c r="Y1660" t="s">
        <v>247</v>
      </c>
      <c r="Z1660" t="str">
        <f t="shared" si="374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375"/>
        <v>40544</v>
      </c>
      <c r="D1661" s="4">
        <f t="shared" si="376"/>
        <v>7.1232876712328766E-2</v>
      </c>
      <c r="E1661" s="3">
        <f t="shared" si="377"/>
        <v>2011</v>
      </c>
      <c r="F1661" s="3">
        <f t="shared" si="378"/>
        <v>1</v>
      </c>
      <c r="G1661" s="3">
        <f t="shared" si="379"/>
        <v>27</v>
      </c>
      <c r="H1661" s="3">
        <f t="shared" si="380"/>
        <v>12</v>
      </c>
      <c r="I1661" s="3">
        <f t="shared" si="381"/>
        <v>0</v>
      </c>
      <c r="J1661" s="3">
        <f t="shared" si="382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383"/>
        <v>YES</v>
      </c>
      <c r="Q1661" t="str">
        <f t="shared" si="384"/>
        <v>NO</v>
      </c>
      <c r="R1661" t="str">
        <f t="shared" si="385"/>
        <v>NO</v>
      </c>
      <c r="T1661" t="s">
        <v>277</v>
      </c>
      <c r="U1661" t="str">
        <f t="shared" si="372"/>
        <v>Lawn St</v>
      </c>
      <c r="V1661" t="s">
        <v>2038</v>
      </c>
      <c r="W1661" t="str">
        <f t="shared" si="373"/>
        <v>May St</v>
      </c>
      <c r="X1661" t="str">
        <f>IF(ISBLANK(S1661),"Intersection","Non-Intersection")</f>
        <v>Intersection</v>
      </c>
      <c r="Y1661" t="s">
        <v>2618</v>
      </c>
      <c r="Z1661" t="str">
        <f t="shared" si="374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375"/>
        <v>40544</v>
      </c>
      <c r="D1662" s="4">
        <f t="shared" si="376"/>
        <v>7.3972602739726029E-2</v>
      </c>
      <c r="E1662" s="3">
        <f t="shared" si="377"/>
        <v>2011</v>
      </c>
      <c r="F1662" s="3">
        <f t="shared" si="378"/>
        <v>1</v>
      </c>
      <c r="G1662" s="3">
        <f t="shared" si="379"/>
        <v>28</v>
      </c>
      <c r="H1662" s="3">
        <f t="shared" si="380"/>
        <v>7</v>
      </c>
      <c r="I1662" s="3">
        <f t="shared" si="381"/>
        <v>30</v>
      </c>
      <c r="J1662" s="3">
        <f t="shared" si="382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383"/>
        <v>YES</v>
      </c>
      <c r="Q1662" t="str">
        <f t="shared" si="384"/>
        <v>NO</v>
      </c>
      <c r="R1662" t="str">
        <f t="shared" si="385"/>
        <v>NO</v>
      </c>
      <c r="T1662" t="s">
        <v>2620</v>
      </c>
      <c r="U1662" t="str">
        <f t="shared" si="372"/>
        <v>Leonard Ave</v>
      </c>
      <c r="V1662" t="s">
        <v>19</v>
      </c>
      <c r="W1662" t="str">
        <f t="shared" si="373"/>
        <v>Cambridge St</v>
      </c>
      <c r="X1662" t="str">
        <f>IF(ISBLANK(S1662),"Intersection","Non-Intersection")</f>
        <v>Intersection</v>
      </c>
      <c r="Y1662" t="s">
        <v>2621</v>
      </c>
      <c r="Z1662" t="str">
        <f t="shared" si="374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375"/>
        <v>40544</v>
      </c>
      <c r="D1663" s="4">
        <f t="shared" si="376"/>
        <v>7.3972602739726029E-2</v>
      </c>
      <c r="E1663" s="3">
        <f t="shared" si="377"/>
        <v>2011</v>
      </c>
      <c r="F1663" s="3">
        <f t="shared" si="378"/>
        <v>1</v>
      </c>
      <c r="G1663" s="3">
        <f t="shared" si="379"/>
        <v>28</v>
      </c>
      <c r="H1663" s="3">
        <f t="shared" si="380"/>
        <v>8</v>
      </c>
      <c r="I1663" s="3">
        <f t="shared" si="381"/>
        <v>29</v>
      </c>
      <c r="J1663" s="3">
        <f t="shared" si="382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383"/>
        <v>YES</v>
      </c>
      <c r="Q1663" t="str">
        <f t="shared" si="384"/>
        <v>NO</v>
      </c>
      <c r="R1663" t="str">
        <f t="shared" si="385"/>
        <v>NO</v>
      </c>
      <c r="T1663" t="s">
        <v>2623</v>
      </c>
      <c r="U1663" t="str">
        <f t="shared" si="372"/>
        <v>Foster St</v>
      </c>
      <c r="V1663" t="s">
        <v>1525</v>
      </c>
      <c r="W1663" t="str">
        <f t="shared" si="373"/>
        <v>Lowell St</v>
      </c>
      <c r="X1663" t="str">
        <f>IF(ISBLANK(S1663),"Intersection","Non-Intersection")</f>
        <v>Intersection</v>
      </c>
      <c r="Y1663" t="s">
        <v>2624</v>
      </c>
      <c r="Z1663" t="str">
        <f t="shared" si="374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375"/>
        <v>40544</v>
      </c>
      <c r="D1664" s="4">
        <f t="shared" si="376"/>
        <v>7.3972602739726029E-2</v>
      </c>
      <c r="E1664" s="3">
        <f t="shared" si="377"/>
        <v>2011</v>
      </c>
      <c r="F1664" s="3">
        <f t="shared" si="378"/>
        <v>1</v>
      </c>
      <c r="G1664" s="3">
        <f t="shared" si="379"/>
        <v>28</v>
      </c>
      <c r="H1664" s="3">
        <f t="shared" si="380"/>
        <v>13</v>
      </c>
      <c r="I1664" s="3">
        <f t="shared" si="381"/>
        <v>22</v>
      </c>
      <c r="J1664" s="3">
        <f t="shared" si="382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383"/>
        <v>YES</v>
      </c>
      <c r="Q1664" t="str">
        <f t="shared" si="384"/>
        <v>NO</v>
      </c>
      <c r="R1664" t="str">
        <f t="shared" si="385"/>
        <v>NO</v>
      </c>
      <c r="S1664">
        <v>3</v>
      </c>
      <c r="T1664" t="s">
        <v>224</v>
      </c>
      <c r="U1664" t="str">
        <f t="shared" si="372"/>
        <v>Sumner Rd</v>
      </c>
      <c r="W1664" t="str">
        <f t="shared" si="373"/>
        <v/>
      </c>
      <c r="X1664" t="str">
        <f>IF(ISBLANK(S1664),"Intersection","Non-Intersection")</f>
        <v>Non-Intersection</v>
      </c>
      <c r="Y1664" t="s">
        <v>2626</v>
      </c>
      <c r="Z1664" t="str">
        <f t="shared" si="374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375"/>
        <v>40544</v>
      </c>
      <c r="D1665" s="4">
        <f t="shared" si="376"/>
        <v>7.3972602739726029E-2</v>
      </c>
      <c r="E1665" s="3">
        <f t="shared" si="377"/>
        <v>2011</v>
      </c>
      <c r="F1665" s="3">
        <f t="shared" si="378"/>
        <v>1</v>
      </c>
      <c r="G1665" s="3">
        <f t="shared" si="379"/>
        <v>28</v>
      </c>
      <c r="H1665" s="3">
        <f t="shared" si="380"/>
        <v>16</v>
      </c>
      <c r="I1665" s="3">
        <f t="shared" si="381"/>
        <v>5</v>
      </c>
      <c r="J1665" s="3">
        <f t="shared" si="382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383"/>
        <v>YES</v>
      </c>
      <c r="Q1665" t="str">
        <f t="shared" si="384"/>
        <v>NO</v>
      </c>
      <c r="R1665" t="str">
        <f t="shared" si="385"/>
        <v>NO</v>
      </c>
      <c r="T1665" t="s">
        <v>14</v>
      </c>
      <c r="U1665" t="str">
        <f t="shared" si="372"/>
        <v>Massachusetts Ave</v>
      </c>
      <c r="V1665" t="s">
        <v>754</v>
      </c>
      <c r="W1665" t="str">
        <f t="shared" si="373"/>
        <v>Clarendon Ave</v>
      </c>
      <c r="X1665" t="str">
        <f>IF(ISBLANK(S1665),"Intersection","Non-Intersection")</f>
        <v>Intersection</v>
      </c>
      <c r="Y1665" t="s">
        <v>1965</v>
      </c>
      <c r="Z1665" t="str">
        <f t="shared" si="374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375"/>
        <v>40544</v>
      </c>
      <c r="D1666" s="4">
        <f t="shared" si="376"/>
        <v>7.3972602739726029E-2</v>
      </c>
      <c r="E1666" s="3">
        <f t="shared" si="377"/>
        <v>2011</v>
      </c>
      <c r="F1666" s="3">
        <f t="shared" si="378"/>
        <v>1</v>
      </c>
      <c r="G1666" s="3">
        <f t="shared" si="379"/>
        <v>28</v>
      </c>
      <c r="H1666" s="3">
        <f t="shared" si="380"/>
        <v>16</v>
      </c>
      <c r="I1666" s="3">
        <f t="shared" si="381"/>
        <v>30</v>
      </c>
      <c r="J1666" s="3">
        <f t="shared" si="382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383"/>
        <v>YES</v>
      </c>
      <c r="Q1666" t="str">
        <f t="shared" si="384"/>
        <v>NO</v>
      </c>
      <c r="R1666" t="str">
        <f t="shared" si="385"/>
        <v>NO</v>
      </c>
      <c r="T1666" t="s">
        <v>509</v>
      </c>
      <c r="U1666" t="str">
        <f t="shared" si="372"/>
        <v>Green St</v>
      </c>
      <c r="V1666" t="s">
        <v>42</v>
      </c>
      <c r="W1666" t="str">
        <f t="shared" si="373"/>
        <v>Putnam Ave</v>
      </c>
      <c r="X1666" t="str">
        <f>IF(ISBLANK(S1666),"Intersection","Non-Intersection")</f>
        <v>Intersection</v>
      </c>
      <c r="Y1666" t="s">
        <v>2628</v>
      </c>
      <c r="Z1666" t="str">
        <f t="shared" si="374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375"/>
        <v>40544</v>
      </c>
      <c r="D1667" s="4">
        <f t="shared" si="376"/>
        <v>7.3972602739726029E-2</v>
      </c>
      <c r="E1667" s="3">
        <f t="shared" si="377"/>
        <v>2011</v>
      </c>
      <c r="F1667" s="3">
        <f t="shared" si="378"/>
        <v>1</v>
      </c>
      <c r="G1667" s="3">
        <f t="shared" si="379"/>
        <v>28</v>
      </c>
      <c r="H1667" s="3">
        <f t="shared" si="380"/>
        <v>17</v>
      </c>
      <c r="I1667" s="3">
        <f t="shared" si="381"/>
        <v>25</v>
      </c>
      <c r="J1667" s="3">
        <f t="shared" si="382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383"/>
        <v>YES</v>
      </c>
      <c r="Q1667" t="str">
        <f t="shared" si="384"/>
        <v>NO</v>
      </c>
      <c r="R1667" t="str">
        <f t="shared" si="385"/>
        <v>NO</v>
      </c>
      <c r="T1667" t="s">
        <v>710</v>
      </c>
      <c r="U1667" t="str">
        <f t="shared" ref="U1667:U1730" si="386">TRIM(PROPER(T1667))</f>
        <v>Fresh Pond Pky</v>
      </c>
      <c r="W1667" t="str">
        <f t="shared" ref="W1667:W1730" si="387">TRIM(PROPER(V1667))</f>
        <v/>
      </c>
      <c r="X1667" t="str">
        <f>IF(ISBLANK(S1667),"Intersection","Non-Intersection")</f>
        <v>Intersection</v>
      </c>
      <c r="Y1667" t="s">
        <v>726</v>
      </c>
      <c r="Z1667" t="str">
        <f t="shared" ref="Z1667:Z1730" si="388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375"/>
        <v>40544</v>
      </c>
      <c r="D1668" s="4">
        <f t="shared" si="376"/>
        <v>7.3972602739726029E-2</v>
      </c>
      <c r="E1668" s="3">
        <f t="shared" si="377"/>
        <v>2011</v>
      </c>
      <c r="F1668" s="3">
        <f t="shared" si="378"/>
        <v>1</v>
      </c>
      <c r="G1668" s="3">
        <f t="shared" si="379"/>
        <v>28</v>
      </c>
      <c r="H1668" s="3">
        <f t="shared" si="380"/>
        <v>20</v>
      </c>
      <c r="I1668" s="3">
        <f t="shared" si="381"/>
        <v>42</v>
      </c>
      <c r="J1668" s="3">
        <f t="shared" si="382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383"/>
        <v>YES</v>
      </c>
      <c r="Q1668" t="str">
        <f t="shared" si="384"/>
        <v>NO</v>
      </c>
      <c r="R1668" t="str">
        <f t="shared" si="385"/>
        <v>NO</v>
      </c>
      <c r="T1668" t="s">
        <v>14</v>
      </c>
      <c r="U1668" t="str">
        <f t="shared" si="386"/>
        <v>Massachusetts Ave</v>
      </c>
      <c r="V1668" t="s">
        <v>252</v>
      </c>
      <c r="W1668" t="str">
        <f t="shared" si="387"/>
        <v>Walden St</v>
      </c>
      <c r="X1668" t="str">
        <f>IF(ISBLANK(S1668),"Intersection","Non-Intersection")</f>
        <v>Intersection</v>
      </c>
      <c r="Y1668" t="s">
        <v>2600</v>
      </c>
      <c r="Z1668" t="str">
        <f t="shared" si="388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375"/>
        <v>40544</v>
      </c>
      <c r="D1669" s="4">
        <f t="shared" si="376"/>
        <v>7.3972602739726029E-2</v>
      </c>
      <c r="E1669" s="3">
        <f t="shared" si="377"/>
        <v>2011</v>
      </c>
      <c r="F1669" s="3">
        <f t="shared" si="378"/>
        <v>1</v>
      </c>
      <c r="G1669" s="3">
        <f t="shared" si="379"/>
        <v>28</v>
      </c>
      <c r="H1669" s="3">
        <f t="shared" si="380"/>
        <v>9</v>
      </c>
      <c r="I1669" s="3">
        <f t="shared" si="381"/>
        <v>59</v>
      </c>
      <c r="J1669" s="3">
        <f t="shared" si="382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383"/>
        <v>YES</v>
      </c>
      <c r="Q1669" t="str">
        <f t="shared" si="384"/>
        <v>NO</v>
      </c>
      <c r="R1669" t="str">
        <f t="shared" si="385"/>
        <v>NO</v>
      </c>
      <c r="S1669">
        <v>10</v>
      </c>
      <c r="T1669" t="s">
        <v>2629</v>
      </c>
      <c r="U1669" t="str">
        <f t="shared" si="386"/>
        <v>Soden St</v>
      </c>
      <c r="W1669" t="str">
        <f t="shared" si="387"/>
        <v/>
      </c>
      <c r="X1669" t="str">
        <f>IF(ISBLANK(S1669),"Intersection","Non-Intersection")</f>
        <v>Non-Intersection</v>
      </c>
      <c r="Y1669" t="s">
        <v>2630</v>
      </c>
      <c r="Z1669" t="str">
        <f t="shared" si="388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375"/>
        <v>40544</v>
      </c>
      <c r="D1670" s="4">
        <f t="shared" si="376"/>
        <v>7.6712328767123292E-2</v>
      </c>
      <c r="E1670" s="3">
        <f t="shared" si="377"/>
        <v>2011</v>
      </c>
      <c r="F1670" s="3">
        <f t="shared" si="378"/>
        <v>1</v>
      </c>
      <c r="G1670" s="3">
        <f t="shared" si="379"/>
        <v>29</v>
      </c>
      <c r="H1670" s="3">
        <f t="shared" si="380"/>
        <v>5</v>
      </c>
      <c r="I1670" s="3">
        <f t="shared" si="381"/>
        <v>58</v>
      </c>
      <c r="J1670" s="3">
        <f t="shared" si="382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383"/>
        <v>YES</v>
      </c>
      <c r="Q1670" t="str">
        <f t="shared" si="384"/>
        <v>NO</v>
      </c>
      <c r="R1670" t="str">
        <f t="shared" si="385"/>
        <v>NO</v>
      </c>
      <c r="T1670" t="s">
        <v>101</v>
      </c>
      <c r="U1670" t="str">
        <f t="shared" si="386"/>
        <v>Columbia St</v>
      </c>
      <c r="V1670" t="s">
        <v>105</v>
      </c>
      <c r="W1670" t="str">
        <f t="shared" si="387"/>
        <v>Broadway</v>
      </c>
      <c r="X1670" t="str">
        <f>IF(ISBLANK(S1670),"Intersection","Non-Intersection")</f>
        <v>Intersection</v>
      </c>
      <c r="Y1670" t="s">
        <v>2632</v>
      </c>
      <c r="Z1670" t="str">
        <f t="shared" si="388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375"/>
        <v>40544</v>
      </c>
      <c r="D1671" s="4">
        <f t="shared" si="376"/>
        <v>7.6712328767123292E-2</v>
      </c>
      <c r="E1671" s="3">
        <f t="shared" si="377"/>
        <v>2011</v>
      </c>
      <c r="F1671" s="3">
        <f t="shared" si="378"/>
        <v>1</v>
      </c>
      <c r="G1671" s="3">
        <f t="shared" si="379"/>
        <v>29</v>
      </c>
      <c r="H1671" s="3">
        <f t="shared" si="380"/>
        <v>7</v>
      </c>
      <c r="I1671" s="3">
        <f t="shared" si="381"/>
        <v>41</v>
      </c>
      <c r="J1671" s="3">
        <f t="shared" si="382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383"/>
        <v>YES</v>
      </c>
      <c r="Q1671" t="str">
        <f t="shared" si="384"/>
        <v>NO</v>
      </c>
      <c r="R1671" t="str">
        <f t="shared" si="385"/>
        <v>NO</v>
      </c>
      <c r="T1671" t="s">
        <v>105</v>
      </c>
      <c r="U1671" t="str">
        <f t="shared" si="386"/>
        <v>Broadway</v>
      </c>
      <c r="V1671" t="s">
        <v>101</v>
      </c>
      <c r="W1671" t="str">
        <f t="shared" si="387"/>
        <v>Columbia St</v>
      </c>
      <c r="X1671" t="str">
        <f>IF(ISBLANK(S1671),"Intersection","Non-Intersection")</f>
        <v>Intersection</v>
      </c>
      <c r="Y1671" t="s">
        <v>1403</v>
      </c>
      <c r="Z1671" t="str">
        <f t="shared" si="388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375"/>
        <v>40544</v>
      </c>
      <c r="D1672" s="4">
        <f t="shared" si="376"/>
        <v>7.6712328767123292E-2</v>
      </c>
      <c r="E1672" s="3">
        <f t="shared" si="377"/>
        <v>2011</v>
      </c>
      <c r="F1672" s="3">
        <f t="shared" si="378"/>
        <v>1</v>
      </c>
      <c r="G1672" s="3">
        <f t="shared" si="379"/>
        <v>29</v>
      </c>
      <c r="H1672" s="3">
        <f t="shared" si="380"/>
        <v>12</v>
      </c>
      <c r="I1672" s="3">
        <f t="shared" si="381"/>
        <v>20</v>
      </c>
      <c r="J1672" s="3">
        <f t="shared" si="382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383"/>
        <v>YES</v>
      </c>
      <c r="Q1672" t="str">
        <f t="shared" si="384"/>
        <v>NO</v>
      </c>
      <c r="R1672" t="str">
        <f t="shared" si="385"/>
        <v>NO</v>
      </c>
      <c r="T1672" t="s">
        <v>914</v>
      </c>
      <c r="U1672" t="str">
        <f t="shared" si="386"/>
        <v>Hammond St</v>
      </c>
      <c r="V1672" t="s">
        <v>2633</v>
      </c>
      <c r="W1672" t="str">
        <f t="shared" si="387"/>
        <v>Gorham St</v>
      </c>
      <c r="X1672" t="str">
        <f>IF(ISBLANK(S1672),"Intersection","Non-Intersection")</f>
        <v>Intersection</v>
      </c>
      <c r="Y1672" t="s">
        <v>2634</v>
      </c>
      <c r="Z1672" t="str">
        <f t="shared" si="388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375"/>
        <v>40544</v>
      </c>
      <c r="D1673" s="4">
        <f t="shared" si="376"/>
        <v>7.6712328767123292E-2</v>
      </c>
      <c r="E1673" s="3">
        <f t="shared" si="377"/>
        <v>2011</v>
      </c>
      <c r="F1673" s="3">
        <f t="shared" si="378"/>
        <v>1</v>
      </c>
      <c r="G1673" s="3">
        <f t="shared" si="379"/>
        <v>29</v>
      </c>
      <c r="H1673" s="3">
        <f t="shared" si="380"/>
        <v>13</v>
      </c>
      <c r="I1673" s="3">
        <f t="shared" si="381"/>
        <v>30</v>
      </c>
      <c r="J1673" s="3">
        <f t="shared" si="382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383"/>
        <v>YES</v>
      </c>
      <c r="Q1673" t="str">
        <f t="shared" si="384"/>
        <v>NO</v>
      </c>
      <c r="R1673" t="str">
        <f t="shared" si="385"/>
        <v>NO</v>
      </c>
      <c r="S1673">
        <v>1008</v>
      </c>
      <c r="T1673" t="s">
        <v>14</v>
      </c>
      <c r="U1673" t="str">
        <f t="shared" si="386"/>
        <v>Massachusetts Ave</v>
      </c>
      <c r="W1673" t="str">
        <f t="shared" si="387"/>
        <v/>
      </c>
      <c r="X1673" t="str">
        <f>IF(ISBLANK(S1673),"Intersection","Non-Intersection")</f>
        <v>Non-Intersection</v>
      </c>
      <c r="Y1673" t="s">
        <v>1679</v>
      </c>
      <c r="Z1673" t="str">
        <f t="shared" si="388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375"/>
        <v>40544</v>
      </c>
      <c r="D1674" s="4">
        <f t="shared" si="376"/>
        <v>7.6712328767123292E-2</v>
      </c>
      <c r="E1674" s="3">
        <f t="shared" si="377"/>
        <v>2011</v>
      </c>
      <c r="F1674" s="3">
        <f t="shared" si="378"/>
        <v>1</v>
      </c>
      <c r="G1674" s="3">
        <f t="shared" si="379"/>
        <v>29</v>
      </c>
      <c r="H1674" s="3">
        <f t="shared" si="380"/>
        <v>20</v>
      </c>
      <c r="I1674" s="3">
        <f t="shared" si="381"/>
        <v>29</v>
      </c>
      <c r="J1674" s="3">
        <f t="shared" si="382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383"/>
        <v>YES</v>
      </c>
      <c r="Q1674" t="str">
        <f t="shared" si="384"/>
        <v>NO</v>
      </c>
      <c r="R1674" t="str">
        <f t="shared" si="385"/>
        <v>NO</v>
      </c>
      <c r="T1674" t="s">
        <v>1502</v>
      </c>
      <c r="U1674" t="str">
        <f t="shared" si="386"/>
        <v>Gore St</v>
      </c>
      <c r="V1674" t="s">
        <v>147</v>
      </c>
      <c r="W1674" t="str">
        <f t="shared" si="387"/>
        <v>Sixth St</v>
      </c>
      <c r="X1674" t="str">
        <f>IF(ISBLANK(S1674),"Intersection","Non-Intersection")</f>
        <v>Intersection</v>
      </c>
      <c r="Y1674" t="s">
        <v>2636</v>
      </c>
      <c r="Z1674" t="str">
        <f t="shared" si="388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375"/>
        <v>40544</v>
      </c>
      <c r="D1675" s="4">
        <f t="shared" si="376"/>
        <v>7.6712328767123292E-2</v>
      </c>
      <c r="E1675" s="3">
        <f t="shared" si="377"/>
        <v>2011</v>
      </c>
      <c r="F1675" s="3">
        <f t="shared" si="378"/>
        <v>1</v>
      </c>
      <c r="G1675" s="3">
        <f t="shared" si="379"/>
        <v>29</v>
      </c>
      <c r="H1675" s="3">
        <f t="shared" si="380"/>
        <v>21</v>
      </c>
      <c r="I1675" s="3">
        <f t="shared" si="381"/>
        <v>59</v>
      </c>
      <c r="J1675" s="3">
        <f t="shared" si="382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383"/>
        <v>YES</v>
      </c>
      <c r="Q1675" t="str">
        <f t="shared" si="384"/>
        <v>NO</v>
      </c>
      <c r="R1675" t="str">
        <f t="shared" si="385"/>
        <v>NO</v>
      </c>
      <c r="T1675" t="s">
        <v>479</v>
      </c>
      <c r="U1675" t="str">
        <f t="shared" si="386"/>
        <v>Callender St</v>
      </c>
      <c r="V1675" t="s">
        <v>2443</v>
      </c>
      <c r="W1675" t="str">
        <f t="shared" si="387"/>
        <v>Dodge St</v>
      </c>
      <c r="X1675" t="str">
        <f>IF(ISBLANK(S1675),"Intersection","Non-Intersection")</f>
        <v>Intersection</v>
      </c>
      <c r="Y1675" t="s">
        <v>2638</v>
      </c>
      <c r="Z1675" t="str">
        <f t="shared" si="388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375"/>
        <v>40544</v>
      </c>
      <c r="D1676" s="4">
        <f t="shared" si="376"/>
        <v>7.6712328767123292E-2</v>
      </c>
      <c r="E1676" s="3">
        <f t="shared" si="377"/>
        <v>2011</v>
      </c>
      <c r="F1676" s="3">
        <f t="shared" si="378"/>
        <v>1</v>
      </c>
      <c r="G1676" s="3">
        <f t="shared" si="379"/>
        <v>29</v>
      </c>
      <c r="H1676" s="3">
        <f t="shared" si="380"/>
        <v>2</v>
      </c>
      <c r="I1676" s="3">
        <f t="shared" si="381"/>
        <v>33</v>
      </c>
      <c r="J1676" s="3">
        <f t="shared" si="382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383"/>
        <v>YES</v>
      </c>
      <c r="Q1676" t="str">
        <f t="shared" si="384"/>
        <v>NO</v>
      </c>
      <c r="R1676" t="str">
        <f t="shared" si="385"/>
        <v>NO</v>
      </c>
      <c r="T1676" t="s">
        <v>19</v>
      </c>
      <c r="U1676" t="str">
        <f t="shared" si="386"/>
        <v>Cambridge St</v>
      </c>
      <c r="V1676" t="s">
        <v>101</v>
      </c>
      <c r="W1676" t="str">
        <f t="shared" si="387"/>
        <v>Columbia St</v>
      </c>
      <c r="X1676" t="str">
        <f>IF(ISBLANK(S1676),"Intersection","Non-Intersection")</f>
        <v>Intersection</v>
      </c>
      <c r="Y1676" t="s">
        <v>438</v>
      </c>
      <c r="Z1676" t="str">
        <f t="shared" si="388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375"/>
        <v>40544</v>
      </c>
      <c r="D1677" s="4">
        <f t="shared" si="376"/>
        <v>7.6712328767123292E-2</v>
      </c>
      <c r="E1677" s="3">
        <f t="shared" si="377"/>
        <v>2011</v>
      </c>
      <c r="F1677" s="3">
        <f t="shared" si="378"/>
        <v>1</v>
      </c>
      <c r="G1677" s="3">
        <f t="shared" si="379"/>
        <v>29</v>
      </c>
      <c r="H1677" s="3">
        <f t="shared" si="380"/>
        <v>21</v>
      </c>
      <c r="I1677" s="3">
        <f t="shared" si="381"/>
        <v>0</v>
      </c>
      <c r="J1677" s="3">
        <f t="shared" si="382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383"/>
        <v>YES</v>
      </c>
      <c r="Q1677" t="str">
        <f t="shared" si="384"/>
        <v>NO</v>
      </c>
      <c r="R1677" t="str">
        <f t="shared" si="385"/>
        <v>NO</v>
      </c>
      <c r="S1677">
        <v>47</v>
      </c>
      <c r="T1677" t="s">
        <v>104</v>
      </c>
      <c r="U1677" t="str">
        <f t="shared" si="386"/>
        <v>Inman St</v>
      </c>
      <c r="W1677" t="str">
        <f t="shared" si="387"/>
        <v/>
      </c>
      <c r="X1677" t="str">
        <f>IF(ISBLANK(S1677),"Intersection","Non-Intersection")</f>
        <v>Non-Intersection</v>
      </c>
      <c r="Y1677" t="s">
        <v>2640</v>
      </c>
      <c r="Z1677" t="str">
        <f t="shared" si="388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375"/>
        <v>40544</v>
      </c>
      <c r="D1678" s="4">
        <f t="shared" si="376"/>
        <v>7.6712328767123292E-2</v>
      </c>
      <c r="E1678" s="3">
        <f t="shared" si="377"/>
        <v>2011</v>
      </c>
      <c r="F1678" s="3">
        <f t="shared" si="378"/>
        <v>1</v>
      </c>
      <c r="G1678" s="3">
        <f t="shared" si="379"/>
        <v>29</v>
      </c>
      <c r="H1678" s="3">
        <f t="shared" si="380"/>
        <v>18</v>
      </c>
      <c r="I1678" s="3">
        <f t="shared" si="381"/>
        <v>59</v>
      </c>
      <c r="J1678" s="3">
        <f t="shared" si="382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383"/>
        <v>YES</v>
      </c>
      <c r="Q1678" t="str">
        <f t="shared" si="384"/>
        <v>NO</v>
      </c>
      <c r="R1678" t="str">
        <f t="shared" si="385"/>
        <v>NO</v>
      </c>
      <c r="T1678" t="s">
        <v>379</v>
      </c>
      <c r="U1678" t="str">
        <f t="shared" si="386"/>
        <v>Second St</v>
      </c>
      <c r="V1678" t="s">
        <v>60</v>
      </c>
      <c r="W1678" t="str">
        <f t="shared" si="387"/>
        <v>Rogers St</v>
      </c>
      <c r="X1678" t="str">
        <f>IF(ISBLANK(S1678),"Intersection","Non-Intersection")</f>
        <v>Intersection</v>
      </c>
      <c r="Y1678" t="s">
        <v>2642</v>
      </c>
      <c r="Z1678" t="str">
        <f t="shared" si="388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375"/>
        <v>40544</v>
      </c>
      <c r="D1679" s="4">
        <f t="shared" si="376"/>
        <v>7.9452054794520555E-2</v>
      </c>
      <c r="E1679" s="3">
        <f t="shared" si="377"/>
        <v>2011</v>
      </c>
      <c r="F1679" s="3">
        <f t="shared" si="378"/>
        <v>1</v>
      </c>
      <c r="G1679" s="3">
        <f t="shared" si="379"/>
        <v>30</v>
      </c>
      <c r="H1679" s="3">
        <f t="shared" si="380"/>
        <v>16</v>
      </c>
      <c r="I1679" s="3">
        <f t="shared" si="381"/>
        <v>9</v>
      </c>
      <c r="J1679" s="3">
        <f t="shared" si="382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383"/>
        <v>YES</v>
      </c>
      <c r="Q1679" t="str">
        <f t="shared" si="384"/>
        <v>NO</v>
      </c>
      <c r="R1679" t="str">
        <f t="shared" si="385"/>
        <v>NO</v>
      </c>
      <c r="S1679">
        <v>2310</v>
      </c>
      <c r="T1679" t="s">
        <v>14</v>
      </c>
      <c r="U1679" t="str">
        <f t="shared" si="386"/>
        <v>Massachusetts Ave</v>
      </c>
      <c r="W1679" t="str">
        <f t="shared" si="387"/>
        <v/>
      </c>
      <c r="X1679" t="str">
        <f>IF(ISBLANK(S1679),"Intersection","Non-Intersection")</f>
        <v>Non-Intersection</v>
      </c>
      <c r="Y1679" t="s">
        <v>2644</v>
      </c>
      <c r="Z1679" t="str">
        <f t="shared" si="388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375"/>
        <v>40544</v>
      </c>
      <c r="D1680" s="4">
        <f t="shared" si="376"/>
        <v>7.9452054794520555E-2</v>
      </c>
      <c r="E1680" s="3">
        <f t="shared" si="377"/>
        <v>2011</v>
      </c>
      <c r="F1680" s="3">
        <f t="shared" si="378"/>
        <v>1</v>
      </c>
      <c r="G1680" s="3">
        <f t="shared" si="379"/>
        <v>30</v>
      </c>
      <c r="H1680" s="3">
        <f t="shared" si="380"/>
        <v>9</v>
      </c>
      <c r="I1680" s="3">
        <f t="shared" si="381"/>
        <v>30</v>
      </c>
      <c r="J1680" s="3">
        <f t="shared" si="382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383"/>
        <v>YES</v>
      </c>
      <c r="Q1680" t="str">
        <f t="shared" si="384"/>
        <v>NO</v>
      </c>
      <c r="R1680" t="str">
        <f t="shared" si="385"/>
        <v>NO</v>
      </c>
      <c r="T1680" t="s">
        <v>105</v>
      </c>
      <c r="U1680" t="str">
        <f t="shared" si="386"/>
        <v>Broadway</v>
      </c>
      <c r="V1680" t="s">
        <v>796</v>
      </c>
      <c r="W1680" t="str">
        <f t="shared" si="387"/>
        <v>Portland St</v>
      </c>
      <c r="X1680" t="str">
        <f>IF(ISBLANK(S1680),"Intersection","Non-Intersection")</f>
        <v>Intersection</v>
      </c>
      <c r="Y1680" t="s">
        <v>2561</v>
      </c>
      <c r="Z1680" t="str">
        <f t="shared" si="388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375"/>
        <v>40544</v>
      </c>
      <c r="D1681" s="4">
        <f t="shared" si="376"/>
        <v>7.9452054794520555E-2</v>
      </c>
      <c r="E1681" s="3">
        <f t="shared" si="377"/>
        <v>2011</v>
      </c>
      <c r="F1681" s="3">
        <f t="shared" si="378"/>
        <v>1</v>
      </c>
      <c r="G1681" s="3">
        <f t="shared" si="379"/>
        <v>30</v>
      </c>
      <c r="H1681" s="3">
        <f t="shared" si="380"/>
        <v>11</v>
      </c>
      <c r="I1681" s="3">
        <f t="shared" si="381"/>
        <v>29</v>
      </c>
      <c r="J1681" s="3">
        <f t="shared" si="382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383"/>
        <v>YES</v>
      </c>
      <c r="Q1681" t="str">
        <f t="shared" si="384"/>
        <v>NO</v>
      </c>
      <c r="R1681" t="str">
        <f t="shared" si="385"/>
        <v>NO</v>
      </c>
      <c r="S1681">
        <v>1580</v>
      </c>
      <c r="T1681" t="s">
        <v>2646</v>
      </c>
      <c r="U1681" t="str">
        <f t="shared" si="386"/>
        <v>Massachusetts Ave Brdg</v>
      </c>
      <c r="W1681" t="str">
        <f t="shared" si="387"/>
        <v/>
      </c>
      <c r="X1681" t="str">
        <f>IF(ISBLANK(S1681),"Intersection","Non-Intersection")</f>
        <v>Non-Intersection</v>
      </c>
      <c r="Y1681" t="s">
        <v>2647</v>
      </c>
      <c r="Z1681" t="str">
        <f t="shared" si="388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375"/>
        <v>40544</v>
      </c>
      <c r="D1682" s="4">
        <f t="shared" si="376"/>
        <v>7.9452054794520555E-2</v>
      </c>
      <c r="E1682" s="3">
        <f t="shared" si="377"/>
        <v>2011</v>
      </c>
      <c r="F1682" s="3">
        <f t="shared" si="378"/>
        <v>1</v>
      </c>
      <c r="G1682" s="3">
        <f t="shared" si="379"/>
        <v>30</v>
      </c>
      <c r="H1682" s="3">
        <f t="shared" si="380"/>
        <v>18</v>
      </c>
      <c r="I1682" s="3">
        <f t="shared" si="381"/>
        <v>4</v>
      </c>
      <c r="J1682" s="3">
        <f t="shared" si="382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383"/>
        <v>YES</v>
      </c>
      <c r="Q1682" t="str">
        <f t="shared" si="384"/>
        <v>NO</v>
      </c>
      <c r="R1682" t="str">
        <f t="shared" si="385"/>
        <v>NO</v>
      </c>
      <c r="S1682">
        <v>66</v>
      </c>
      <c r="T1682" t="s">
        <v>1520</v>
      </c>
      <c r="U1682" t="str">
        <f t="shared" si="386"/>
        <v>Fayette St</v>
      </c>
      <c r="V1682" t="s">
        <v>19</v>
      </c>
      <c r="W1682" t="str">
        <f t="shared" si="387"/>
        <v>Cambridge St</v>
      </c>
      <c r="X1682" t="str">
        <f>IF(ISBLANK(S1682),"Intersection","Non-Intersection")</f>
        <v>Non-Intersection</v>
      </c>
      <c r="Y1682" t="s">
        <v>2648</v>
      </c>
      <c r="Z1682" t="str">
        <f t="shared" si="388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375"/>
        <v>40544</v>
      </c>
      <c r="D1683" s="4">
        <f t="shared" si="376"/>
        <v>7.9452054794520555E-2</v>
      </c>
      <c r="E1683" s="3">
        <f t="shared" si="377"/>
        <v>2011</v>
      </c>
      <c r="F1683" s="3">
        <f t="shared" si="378"/>
        <v>1</v>
      </c>
      <c r="G1683" s="3">
        <f t="shared" si="379"/>
        <v>30</v>
      </c>
      <c r="H1683" s="3">
        <f t="shared" si="380"/>
        <v>8</v>
      </c>
      <c r="I1683" s="3">
        <f t="shared" si="381"/>
        <v>0</v>
      </c>
      <c r="J1683" s="3">
        <f t="shared" si="382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383"/>
        <v>YES</v>
      </c>
      <c r="Q1683" t="str">
        <f t="shared" si="384"/>
        <v>NO</v>
      </c>
      <c r="R1683" t="str">
        <f t="shared" si="385"/>
        <v>NO</v>
      </c>
      <c r="T1683" t="s">
        <v>186</v>
      </c>
      <c r="U1683" t="str">
        <f t="shared" si="386"/>
        <v>Concord Ave</v>
      </c>
      <c r="V1683" t="s">
        <v>2650</v>
      </c>
      <c r="W1683" t="str">
        <f t="shared" si="387"/>
        <v>Royal Ave</v>
      </c>
      <c r="X1683" t="str">
        <f>IF(ISBLANK(S1683),"Intersection","Non-Intersection")</f>
        <v>Intersection</v>
      </c>
      <c r="Y1683" t="s">
        <v>2651</v>
      </c>
      <c r="Z1683" t="str">
        <f t="shared" si="388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375"/>
        <v>40544</v>
      </c>
      <c r="D1684" s="4">
        <f t="shared" si="376"/>
        <v>7.9452054794520555E-2</v>
      </c>
      <c r="E1684" s="3">
        <f t="shared" si="377"/>
        <v>2011</v>
      </c>
      <c r="F1684" s="3">
        <f t="shared" si="378"/>
        <v>1</v>
      </c>
      <c r="G1684" s="3">
        <f t="shared" si="379"/>
        <v>30</v>
      </c>
      <c r="H1684" s="3">
        <f t="shared" si="380"/>
        <v>7</v>
      </c>
      <c r="I1684" s="3">
        <f t="shared" si="381"/>
        <v>54</v>
      </c>
      <c r="J1684" s="3">
        <f t="shared" si="382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383"/>
        <v>NO</v>
      </c>
      <c r="Q1684" t="str">
        <f t="shared" si="384"/>
        <v>NO</v>
      </c>
      <c r="R1684" t="str">
        <f t="shared" si="385"/>
        <v>NO</v>
      </c>
      <c r="T1684" t="s">
        <v>365</v>
      </c>
      <c r="U1684" t="str">
        <f t="shared" si="386"/>
        <v>Hurley St</v>
      </c>
      <c r="V1684" t="s">
        <v>379</v>
      </c>
      <c r="W1684" t="str">
        <f t="shared" si="387"/>
        <v>Second St</v>
      </c>
      <c r="X1684" t="str">
        <f>IF(ISBLANK(S1684),"Intersection","Non-Intersection")</f>
        <v>Intersection</v>
      </c>
      <c r="Y1684" t="s">
        <v>2653</v>
      </c>
      <c r="Z1684" t="str">
        <f t="shared" si="388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375"/>
        <v>40544</v>
      </c>
      <c r="D1685" s="4">
        <f t="shared" si="376"/>
        <v>8.2191780821917804E-2</v>
      </c>
      <c r="E1685" s="3">
        <f t="shared" si="377"/>
        <v>2011</v>
      </c>
      <c r="F1685" s="3">
        <f t="shared" si="378"/>
        <v>1</v>
      </c>
      <c r="G1685" s="3">
        <f t="shared" si="379"/>
        <v>31</v>
      </c>
      <c r="H1685" s="3">
        <f t="shared" si="380"/>
        <v>18</v>
      </c>
      <c r="I1685" s="3">
        <f t="shared" si="381"/>
        <v>30</v>
      </c>
      <c r="J1685" s="3">
        <f t="shared" si="382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383"/>
        <v>YES</v>
      </c>
      <c r="Q1685" t="str">
        <f t="shared" si="384"/>
        <v>NO</v>
      </c>
      <c r="R1685" t="str">
        <f t="shared" si="385"/>
        <v>NO</v>
      </c>
      <c r="S1685">
        <v>200</v>
      </c>
      <c r="T1685" t="s">
        <v>74</v>
      </c>
      <c r="U1685" t="str">
        <f t="shared" si="386"/>
        <v>Hampshire St</v>
      </c>
      <c r="W1685" t="str">
        <f t="shared" si="387"/>
        <v/>
      </c>
      <c r="X1685" t="str">
        <f>IF(ISBLANK(S1685),"Intersection","Non-Intersection")</f>
        <v>Non-Intersection</v>
      </c>
      <c r="Y1685" t="s">
        <v>2655</v>
      </c>
      <c r="Z1685" t="str">
        <f t="shared" si="388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375"/>
        <v>40544</v>
      </c>
      <c r="D1686" s="4">
        <f t="shared" si="376"/>
        <v>8.2191780821917804E-2</v>
      </c>
      <c r="E1686" s="3">
        <f t="shared" si="377"/>
        <v>2011</v>
      </c>
      <c r="F1686" s="3">
        <f t="shared" si="378"/>
        <v>1</v>
      </c>
      <c r="G1686" s="3">
        <f t="shared" si="379"/>
        <v>31</v>
      </c>
      <c r="H1686" s="3">
        <f t="shared" si="380"/>
        <v>12</v>
      </c>
      <c r="I1686" s="3">
        <f t="shared" si="381"/>
        <v>59</v>
      </c>
      <c r="J1686" s="3">
        <f t="shared" si="382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383"/>
        <v>YES</v>
      </c>
      <c r="Q1686" t="str">
        <f t="shared" si="384"/>
        <v>NO</v>
      </c>
      <c r="R1686" t="str">
        <f t="shared" si="385"/>
        <v>NO</v>
      </c>
      <c r="T1686" t="s">
        <v>105</v>
      </c>
      <c r="U1686" t="str">
        <f t="shared" si="386"/>
        <v>Broadway</v>
      </c>
      <c r="V1686" t="s">
        <v>2657</v>
      </c>
      <c r="W1686" t="str">
        <f t="shared" si="387"/>
        <v>Quincy Sq</v>
      </c>
      <c r="X1686" t="str">
        <f>IF(ISBLANK(S1686),"Intersection","Non-Intersection")</f>
        <v>Intersection</v>
      </c>
      <c r="Y1686" t="s">
        <v>2658</v>
      </c>
      <c r="Z1686" t="str">
        <f t="shared" si="388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375"/>
        <v>40544</v>
      </c>
      <c r="D1687" s="4">
        <f t="shared" si="376"/>
        <v>8.2191780821917804E-2</v>
      </c>
      <c r="E1687" s="3">
        <f t="shared" si="377"/>
        <v>2011</v>
      </c>
      <c r="F1687" s="3">
        <f t="shared" si="378"/>
        <v>1</v>
      </c>
      <c r="G1687" s="3">
        <f t="shared" si="379"/>
        <v>31</v>
      </c>
      <c r="H1687" s="3">
        <f t="shared" si="380"/>
        <v>17</v>
      </c>
      <c r="I1687" s="3">
        <f t="shared" si="381"/>
        <v>0</v>
      </c>
      <c r="J1687" s="3">
        <f t="shared" si="382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383"/>
        <v>YES</v>
      </c>
      <c r="Q1687" t="str">
        <f t="shared" si="384"/>
        <v>NO</v>
      </c>
      <c r="R1687" t="str">
        <f t="shared" si="385"/>
        <v>YES</v>
      </c>
      <c r="S1687">
        <v>268</v>
      </c>
      <c r="T1687" t="s">
        <v>186</v>
      </c>
      <c r="U1687" t="str">
        <f t="shared" si="386"/>
        <v>Concord Ave</v>
      </c>
      <c r="W1687" t="str">
        <f t="shared" si="387"/>
        <v/>
      </c>
      <c r="X1687" t="str">
        <f>IF(ISBLANK(S1687),"Intersection","Non-Intersection")</f>
        <v>Non-Intersection</v>
      </c>
      <c r="Y1687" t="s">
        <v>2659</v>
      </c>
      <c r="Z1687" t="str">
        <f t="shared" si="388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375"/>
        <v>40544</v>
      </c>
      <c r="D1688" s="4">
        <f t="shared" si="376"/>
        <v>8.2191780821917804E-2</v>
      </c>
      <c r="E1688" s="3">
        <f t="shared" si="377"/>
        <v>2011</v>
      </c>
      <c r="F1688" s="3">
        <f t="shared" si="378"/>
        <v>1</v>
      </c>
      <c r="G1688" s="3">
        <f t="shared" si="379"/>
        <v>31</v>
      </c>
      <c r="H1688" s="3">
        <f t="shared" si="380"/>
        <v>18</v>
      </c>
      <c r="I1688" s="3">
        <f t="shared" si="381"/>
        <v>30</v>
      </c>
      <c r="J1688" s="3">
        <f t="shared" si="382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383"/>
        <v>YES</v>
      </c>
      <c r="Q1688" t="str">
        <f t="shared" si="384"/>
        <v>NO</v>
      </c>
      <c r="R1688" t="str">
        <f t="shared" si="385"/>
        <v>NO</v>
      </c>
      <c r="S1688">
        <v>200</v>
      </c>
      <c r="T1688" t="s">
        <v>74</v>
      </c>
      <c r="U1688" t="str">
        <f t="shared" si="386"/>
        <v>Hampshire St</v>
      </c>
      <c r="W1688" t="str">
        <f t="shared" si="387"/>
        <v/>
      </c>
      <c r="X1688" t="str">
        <f>IF(ISBLANK(S1688),"Intersection","Non-Intersection")</f>
        <v>Non-Intersection</v>
      </c>
      <c r="Y1688" t="s">
        <v>2655</v>
      </c>
      <c r="Z1688" t="str">
        <f t="shared" si="388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375"/>
        <v>40544</v>
      </c>
      <c r="D1689" s="4">
        <f t="shared" si="376"/>
        <v>8.2191780821917804E-2</v>
      </c>
      <c r="E1689" s="3">
        <f t="shared" si="377"/>
        <v>2011</v>
      </c>
      <c r="F1689" s="3">
        <f t="shared" si="378"/>
        <v>1</v>
      </c>
      <c r="G1689" s="3">
        <f t="shared" si="379"/>
        <v>31</v>
      </c>
      <c r="H1689" s="3">
        <f t="shared" si="380"/>
        <v>18</v>
      </c>
      <c r="I1689" s="3">
        <f t="shared" si="381"/>
        <v>56</v>
      </c>
      <c r="J1689" s="3">
        <f t="shared" si="382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383"/>
        <v>YES</v>
      </c>
      <c r="Q1689" t="str">
        <f t="shared" si="384"/>
        <v>NO</v>
      </c>
      <c r="R1689" t="str">
        <f t="shared" si="385"/>
        <v>YES</v>
      </c>
      <c r="T1689" t="s">
        <v>105</v>
      </c>
      <c r="U1689" t="str">
        <f t="shared" si="386"/>
        <v>Broadway</v>
      </c>
      <c r="V1689" t="s">
        <v>101</v>
      </c>
      <c r="W1689" t="str">
        <f t="shared" si="387"/>
        <v>Columbia St</v>
      </c>
      <c r="X1689" t="str">
        <f>IF(ISBLANK(S1689),"Intersection","Non-Intersection")</f>
        <v>Intersection</v>
      </c>
      <c r="Y1689" t="s">
        <v>1403</v>
      </c>
      <c r="Z1689" t="str">
        <f t="shared" si="388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375"/>
        <v>40544</v>
      </c>
      <c r="D1690" s="4">
        <f t="shared" si="376"/>
        <v>8.2191780821917804E-2</v>
      </c>
      <c r="E1690" s="3">
        <f t="shared" si="377"/>
        <v>2011</v>
      </c>
      <c r="F1690" s="3">
        <f t="shared" si="378"/>
        <v>1</v>
      </c>
      <c r="G1690" s="3">
        <f t="shared" si="379"/>
        <v>31</v>
      </c>
      <c r="H1690" s="3">
        <f t="shared" si="380"/>
        <v>20</v>
      </c>
      <c r="I1690" s="3">
        <f t="shared" si="381"/>
        <v>0</v>
      </c>
      <c r="J1690" s="3">
        <f t="shared" si="382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383"/>
        <v>YES</v>
      </c>
      <c r="Q1690" t="str">
        <f t="shared" si="384"/>
        <v>NO</v>
      </c>
      <c r="R1690" t="str">
        <f t="shared" si="385"/>
        <v>NO</v>
      </c>
      <c r="T1690" t="s">
        <v>105</v>
      </c>
      <c r="U1690" t="str">
        <f t="shared" si="386"/>
        <v>Broadway</v>
      </c>
      <c r="V1690" t="s">
        <v>745</v>
      </c>
      <c r="W1690" t="str">
        <f t="shared" si="387"/>
        <v>Norfolk St</v>
      </c>
      <c r="X1690" t="str">
        <f>IF(ISBLANK(S1690),"Intersection","Non-Intersection")</f>
        <v>Intersection</v>
      </c>
      <c r="Y1690" t="s">
        <v>1070</v>
      </c>
      <c r="Z1690" t="str">
        <f t="shared" si="388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375"/>
        <v>40544</v>
      </c>
      <c r="D1691" s="4">
        <f t="shared" si="376"/>
        <v>8.2191780821917804E-2</v>
      </c>
      <c r="E1691" s="3">
        <f t="shared" si="377"/>
        <v>2011</v>
      </c>
      <c r="F1691" s="3">
        <f t="shared" si="378"/>
        <v>1</v>
      </c>
      <c r="G1691" s="3">
        <f t="shared" si="379"/>
        <v>31</v>
      </c>
      <c r="H1691" s="3">
        <f t="shared" si="380"/>
        <v>18</v>
      </c>
      <c r="I1691" s="3">
        <f t="shared" si="381"/>
        <v>0</v>
      </c>
      <c r="J1691" s="3">
        <f t="shared" si="382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383"/>
        <v>YES</v>
      </c>
      <c r="Q1691" t="str">
        <f t="shared" si="384"/>
        <v>NO</v>
      </c>
      <c r="R1691" t="str">
        <f t="shared" si="385"/>
        <v>NO</v>
      </c>
      <c r="S1691">
        <v>23</v>
      </c>
      <c r="T1691" t="s">
        <v>2661</v>
      </c>
      <c r="U1691" t="str">
        <f t="shared" si="386"/>
        <v>Greenough Ave</v>
      </c>
      <c r="W1691" t="str">
        <f t="shared" si="387"/>
        <v/>
      </c>
      <c r="X1691" t="str">
        <f>IF(ISBLANK(S1691),"Intersection","Non-Intersection")</f>
        <v>Non-Intersection</v>
      </c>
      <c r="Y1691" t="s">
        <v>2662</v>
      </c>
      <c r="Z1691" t="str">
        <f t="shared" si="388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375"/>
        <v>40544</v>
      </c>
      <c r="D1692" s="4">
        <f t="shared" si="376"/>
        <v>8.2191780821917804E-2</v>
      </c>
      <c r="E1692" s="3">
        <f t="shared" si="377"/>
        <v>2011</v>
      </c>
      <c r="F1692" s="3">
        <f t="shared" si="378"/>
        <v>1</v>
      </c>
      <c r="G1692" s="3">
        <f t="shared" si="379"/>
        <v>31</v>
      </c>
      <c r="H1692" s="3">
        <f t="shared" si="380"/>
        <v>9</v>
      </c>
      <c r="I1692" s="3">
        <f t="shared" si="381"/>
        <v>59</v>
      </c>
      <c r="J1692" s="3">
        <f t="shared" si="382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383"/>
        <v>YES</v>
      </c>
      <c r="Q1692" t="str">
        <f t="shared" si="384"/>
        <v>NO</v>
      </c>
      <c r="R1692" t="str">
        <f t="shared" si="385"/>
        <v>NO</v>
      </c>
      <c r="S1692">
        <v>33</v>
      </c>
      <c r="T1692" t="s">
        <v>147</v>
      </c>
      <c r="U1692" t="str">
        <f t="shared" si="386"/>
        <v>Sixth St</v>
      </c>
      <c r="W1692" t="str">
        <f t="shared" si="387"/>
        <v/>
      </c>
      <c r="X1692" t="str">
        <f>IF(ISBLANK(S1692),"Intersection","Non-Intersection")</f>
        <v>Non-Intersection</v>
      </c>
      <c r="Y1692" t="s">
        <v>2664</v>
      </c>
      <c r="Z1692" t="str">
        <f t="shared" si="388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375"/>
        <v>40544</v>
      </c>
      <c r="D1693" s="4">
        <f t="shared" si="376"/>
        <v>8.2191780821917804E-2</v>
      </c>
      <c r="E1693" s="3">
        <f t="shared" si="377"/>
        <v>2011</v>
      </c>
      <c r="F1693" s="3">
        <f t="shared" si="378"/>
        <v>1</v>
      </c>
      <c r="G1693" s="3">
        <f t="shared" si="379"/>
        <v>31</v>
      </c>
      <c r="H1693" s="3">
        <f t="shared" si="380"/>
        <v>14</v>
      </c>
      <c r="I1693" s="3">
        <f t="shared" si="381"/>
        <v>39</v>
      </c>
      <c r="J1693" s="3">
        <f t="shared" si="382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383"/>
        <v>YES</v>
      </c>
      <c r="Q1693" t="str">
        <f t="shared" si="384"/>
        <v>NO</v>
      </c>
      <c r="R1693" t="str">
        <f t="shared" si="385"/>
        <v>NO</v>
      </c>
      <c r="S1693">
        <v>245</v>
      </c>
      <c r="T1693" t="s">
        <v>186</v>
      </c>
      <c r="U1693" t="str">
        <f t="shared" si="386"/>
        <v>Concord Ave</v>
      </c>
      <c r="W1693" t="str">
        <f t="shared" si="387"/>
        <v/>
      </c>
      <c r="X1693" t="str">
        <f>IF(ISBLANK(S1693),"Intersection","Non-Intersection")</f>
        <v>Non-Intersection</v>
      </c>
      <c r="Y1693" t="s">
        <v>2666</v>
      </c>
      <c r="Z1693" t="str">
        <f t="shared" si="388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375"/>
        <v>40544</v>
      </c>
      <c r="D1694" s="4">
        <f t="shared" si="376"/>
        <v>8.4931506849315067E-2</v>
      </c>
      <c r="E1694" s="3">
        <f t="shared" si="377"/>
        <v>2011</v>
      </c>
      <c r="F1694" s="3">
        <f t="shared" si="378"/>
        <v>2</v>
      </c>
      <c r="G1694" s="3">
        <f t="shared" si="379"/>
        <v>1</v>
      </c>
      <c r="H1694" s="3">
        <f t="shared" si="380"/>
        <v>6</v>
      </c>
      <c r="I1694" s="3">
        <f t="shared" si="381"/>
        <v>30</v>
      </c>
      <c r="J1694" s="3">
        <f t="shared" si="382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383"/>
        <v>YES</v>
      </c>
      <c r="Q1694" t="str">
        <f t="shared" si="384"/>
        <v>NO</v>
      </c>
      <c r="R1694" t="str">
        <f t="shared" si="385"/>
        <v>NO</v>
      </c>
      <c r="T1694" t="s">
        <v>315</v>
      </c>
      <c r="U1694" t="str">
        <f t="shared" si="386"/>
        <v>Essex St</v>
      </c>
      <c r="V1694" t="s">
        <v>316</v>
      </c>
      <c r="W1694" t="str">
        <f t="shared" si="387"/>
        <v>Bishop Allen Dr</v>
      </c>
      <c r="X1694" t="str">
        <f>IF(ISBLANK(S1694),"Intersection","Non-Intersection")</f>
        <v>Intersection</v>
      </c>
      <c r="Y1694" t="s">
        <v>317</v>
      </c>
      <c r="Z1694" t="str">
        <f t="shared" si="388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375"/>
        <v>40544</v>
      </c>
      <c r="D1695" s="4">
        <f t="shared" si="376"/>
        <v>8.4931506849315067E-2</v>
      </c>
      <c r="E1695" s="3">
        <f t="shared" si="377"/>
        <v>2011</v>
      </c>
      <c r="F1695" s="3">
        <f t="shared" si="378"/>
        <v>2</v>
      </c>
      <c r="G1695" s="3">
        <f t="shared" si="379"/>
        <v>1</v>
      </c>
      <c r="H1695" s="3">
        <f t="shared" si="380"/>
        <v>8</v>
      </c>
      <c r="I1695" s="3">
        <f t="shared" si="381"/>
        <v>32</v>
      </c>
      <c r="J1695" s="3">
        <f t="shared" si="382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383"/>
        <v>NO</v>
      </c>
      <c r="Q1695" t="str">
        <f t="shared" si="384"/>
        <v>NO</v>
      </c>
      <c r="R1695" t="str">
        <f t="shared" si="385"/>
        <v>NO</v>
      </c>
      <c r="S1695">
        <v>17</v>
      </c>
      <c r="T1695" t="s">
        <v>2668</v>
      </c>
      <c r="U1695" t="str">
        <f t="shared" si="386"/>
        <v>Yerxa Rd</v>
      </c>
      <c r="W1695" t="str">
        <f t="shared" si="387"/>
        <v/>
      </c>
      <c r="X1695" t="str">
        <f>IF(ISBLANK(S1695),"Intersection","Non-Intersection")</f>
        <v>Non-Intersection</v>
      </c>
      <c r="Y1695" t="s">
        <v>2669</v>
      </c>
      <c r="Z1695" t="str">
        <f t="shared" si="388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375"/>
        <v>40544</v>
      </c>
      <c r="D1696" s="4">
        <f t="shared" si="376"/>
        <v>8.4931506849315067E-2</v>
      </c>
      <c r="E1696" s="3">
        <f t="shared" si="377"/>
        <v>2011</v>
      </c>
      <c r="F1696" s="3">
        <f t="shared" si="378"/>
        <v>2</v>
      </c>
      <c r="G1696" s="3">
        <f t="shared" si="379"/>
        <v>1</v>
      </c>
      <c r="H1696" s="3">
        <f t="shared" si="380"/>
        <v>8</v>
      </c>
      <c r="I1696" s="3">
        <f t="shared" si="381"/>
        <v>36</v>
      </c>
      <c r="J1696" s="3">
        <f t="shared" si="382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383"/>
        <v>YES</v>
      </c>
      <c r="Q1696" t="str">
        <f t="shared" si="384"/>
        <v>NO</v>
      </c>
      <c r="R1696" t="str">
        <f t="shared" si="385"/>
        <v>NO</v>
      </c>
      <c r="T1696" t="s">
        <v>14</v>
      </c>
      <c r="U1696" t="str">
        <f t="shared" si="386"/>
        <v>Massachusetts Ave</v>
      </c>
      <c r="V1696" t="s">
        <v>1095</v>
      </c>
      <c r="W1696" t="str">
        <f t="shared" si="387"/>
        <v>Churchill Ave</v>
      </c>
      <c r="X1696" t="str">
        <f>IF(ISBLANK(S1696),"Intersection","Non-Intersection")</f>
        <v>Intersection</v>
      </c>
      <c r="Y1696" t="s">
        <v>2671</v>
      </c>
      <c r="Z1696" t="str">
        <f t="shared" si="388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375"/>
        <v>40544</v>
      </c>
      <c r="D1697" s="4">
        <f t="shared" si="376"/>
        <v>8.4931506849315067E-2</v>
      </c>
      <c r="E1697" s="3">
        <f t="shared" si="377"/>
        <v>2011</v>
      </c>
      <c r="F1697" s="3">
        <f t="shared" si="378"/>
        <v>2</v>
      </c>
      <c r="G1697" s="3">
        <f t="shared" si="379"/>
        <v>1</v>
      </c>
      <c r="H1697" s="3">
        <f t="shared" si="380"/>
        <v>14</v>
      </c>
      <c r="I1697" s="3">
        <f t="shared" si="381"/>
        <v>0</v>
      </c>
      <c r="J1697" s="3">
        <f t="shared" si="382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383"/>
        <v>YES</v>
      </c>
      <c r="Q1697" t="str">
        <f t="shared" si="384"/>
        <v>NO</v>
      </c>
      <c r="R1697" t="str">
        <f t="shared" si="385"/>
        <v>NO</v>
      </c>
      <c r="S1697">
        <v>400</v>
      </c>
      <c r="T1697" t="s">
        <v>105</v>
      </c>
      <c r="U1697" t="str">
        <f t="shared" si="386"/>
        <v>Broadway</v>
      </c>
      <c r="W1697" t="str">
        <f t="shared" si="387"/>
        <v/>
      </c>
      <c r="X1697" t="str">
        <f>IF(ISBLANK(S1697),"Intersection","Non-Intersection")</f>
        <v>Non-Intersection</v>
      </c>
      <c r="Y1697" t="s">
        <v>2673</v>
      </c>
      <c r="Z1697" t="str">
        <f t="shared" si="388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375"/>
        <v>40544</v>
      </c>
      <c r="D1698" s="4">
        <f t="shared" si="376"/>
        <v>8.4931506849315067E-2</v>
      </c>
      <c r="E1698" s="3">
        <f t="shared" si="377"/>
        <v>2011</v>
      </c>
      <c r="F1698" s="3">
        <f t="shared" si="378"/>
        <v>2</v>
      </c>
      <c r="G1698" s="3">
        <f t="shared" si="379"/>
        <v>1</v>
      </c>
      <c r="H1698" s="3">
        <f t="shared" si="380"/>
        <v>15</v>
      </c>
      <c r="I1698" s="3">
        <f t="shared" si="381"/>
        <v>45</v>
      </c>
      <c r="J1698" s="3">
        <f t="shared" si="382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383"/>
        <v>YES</v>
      </c>
      <c r="Q1698" t="str">
        <f t="shared" si="384"/>
        <v>NO</v>
      </c>
      <c r="R1698" t="str">
        <f t="shared" si="385"/>
        <v>NO</v>
      </c>
      <c r="S1698" t="s">
        <v>2675</v>
      </c>
      <c r="T1698" t="s">
        <v>2007</v>
      </c>
      <c r="U1698" t="str">
        <f t="shared" si="386"/>
        <v>Glenwood Ave</v>
      </c>
      <c r="W1698" t="str">
        <f t="shared" si="387"/>
        <v/>
      </c>
      <c r="X1698" t="str">
        <f>IF(ISBLANK(S1698),"Intersection","Non-Intersection")</f>
        <v>Non-Intersection</v>
      </c>
      <c r="Y1698" t="s">
        <v>2676</v>
      </c>
      <c r="Z1698" t="str">
        <f t="shared" si="388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375"/>
        <v>40544</v>
      </c>
      <c r="D1699" s="4">
        <f t="shared" si="376"/>
        <v>8.4931506849315067E-2</v>
      </c>
      <c r="E1699" s="3">
        <f t="shared" si="377"/>
        <v>2011</v>
      </c>
      <c r="F1699" s="3">
        <f t="shared" si="378"/>
        <v>2</v>
      </c>
      <c r="G1699" s="3">
        <f t="shared" si="379"/>
        <v>1</v>
      </c>
      <c r="H1699" s="3">
        <f t="shared" si="380"/>
        <v>21</v>
      </c>
      <c r="I1699" s="3">
        <f t="shared" si="381"/>
        <v>0</v>
      </c>
      <c r="J1699" s="3">
        <f t="shared" si="382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383"/>
        <v>YES</v>
      </c>
      <c r="Q1699" t="str">
        <f t="shared" si="384"/>
        <v>NO</v>
      </c>
      <c r="R1699" t="str">
        <f t="shared" si="385"/>
        <v>NO</v>
      </c>
      <c r="T1699" t="s">
        <v>14</v>
      </c>
      <c r="U1699" t="str">
        <f t="shared" si="386"/>
        <v>Massachusetts Ave</v>
      </c>
      <c r="V1699" t="s">
        <v>185</v>
      </c>
      <c r="W1699" t="str">
        <f t="shared" si="387"/>
        <v>Garden St</v>
      </c>
      <c r="X1699" t="str">
        <f>IF(ISBLANK(S1699),"Intersection","Non-Intersection")</f>
        <v>Intersection</v>
      </c>
      <c r="Y1699" t="s">
        <v>1247</v>
      </c>
      <c r="Z1699" t="str">
        <f t="shared" si="388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375"/>
        <v>40544</v>
      </c>
      <c r="D1700" s="4">
        <f t="shared" si="376"/>
        <v>8.4931506849315067E-2</v>
      </c>
      <c r="E1700" s="3">
        <f t="shared" si="377"/>
        <v>2011</v>
      </c>
      <c r="F1700" s="3">
        <f t="shared" si="378"/>
        <v>2</v>
      </c>
      <c r="G1700" s="3">
        <f t="shared" si="379"/>
        <v>1</v>
      </c>
      <c r="H1700" s="3">
        <f t="shared" si="380"/>
        <v>21</v>
      </c>
      <c r="I1700" s="3">
        <f t="shared" si="381"/>
        <v>49</v>
      </c>
      <c r="J1700" s="3">
        <f t="shared" si="382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383"/>
        <v>YES</v>
      </c>
      <c r="Q1700" t="str">
        <f t="shared" si="384"/>
        <v>NO</v>
      </c>
      <c r="R1700" t="str">
        <f t="shared" si="385"/>
        <v>NO</v>
      </c>
      <c r="S1700">
        <v>7</v>
      </c>
      <c r="T1700" t="s">
        <v>2678</v>
      </c>
      <c r="U1700" t="str">
        <f t="shared" si="386"/>
        <v>Jay St</v>
      </c>
      <c r="W1700" t="str">
        <f t="shared" si="387"/>
        <v/>
      </c>
      <c r="X1700" t="str">
        <f>IF(ISBLANK(S1700),"Intersection","Non-Intersection")</f>
        <v>Non-Intersection</v>
      </c>
      <c r="Y1700" t="s">
        <v>2679</v>
      </c>
      <c r="Z1700" t="str">
        <f t="shared" si="388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375"/>
        <v>40544</v>
      </c>
      <c r="D1701" s="4">
        <f t="shared" si="376"/>
        <v>8.4931506849315067E-2</v>
      </c>
      <c r="E1701" s="3">
        <f t="shared" si="377"/>
        <v>2011</v>
      </c>
      <c r="F1701" s="3">
        <f t="shared" si="378"/>
        <v>2</v>
      </c>
      <c r="G1701" s="3">
        <f t="shared" si="379"/>
        <v>1</v>
      </c>
      <c r="H1701" s="3">
        <f t="shared" si="380"/>
        <v>21</v>
      </c>
      <c r="I1701" s="3">
        <f t="shared" si="381"/>
        <v>59</v>
      </c>
      <c r="J1701" s="3">
        <f t="shared" si="382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383"/>
        <v>YES</v>
      </c>
      <c r="Q1701" t="str">
        <f t="shared" si="384"/>
        <v>NO</v>
      </c>
      <c r="R1701" t="str">
        <f t="shared" si="385"/>
        <v>NO</v>
      </c>
      <c r="S1701">
        <v>144</v>
      </c>
      <c r="T1701" t="s">
        <v>1502</v>
      </c>
      <c r="U1701" t="str">
        <f t="shared" si="386"/>
        <v>Gore St</v>
      </c>
      <c r="V1701" t="s">
        <v>147</v>
      </c>
      <c r="W1701" t="str">
        <f t="shared" si="387"/>
        <v>Sixth St</v>
      </c>
      <c r="X1701" t="str">
        <f>IF(ISBLANK(S1701),"Intersection","Non-Intersection")</f>
        <v>Non-Intersection</v>
      </c>
      <c r="Y1701" t="s">
        <v>2681</v>
      </c>
      <c r="Z1701" t="str">
        <f t="shared" si="388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375"/>
        <v>40544</v>
      </c>
      <c r="D1702" s="4">
        <f t="shared" si="376"/>
        <v>8.4931506849315067E-2</v>
      </c>
      <c r="E1702" s="3">
        <f t="shared" si="377"/>
        <v>2011</v>
      </c>
      <c r="F1702" s="3">
        <f t="shared" si="378"/>
        <v>2</v>
      </c>
      <c r="G1702" s="3">
        <f t="shared" si="379"/>
        <v>1</v>
      </c>
      <c r="H1702" s="3">
        <f t="shared" si="380"/>
        <v>20</v>
      </c>
      <c r="I1702" s="3">
        <f t="shared" si="381"/>
        <v>23</v>
      </c>
      <c r="J1702" s="3">
        <f t="shared" si="382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383"/>
        <v>YES</v>
      </c>
      <c r="Q1702" t="str">
        <f t="shared" si="384"/>
        <v>NO</v>
      </c>
      <c r="R1702" t="str">
        <f t="shared" si="385"/>
        <v>NO</v>
      </c>
      <c r="S1702">
        <v>16</v>
      </c>
      <c r="T1702" t="s">
        <v>2683</v>
      </c>
      <c r="U1702" t="str">
        <f t="shared" si="386"/>
        <v>Channing St</v>
      </c>
      <c r="W1702" t="str">
        <f t="shared" si="387"/>
        <v/>
      </c>
      <c r="X1702" t="str">
        <f>IF(ISBLANK(S1702),"Intersection","Non-Intersection")</f>
        <v>Non-Intersection</v>
      </c>
      <c r="Y1702" t="s">
        <v>2684</v>
      </c>
      <c r="Z1702" t="str">
        <f t="shared" si="388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375"/>
        <v>40544</v>
      </c>
      <c r="D1703" s="4">
        <f t="shared" si="376"/>
        <v>8.7671232876712329E-2</v>
      </c>
      <c r="E1703" s="3">
        <f t="shared" si="377"/>
        <v>2011</v>
      </c>
      <c r="F1703" s="3">
        <f t="shared" si="378"/>
        <v>2</v>
      </c>
      <c r="G1703" s="3">
        <f t="shared" si="379"/>
        <v>2</v>
      </c>
      <c r="H1703" s="3">
        <f t="shared" si="380"/>
        <v>12</v>
      </c>
      <c r="I1703" s="3">
        <f t="shared" si="381"/>
        <v>23</v>
      </c>
      <c r="J1703" s="3">
        <f t="shared" si="382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383"/>
        <v>YES</v>
      </c>
      <c r="Q1703" t="str">
        <f t="shared" si="384"/>
        <v>NO</v>
      </c>
      <c r="R1703" t="str">
        <f t="shared" si="385"/>
        <v>NO</v>
      </c>
      <c r="S1703" s="2">
        <v>42011</v>
      </c>
      <c r="T1703" t="s">
        <v>1016</v>
      </c>
      <c r="U1703" t="str">
        <f t="shared" si="386"/>
        <v>Maple Ave</v>
      </c>
      <c r="W1703" t="str">
        <f t="shared" si="387"/>
        <v/>
      </c>
      <c r="X1703" t="str">
        <f>IF(ISBLANK(S1703),"Intersection","Non-Intersection")</f>
        <v>Non-Intersection</v>
      </c>
      <c r="Y1703" t="s">
        <v>2687</v>
      </c>
      <c r="Z1703" t="str">
        <f t="shared" si="388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375"/>
        <v>40544</v>
      </c>
      <c r="D1704" s="4">
        <f t="shared" si="376"/>
        <v>8.7671232876712329E-2</v>
      </c>
      <c r="E1704" s="3">
        <f t="shared" si="377"/>
        <v>2011</v>
      </c>
      <c r="F1704" s="3">
        <f t="shared" si="378"/>
        <v>2</v>
      </c>
      <c r="G1704" s="3">
        <f t="shared" si="379"/>
        <v>2</v>
      </c>
      <c r="H1704" s="3">
        <f t="shared" si="380"/>
        <v>14</v>
      </c>
      <c r="I1704" s="3">
        <f t="shared" si="381"/>
        <v>0</v>
      </c>
      <c r="J1704" s="3">
        <f t="shared" si="382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383"/>
        <v>YES</v>
      </c>
      <c r="Q1704" t="str">
        <f t="shared" si="384"/>
        <v>NO</v>
      </c>
      <c r="R1704" t="str">
        <f t="shared" si="385"/>
        <v>NO</v>
      </c>
      <c r="S1704">
        <v>463</v>
      </c>
      <c r="T1704" t="s">
        <v>19</v>
      </c>
      <c r="U1704" t="str">
        <f t="shared" si="386"/>
        <v>Cambridge St</v>
      </c>
      <c r="W1704" t="str">
        <f t="shared" si="387"/>
        <v/>
      </c>
      <c r="X1704" t="str">
        <f>IF(ISBLANK(S1704),"Intersection","Non-Intersection")</f>
        <v>Non-Intersection</v>
      </c>
      <c r="Y1704" t="s">
        <v>2689</v>
      </c>
      <c r="Z1704" t="str">
        <f t="shared" si="388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375"/>
        <v>40544</v>
      </c>
      <c r="D1705" s="4">
        <f t="shared" si="376"/>
        <v>8.7671232876712329E-2</v>
      </c>
      <c r="E1705" s="3">
        <f t="shared" si="377"/>
        <v>2011</v>
      </c>
      <c r="F1705" s="3">
        <f t="shared" si="378"/>
        <v>2</v>
      </c>
      <c r="G1705" s="3">
        <f t="shared" si="379"/>
        <v>2</v>
      </c>
      <c r="H1705" s="3">
        <f t="shared" si="380"/>
        <v>20</v>
      </c>
      <c r="I1705" s="3">
        <f t="shared" si="381"/>
        <v>4</v>
      </c>
      <c r="J1705" s="3">
        <f t="shared" si="382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383"/>
        <v>YES</v>
      </c>
      <c r="Q1705" t="str">
        <f t="shared" si="384"/>
        <v>NO</v>
      </c>
      <c r="R1705" t="str">
        <f t="shared" si="385"/>
        <v>NO</v>
      </c>
      <c r="S1705">
        <v>1</v>
      </c>
      <c r="T1705" t="s">
        <v>2691</v>
      </c>
      <c r="U1705" t="str">
        <f t="shared" si="386"/>
        <v>Riedesel Ave</v>
      </c>
      <c r="W1705" t="str">
        <f t="shared" si="387"/>
        <v/>
      </c>
      <c r="X1705" t="str">
        <f>IF(ISBLANK(S1705),"Intersection","Non-Intersection")</f>
        <v>Non-Intersection</v>
      </c>
      <c r="Y1705" t="s">
        <v>2692</v>
      </c>
      <c r="Z1705" t="str">
        <f t="shared" si="388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375"/>
        <v>40544</v>
      </c>
      <c r="D1706" s="4">
        <f t="shared" si="376"/>
        <v>8.7671232876712329E-2</v>
      </c>
      <c r="E1706" s="3">
        <f t="shared" si="377"/>
        <v>2011</v>
      </c>
      <c r="F1706" s="3">
        <f t="shared" si="378"/>
        <v>2</v>
      </c>
      <c r="G1706" s="3">
        <f t="shared" si="379"/>
        <v>2</v>
      </c>
      <c r="H1706" s="3">
        <f t="shared" si="380"/>
        <v>12</v>
      </c>
      <c r="I1706" s="3">
        <f t="shared" si="381"/>
        <v>0</v>
      </c>
      <c r="J1706" s="3">
        <f t="shared" si="382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383"/>
        <v>YES</v>
      </c>
      <c r="Q1706" t="str">
        <f t="shared" si="384"/>
        <v>NO</v>
      </c>
      <c r="R1706" t="str">
        <f t="shared" si="385"/>
        <v>NO</v>
      </c>
      <c r="S1706">
        <v>1</v>
      </c>
      <c r="T1706" t="s">
        <v>2694</v>
      </c>
      <c r="U1706" t="str">
        <f t="shared" si="386"/>
        <v>Lancaster St</v>
      </c>
      <c r="W1706" t="str">
        <f t="shared" si="387"/>
        <v/>
      </c>
      <c r="X1706" t="str">
        <f>IF(ISBLANK(S1706),"Intersection","Non-Intersection")</f>
        <v>Non-Intersection</v>
      </c>
      <c r="Y1706" t="s">
        <v>2695</v>
      </c>
      <c r="Z1706" t="str">
        <f t="shared" si="388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375"/>
        <v>40544</v>
      </c>
      <c r="D1707" s="4">
        <f t="shared" si="376"/>
        <v>9.0410958904109592E-2</v>
      </c>
      <c r="E1707" s="3">
        <f t="shared" si="377"/>
        <v>2011</v>
      </c>
      <c r="F1707" s="3">
        <f t="shared" si="378"/>
        <v>2</v>
      </c>
      <c r="G1707" s="3">
        <f t="shared" si="379"/>
        <v>3</v>
      </c>
      <c r="H1707" s="3">
        <f t="shared" si="380"/>
        <v>2</v>
      </c>
      <c r="I1707" s="3">
        <f t="shared" si="381"/>
        <v>19</v>
      </c>
      <c r="J1707" s="3">
        <f t="shared" si="382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383"/>
        <v>YES</v>
      </c>
      <c r="Q1707" t="str">
        <f t="shared" si="384"/>
        <v>NO</v>
      </c>
      <c r="R1707" t="str">
        <f t="shared" si="385"/>
        <v>YES</v>
      </c>
      <c r="S1707">
        <v>36</v>
      </c>
      <c r="T1707" t="s">
        <v>326</v>
      </c>
      <c r="U1707" t="str">
        <f t="shared" si="386"/>
        <v>Jfk St</v>
      </c>
      <c r="W1707" t="str">
        <f t="shared" si="387"/>
        <v/>
      </c>
      <c r="X1707" t="str">
        <f>IF(ISBLANK(S1707),"Intersection","Non-Intersection")</f>
        <v>Non-Intersection</v>
      </c>
      <c r="Y1707" t="s">
        <v>2697</v>
      </c>
      <c r="Z1707" t="str">
        <f t="shared" si="388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375"/>
        <v>40544</v>
      </c>
      <c r="D1708" s="4">
        <f t="shared" si="376"/>
        <v>9.0410958904109592E-2</v>
      </c>
      <c r="E1708" s="3">
        <f t="shared" si="377"/>
        <v>2011</v>
      </c>
      <c r="F1708" s="3">
        <f t="shared" si="378"/>
        <v>2</v>
      </c>
      <c r="G1708" s="3">
        <f t="shared" si="379"/>
        <v>3</v>
      </c>
      <c r="H1708" s="3">
        <f t="shared" si="380"/>
        <v>9</v>
      </c>
      <c r="I1708" s="3">
        <f t="shared" si="381"/>
        <v>0</v>
      </c>
      <c r="J1708" s="3">
        <f t="shared" si="382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383"/>
        <v>YES</v>
      </c>
      <c r="Q1708" t="str">
        <f t="shared" si="384"/>
        <v>NO</v>
      </c>
      <c r="R1708" t="str">
        <f t="shared" si="385"/>
        <v>NO</v>
      </c>
      <c r="T1708" t="s">
        <v>958</v>
      </c>
      <c r="U1708" t="str">
        <f t="shared" si="386"/>
        <v>Pacific St</v>
      </c>
      <c r="V1708" t="s">
        <v>249</v>
      </c>
      <c r="W1708" t="str">
        <f t="shared" si="387"/>
        <v>Landsdowne St</v>
      </c>
      <c r="X1708" t="str">
        <f>IF(ISBLANK(S1708),"Intersection","Non-Intersection")</f>
        <v>Intersection</v>
      </c>
      <c r="Y1708" t="s">
        <v>2699</v>
      </c>
      <c r="Z1708" t="str">
        <f t="shared" si="388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389">EOMONTH(B1709,MONTH(B1709)*-1)+1</f>
        <v>40544</v>
      </c>
      <c r="D1709" s="4">
        <f t="shared" ref="D1709:D1770" si="390">YEARFRAC(C1709,B1709,1)</f>
        <v>9.0410958904109592E-2</v>
      </c>
      <c r="E1709" s="3">
        <f t="shared" ref="E1709:E1770" si="391">YEAR(B1709)</f>
        <v>2011</v>
      </c>
      <c r="F1709" s="3">
        <f t="shared" ref="F1709:F1770" si="392">MONTH(B1709)</f>
        <v>2</v>
      </c>
      <c r="G1709" s="3">
        <f t="shared" ref="G1709:G1770" si="393">DAY(B1709)</f>
        <v>3</v>
      </c>
      <c r="H1709" s="3">
        <f t="shared" ref="H1709:H1770" si="394">HOUR(B1709)</f>
        <v>9</v>
      </c>
      <c r="I1709" s="3">
        <f t="shared" ref="I1709:I1770" si="395">MINUTE(B1709)</f>
        <v>0</v>
      </c>
      <c r="J1709" s="3">
        <f t="shared" ref="J1709:J1770" si="396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397">IF(OR(N1709="Auto",O1709="Auto"),"YES",IF(OR(N1709="Taxi",O1709="Taxi"),"YES",IF(OR(N1709="Van",O1709="Van"),"YES",IF(OR(N1709="Truck",O1709="Truck"),"YES","NO"))))</f>
        <v>YES</v>
      </c>
      <c r="Q1709" t="str">
        <f t="shared" ref="Q1709:Q1770" si="398">IF(OR(N1709="Bicycle",O1709="Bicycle"),"YES","NO")</f>
        <v>NO</v>
      </c>
      <c r="R1709" t="str">
        <f t="shared" ref="R1709:R1770" si="399">IF(OR(N1709="Pedestrian",O1709="Pedestrian"),"YES","NO")</f>
        <v>NO</v>
      </c>
      <c r="S1709">
        <v>451</v>
      </c>
      <c r="T1709" t="s">
        <v>105</v>
      </c>
      <c r="U1709" t="str">
        <f t="shared" si="386"/>
        <v>Broadway</v>
      </c>
      <c r="W1709" t="str">
        <f t="shared" si="387"/>
        <v/>
      </c>
      <c r="X1709" t="str">
        <f>IF(ISBLANK(S1709),"Intersection","Non-Intersection")</f>
        <v>Non-Intersection</v>
      </c>
      <c r="Y1709" t="s">
        <v>2701</v>
      </c>
      <c r="Z1709" t="str">
        <f t="shared" si="388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389"/>
        <v>40544</v>
      </c>
      <c r="D1710" s="4">
        <f t="shared" si="390"/>
        <v>9.0410958904109592E-2</v>
      </c>
      <c r="E1710" s="3">
        <f t="shared" si="391"/>
        <v>2011</v>
      </c>
      <c r="F1710" s="3">
        <f t="shared" si="392"/>
        <v>2</v>
      </c>
      <c r="G1710" s="3">
        <f t="shared" si="393"/>
        <v>3</v>
      </c>
      <c r="H1710" s="3">
        <f t="shared" si="394"/>
        <v>15</v>
      </c>
      <c r="I1710" s="3">
        <f t="shared" si="395"/>
        <v>34</v>
      </c>
      <c r="J1710" s="3">
        <f t="shared" si="396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397"/>
        <v>YES</v>
      </c>
      <c r="Q1710" t="str">
        <f t="shared" si="398"/>
        <v>NO</v>
      </c>
      <c r="R1710" t="str">
        <f t="shared" si="399"/>
        <v>NO</v>
      </c>
      <c r="S1710">
        <v>8</v>
      </c>
      <c r="T1710" t="s">
        <v>1226</v>
      </c>
      <c r="U1710" t="str">
        <f t="shared" si="386"/>
        <v>Dana St</v>
      </c>
      <c r="W1710" t="str">
        <f t="shared" si="387"/>
        <v/>
      </c>
      <c r="X1710" t="str">
        <f>IF(ISBLANK(S1710),"Intersection","Non-Intersection")</f>
        <v>Non-Intersection</v>
      </c>
      <c r="Y1710" t="s">
        <v>2703</v>
      </c>
      <c r="Z1710" t="str">
        <f t="shared" si="388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389"/>
        <v>40544</v>
      </c>
      <c r="D1711" s="4">
        <f t="shared" si="390"/>
        <v>9.0410958904109592E-2</v>
      </c>
      <c r="E1711" s="3">
        <f t="shared" si="391"/>
        <v>2011</v>
      </c>
      <c r="F1711" s="3">
        <f t="shared" si="392"/>
        <v>2</v>
      </c>
      <c r="G1711" s="3">
        <f t="shared" si="393"/>
        <v>3</v>
      </c>
      <c r="H1711" s="3">
        <f t="shared" si="394"/>
        <v>18</v>
      </c>
      <c r="I1711" s="3">
        <f t="shared" si="395"/>
        <v>11</v>
      </c>
      <c r="J1711" s="3">
        <f t="shared" si="396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397"/>
        <v>YES</v>
      </c>
      <c r="Q1711" t="str">
        <f t="shared" si="398"/>
        <v>NO</v>
      </c>
      <c r="R1711" t="str">
        <f t="shared" si="399"/>
        <v>NO</v>
      </c>
      <c r="T1711" t="s">
        <v>399</v>
      </c>
      <c r="U1711" t="str">
        <f t="shared" si="386"/>
        <v>Phillips Pl</v>
      </c>
      <c r="W1711" t="str">
        <f t="shared" si="387"/>
        <v/>
      </c>
      <c r="X1711" t="str">
        <f>IF(ISBLANK(S1711),"Intersection","Non-Intersection")</f>
        <v>Intersection</v>
      </c>
      <c r="Y1711" t="s">
        <v>2705</v>
      </c>
      <c r="Z1711" t="str">
        <f t="shared" si="388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389"/>
        <v>40544</v>
      </c>
      <c r="D1712" s="4">
        <f t="shared" si="390"/>
        <v>9.0410958904109592E-2</v>
      </c>
      <c r="E1712" s="3">
        <f t="shared" si="391"/>
        <v>2011</v>
      </c>
      <c r="F1712" s="3">
        <f t="shared" si="392"/>
        <v>2</v>
      </c>
      <c r="G1712" s="3">
        <f t="shared" si="393"/>
        <v>3</v>
      </c>
      <c r="H1712" s="3">
        <f t="shared" si="394"/>
        <v>17</v>
      </c>
      <c r="I1712" s="3">
        <f t="shared" si="395"/>
        <v>29</v>
      </c>
      <c r="J1712" s="3">
        <f t="shared" si="396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397"/>
        <v>YES</v>
      </c>
      <c r="Q1712" t="str">
        <f t="shared" si="398"/>
        <v>NO</v>
      </c>
      <c r="R1712" t="str">
        <f t="shared" si="399"/>
        <v>NO</v>
      </c>
      <c r="S1712">
        <v>232</v>
      </c>
      <c r="T1712" t="s">
        <v>42</v>
      </c>
      <c r="U1712" t="str">
        <f t="shared" si="386"/>
        <v>Putnam Ave</v>
      </c>
      <c r="W1712" t="str">
        <f t="shared" si="387"/>
        <v/>
      </c>
      <c r="X1712" t="str">
        <f>IF(ISBLANK(S1712),"Intersection","Non-Intersection")</f>
        <v>Non-Intersection</v>
      </c>
      <c r="Y1712" t="s">
        <v>2706</v>
      </c>
      <c r="Z1712" t="str">
        <f t="shared" si="388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389"/>
        <v>40544</v>
      </c>
      <c r="D1713" s="4">
        <f t="shared" si="390"/>
        <v>9.0410958904109592E-2</v>
      </c>
      <c r="E1713" s="3">
        <f t="shared" si="391"/>
        <v>2011</v>
      </c>
      <c r="F1713" s="3">
        <f t="shared" si="392"/>
        <v>2</v>
      </c>
      <c r="G1713" s="3">
        <f t="shared" si="393"/>
        <v>3</v>
      </c>
      <c r="H1713" s="3">
        <f t="shared" si="394"/>
        <v>9</v>
      </c>
      <c r="I1713" s="3">
        <f t="shared" si="395"/>
        <v>0</v>
      </c>
      <c r="J1713" s="3">
        <f t="shared" si="396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397"/>
        <v>YES</v>
      </c>
      <c r="Q1713" t="str">
        <f t="shared" si="398"/>
        <v>NO</v>
      </c>
      <c r="R1713" t="str">
        <f t="shared" si="399"/>
        <v>NO</v>
      </c>
      <c r="T1713" t="s">
        <v>958</v>
      </c>
      <c r="U1713" t="str">
        <f t="shared" si="386"/>
        <v>Pacific St</v>
      </c>
      <c r="V1713" t="s">
        <v>249</v>
      </c>
      <c r="W1713" t="str">
        <f t="shared" si="387"/>
        <v>Landsdowne St</v>
      </c>
      <c r="X1713" t="str">
        <f>IF(ISBLANK(S1713),"Intersection","Non-Intersection")</f>
        <v>Intersection</v>
      </c>
      <c r="Y1713" t="s">
        <v>2699</v>
      </c>
      <c r="Z1713" t="str">
        <f t="shared" si="388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389"/>
        <v>40544</v>
      </c>
      <c r="D1714" s="4">
        <f t="shared" si="390"/>
        <v>9.0410958904109592E-2</v>
      </c>
      <c r="E1714" s="3">
        <f t="shared" si="391"/>
        <v>2011</v>
      </c>
      <c r="F1714" s="3">
        <f t="shared" si="392"/>
        <v>2</v>
      </c>
      <c r="G1714" s="3">
        <f t="shared" si="393"/>
        <v>3</v>
      </c>
      <c r="H1714" s="3">
        <f t="shared" si="394"/>
        <v>21</v>
      </c>
      <c r="I1714" s="3">
        <f t="shared" si="395"/>
        <v>30</v>
      </c>
      <c r="J1714" s="3">
        <f t="shared" si="396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397"/>
        <v>YES</v>
      </c>
      <c r="Q1714" t="str">
        <f t="shared" si="398"/>
        <v>NO</v>
      </c>
      <c r="R1714" t="str">
        <f t="shared" si="399"/>
        <v>NO</v>
      </c>
      <c r="S1714">
        <v>699</v>
      </c>
      <c r="T1714" t="s">
        <v>198</v>
      </c>
      <c r="U1714" t="str">
        <f t="shared" si="386"/>
        <v>Mount Auburn St</v>
      </c>
      <c r="W1714" t="str">
        <f t="shared" si="387"/>
        <v/>
      </c>
      <c r="X1714" t="str">
        <f>IF(ISBLANK(S1714),"Intersection","Non-Intersection")</f>
        <v>Non-Intersection</v>
      </c>
      <c r="Y1714" t="s">
        <v>585</v>
      </c>
      <c r="Z1714" t="str">
        <f t="shared" si="388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389"/>
        <v>40544</v>
      </c>
      <c r="D1715" s="4">
        <f t="shared" si="390"/>
        <v>9.0410958904109592E-2</v>
      </c>
      <c r="E1715" s="3">
        <f t="shared" si="391"/>
        <v>2011</v>
      </c>
      <c r="F1715" s="3">
        <f t="shared" si="392"/>
        <v>2</v>
      </c>
      <c r="G1715" s="3">
        <f t="shared" si="393"/>
        <v>3</v>
      </c>
      <c r="H1715" s="3">
        <f t="shared" si="394"/>
        <v>15</v>
      </c>
      <c r="I1715" s="3">
        <f t="shared" si="395"/>
        <v>40</v>
      </c>
      <c r="J1715" s="3">
        <f t="shared" si="396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397"/>
        <v>YES</v>
      </c>
      <c r="Q1715" t="str">
        <f t="shared" si="398"/>
        <v>NO</v>
      </c>
      <c r="R1715" t="str">
        <f t="shared" si="399"/>
        <v>NO</v>
      </c>
      <c r="S1715">
        <v>111</v>
      </c>
      <c r="T1715" t="s">
        <v>216</v>
      </c>
      <c r="U1715" t="str">
        <f t="shared" si="386"/>
        <v>Washington Ave</v>
      </c>
      <c r="W1715" t="str">
        <f t="shared" si="387"/>
        <v/>
      </c>
      <c r="X1715" t="str">
        <f>IF(ISBLANK(S1715),"Intersection","Non-Intersection")</f>
        <v>Non-Intersection</v>
      </c>
      <c r="Y1715" t="s">
        <v>2708</v>
      </c>
      <c r="Z1715" t="str">
        <f t="shared" si="388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389"/>
        <v>40544</v>
      </c>
      <c r="D1716" s="4">
        <f t="shared" si="390"/>
        <v>9.0410958904109592E-2</v>
      </c>
      <c r="E1716" s="3">
        <f t="shared" si="391"/>
        <v>2011</v>
      </c>
      <c r="F1716" s="3">
        <f t="shared" si="392"/>
        <v>2</v>
      </c>
      <c r="G1716" s="3">
        <f t="shared" si="393"/>
        <v>3</v>
      </c>
      <c r="H1716" s="3">
        <f t="shared" si="394"/>
        <v>23</v>
      </c>
      <c r="I1716" s="3">
        <f t="shared" si="395"/>
        <v>39</v>
      </c>
      <c r="J1716" s="3">
        <f t="shared" si="396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397"/>
        <v>YES</v>
      </c>
      <c r="Q1716" t="str">
        <f t="shared" si="398"/>
        <v>NO</v>
      </c>
      <c r="R1716" t="str">
        <f t="shared" si="399"/>
        <v>NO</v>
      </c>
      <c r="T1716" t="s">
        <v>710</v>
      </c>
      <c r="U1716" t="str">
        <f t="shared" si="386"/>
        <v>Fresh Pond Pky</v>
      </c>
      <c r="V1716" t="s">
        <v>142</v>
      </c>
      <c r="W1716" t="str">
        <f t="shared" si="387"/>
        <v>Huron Ave</v>
      </c>
      <c r="X1716" t="str">
        <f>IF(ISBLANK(S1716),"Intersection","Non-Intersection")</f>
        <v>Intersection</v>
      </c>
      <c r="Y1716" t="s">
        <v>2710</v>
      </c>
      <c r="Z1716" t="str">
        <f t="shared" si="388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389"/>
        <v>40544</v>
      </c>
      <c r="D1717" s="4">
        <f t="shared" si="390"/>
        <v>9.3150684931506855E-2</v>
      </c>
      <c r="E1717" s="3">
        <f t="shared" si="391"/>
        <v>2011</v>
      </c>
      <c r="F1717" s="3">
        <f t="shared" si="392"/>
        <v>2</v>
      </c>
      <c r="G1717" s="3">
        <f t="shared" si="393"/>
        <v>4</v>
      </c>
      <c r="H1717" s="3">
        <f t="shared" si="394"/>
        <v>21</v>
      </c>
      <c r="I1717" s="3">
        <f t="shared" si="395"/>
        <v>30</v>
      </c>
      <c r="J1717" s="3">
        <f t="shared" si="396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397"/>
        <v>YES</v>
      </c>
      <c r="Q1717" t="str">
        <f t="shared" si="398"/>
        <v>NO</v>
      </c>
      <c r="R1717" t="str">
        <f t="shared" si="399"/>
        <v>NO</v>
      </c>
      <c r="S1717">
        <v>86</v>
      </c>
      <c r="T1717" t="s">
        <v>216</v>
      </c>
      <c r="U1717" t="str">
        <f t="shared" si="386"/>
        <v>Washington Ave</v>
      </c>
      <c r="W1717" t="str">
        <f t="shared" si="387"/>
        <v/>
      </c>
      <c r="X1717" t="str">
        <f>IF(ISBLANK(S1717),"Intersection","Non-Intersection")</f>
        <v>Non-Intersection</v>
      </c>
      <c r="Y1717" t="s">
        <v>2712</v>
      </c>
      <c r="Z1717" t="str">
        <f t="shared" si="388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389"/>
        <v>40544</v>
      </c>
      <c r="D1718" s="4">
        <f t="shared" si="390"/>
        <v>9.3150684931506855E-2</v>
      </c>
      <c r="E1718" s="3">
        <f t="shared" si="391"/>
        <v>2011</v>
      </c>
      <c r="F1718" s="3">
        <f t="shared" si="392"/>
        <v>2</v>
      </c>
      <c r="G1718" s="3">
        <f t="shared" si="393"/>
        <v>4</v>
      </c>
      <c r="H1718" s="3">
        <f t="shared" si="394"/>
        <v>14</v>
      </c>
      <c r="I1718" s="3">
        <f t="shared" si="395"/>
        <v>39</v>
      </c>
      <c r="J1718" s="3">
        <f t="shared" si="396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397"/>
        <v>YES</v>
      </c>
      <c r="Q1718" t="str">
        <f t="shared" si="398"/>
        <v>NO</v>
      </c>
      <c r="R1718" t="str">
        <f t="shared" si="399"/>
        <v>NO</v>
      </c>
      <c r="T1718" t="s">
        <v>14</v>
      </c>
      <c r="U1718" t="str">
        <f t="shared" si="386"/>
        <v>Massachusetts Ave</v>
      </c>
      <c r="V1718" t="s">
        <v>202</v>
      </c>
      <c r="W1718" t="str">
        <f t="shared" si="387"/>
        <v>Vassar St</v>
      </c>
      <c r="X1718" t="str">
        <f>IF(ISBLANK(S1718),"Intersection","Non-Intersection")</f>
        <v>Intersection</v>
      </c>
      <c r="Y1718" t="s">
        <v>361</v>
      </c>
      <c r="Z1718" t="str">
        <f t="shared" si="388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389"/>
        <v>40544</v>
      </c>
      <c r="D1719" s="4">
        <f t="shared" si="390"/>
        <v>9.3150684931506855E-2</v>
      </c>
      <c r="E1719" s="3">
        <f t="shared" si="391"/>
        <v>2011</v>
      </c>
      <c r="F1719" s="3">
        <f t="shared" si="392"/>
        <v>2</v>
      </c>
      <c r="G1719" s="3">
        <f t="shared" si="393"/>
        <v>4</v>
      </c>
      <c r="H1719" s="3">
        <f t="shared" si="394"/>
        <v>2</v>
      </c>
      <c r="I1719" s="3">
        <f t="shared" si="395"/>
        <v>29</v>
      </c>
      <c r="J1719" s="3">
        <f t="shared" si="396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397"/>
        <v>YES</v>
      </c>
      <c r="Q1719" t="str">
        <f t="shared" si="398"/>
        <v>NO</v>
      </c>
      <c r="R1719" t="str">
        <f t="shared" si="399"/>
        <v>NO</v>
      </c>
      <c r="S1719">
        <v>77</v>
      </c>
      <c r="T1719" t="s">
        <v>14</v>
      </c>
      <c r="U1719" t="str">
        <f t="shared" si="386"/>
        <v>Massachusetts Ave</v>
      </c>
      <c r="W1719" t="str">
        <f t="shared" si="387"/>
        <v/>
      </c>
      <c r="X1719" t="str">
        <f>IF(ISBLANK(S1719),"Intersection","Non-Intersection")</f>
        <v>Non-Intersection</v>
      </c>
      <c r="Y1719" t="s">
        <v>415</v>
      </c>
      <c r="Z1719" t="str">
        <f t="shared" si="388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389"/>
        <v>40544</v>
      </c>
      <c r="D1720" s="4">
        <f t="shared" si="390"/>
        <v>9.3150684931506855E-2</v>
      </c>
      <c r="E1720" s="3">
        <f t="shared" si="391"/>
        <v>2011</v>
      </c>
      <c r="F1720" s="3">
        <f t="shared" si="392"/>
        <v>2</v>
      </c>
      <c r="G1720" s="3">
        <f t="shared" si="393"/>
        <v>4</v>
      </c>
      <c r="H1720" s="3">
        <f t="shared" si="394"/>
        <v>6</v>
      </c>
      <c r="I1720" s="3">
        <f t="shared" si="395"/>
        <v>30</v>
      </c>
      <c r="J1720" s="3">
        <f t="shared" si="396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397"/>
        <v>YES</v>
      </c>
      <c r="Q1720" t="str">
        <f t="shared" si="398"/>
        <v>NO</v>
      </c>
      <c r="R1720" t="str">
        <f t="shared" si="399"/>
        <v>NO</v>
      </c>
      <c r="S1720">
        <v>63</v>
      </c>
      <c r="T1720" t="s">
        <v>840</v>
      </c>
      <c r="U1720" t="str">
        <f t="shared" si="386"/>
        <v>Church St</v>
      </c>
      <c r="W1720" t="str">
        <f t="shared" si="387"/>
        <v/>
      </c>
      <c r="X1720" t="str">
        <f>IF(ISBLANK(S1720),"Intersection","Non-Intersection")</f>
        <v>Non-Intersection</v>
      </c>
      <c r="Y1720" t="s">
        <v>2714</v>
      </c>
      <c r="Z1720" t="str">
        <f t="shared" si="388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389"/>
        <v>40544</v>
      </c>
      <c r="D1721" s="4">
        <f t="shared" si="390"/>
        <v>9.3150684931506855E-2</v>
      </c>
      <c r="E1721" s="3">
        <f t="shared" si="391"/>
        <v>2011</v>
      </c>
      <c r="F1721" s="3">
        <f t="shared" si="392"/>
        <v>2</v>
      </c>
      <c r="G1721" s="3">
        <f t="shared" si="393"/>
        <v>4</v>
      </c>
      <c r="H1721" s="3">
        <f t="shared" si="394"/>
        <v>6</v>
      </c>
      <c r="I1721" s="3">
        <f t="shared" si="395"/>
        <v>59</v>
      </c>
      <c r="J1721" s="3">
        <f t="shared" si="396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397"/>
        <v>YES</v>
      </c>
      <c r="Q1721" t="str">
        <f t="shared" si="398"/>
        <v>NO</v>
      </c>
      <c r="R1721" t="str">
        <f t="shared" si="399"/>
        <v>NO</v>
      </c>
      <c r="S1721">
        <v>586</v>
      </c>
      <c r="T1721" t="s">
        <v>2716</v>
      </c>
      <c r="U1721" t="str">
        <f t="shared" si="386"/>
        <v>Gibson St</v>
      </c>
      <c r="W1721" t="str">
        <f t="shared" si="387"/>
        <v/>
      </c>
      <c r="X1721" t="str">
        <f>IF(ISBLANK(S1721),"Intersection","Non-Intersection")</f>
        <v>Non-Intersection</v>
      </c>
      <c r="Y1721" t="s">
        <v>2717</v>
      </c>
      <c r="Z1721" t="str">
        <f t="shared" si="388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389"/>
        <v>40544</v>
      </c>
      <c r="D1722" s="4">
        <f t="shared" si="390"/>
        <v>9.3150684931506855E-2</v>
      </c>
      <c r="E1722" s="3">
        <f t="shared" si="391"/>
        <v>2011</v>
      </c>
      <c r="F1722" s="3">
        <f t="shared" si="392"/>
        <v>2</v>
      </c>
      <c r="G1722" s="3">
        <f t="shared" si="393"/>
        <v>4</v>
      </c>
      <c r="H1722" s="3">
        <f t="shared" si="394"/>
        <v>7</v>
      </c>
      <c r="I1722" s="3">
        <f t="shared" si="395"/>
        <v>19</v>
      </c>
      <c r="J1722" s="3">
        <f t="shared" si="396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397"/>
        <v>YES</v>
      </c>
      <c r="Q1722" t="str">
        <f t="shared" si="398"/>
        <v>NO</v>
      </c>
      <c r="R1722" t="str">
        <f t="shared" si="399"/>
        <v>NO</v>
      </c>
      <c r="T1722" t="s">
        <v>19</v>
      </c>
      <c r="U1722" t="str">
        <f t="shared" si="386"/>
        <v>Cambridge St</v>
      </c>
      <c r="V1722" t="s">
        <v>1174</v>
      </c>
      <c r="W1722" t="str">
        <f t="shared" si="387"/>
        <v>Roberts Rd</v>
      </c>
      <c r="X1722" t="str">
        <f>IF(ISBLANK(S1722),"Intersection","Non-Intersection")</f>
        <v>Intersection</v>
      </c>
      <c r="Y1722" t="s">
        <v>1175</v>
      </c>
      <c r="Z1722" t="str">
        <f t="shared" si="388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389"/>
        <v>40544</v>
      </c>
      <c r="D1723" s="4">
        <f t="shared" si="390"/>
        <v>9.3150684931506855E-2</v>
      </c>
      <c r="E1723" s="3">
        <f t="shared" si="391"/>
        <v>2011</v>
      </c>
      <c r="F1723" s="3">
        <f t="shared" si="392"/>
        <v>2</v>
      </c>
      <c r="G1723" s="3">
        <f t="shared" si="393"/>
        <v>4</v>
      </c>
      <c r="H1723" s="3">
        <f t="shared" si="394"/>
        <v>7</v>
      </c>
      <c r="I1723" s="3">
        <f t="shared" si="395"/>
        <v>30</v>
      </c>
      <c r="J1723" s="3">
        <f t="shared" si="396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397"/>
        <v>YES</v>
      </c>
      <c r="Q1723" t="str">
        <f t="shared" si="398"/>
        <v>NO</v>
      </c>
      <c r="R1723" t="str">
        <f t="shared" si="399"/>
        <v>NO</v>
      </c>
      <c r="S1723">
        <v>28</v>
      </c>
      <c r="T1723" t="s">
        <v>506</v>
      </c>
      <c r="U1723" t="str">
        <f t="shared" si="386"/>
        <v>Bigelow St</v>
      </c>
      <c r="W1723" t="str">
        <f t="shared" si="387"/>
        <v/>
      </c>
      <c r="X1723" t="str">
        <f>IF(ISBLANK(S1723),"Intersection","Non-Intersection")</f>
        <v>Non-Intersection</v>
      </c>
      <c r="Y1723" t="s">
        <v>2719</v>
      </c>
      <c r="Z1723" t="str">
        <f t="shared" si="388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389"/>
        <v>40544</v>
      </c>
      <c r="D1724" s="4">
        <f t="shared" si="390"/>
        <v>9.3150684931506855E-2</v>
      </c>
      <c r="E1724" s="3">
        <f t="shared" si="391"/>
        <v>2011</v>
      </c>
      <c r="F1724" s="3">
        <f t="shared" si="392"/>
        <v>2</v>
      </c>
      <c r="G1724" s="3">
        <f t="shared" si="393"/>
        <v>4</v>
      </c>
      <c r="H1724" s="3">
        <f t="shared" si="394"/>
        <v>7</v>
      </c>
      <c r="I1724" s="3">
        <f t="shared" si="395"/>
        <v>30</v>
      </c>
      <c r="J1724" s="3">
        <f t="shared" si="396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397"/>
        <v>YES</v>
      </c>
      <c r="Q1724" t="str">
        <f t="shared" si="398"/>
        <v>NO</v>
      </c>
      <c r="R1724" t="str">
        <f t="shared" si="399"/>
        <v>NO</v>
      </c>
      <c r="S1724">
        <v>201</v>
      </c>
      <c r="T1724" t="s">
        <v>202</v>
      </c>
      <c r="U1724" t="str">
        <f t="shared" si="386"/>
        <v>Vassar St</v>
      </c>
      <c r="W1724" t="str">
        <f t="shared" si="387"/>
        <v/>
      </c>
      <c r="X1724" t="str">
        <f>IF(ISBLANK(S1724),"Intersection","Non-Intersection")</f>
        <v>Non-Intersection</v>
      </c>
      <c r="Y1724" t="s">
        <v>2721</v>
      </c>
      <c r="Z1724" t="str">
        <f t="shared" si="388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389"/>
        <v>40544</v>
      </c>
      <c r="D1725" s="4">
        <f t="shared" si="390"/>
        <v>9.3150684931506855E-2</v>
      </c>
      <c r="E1725" s="3">
        <f t="shared" si="391"/>
        <v>2011</v>
      </c>
      <c r="F1725" s="3">
        <f t="shared" si="392"/>
        <v>2</v>
      </c>
      <c r="G1725" s="3">
        <f t="shared" si="393"/>
        <v>4</v>
      </c>
      <c r="H1725" s="3">
        <f t="shared" si="394"/>
        <v>11</v>
      </c>
      <c r="I1725" s="3">
        <f t="shared" si="395"/>
        <v>29</v>
      </c>
      <c r="J1725" s="3">
        <f t="shared" si="396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397"/>
        <v>YES</v>
      </c>
      <c r="Q1725" t="str">
        <f t="shared" si="398"/>
        <v>NO</v>
      </c>
      <c r="R1725" t="str">
        <f t="shared" si="399"/>
        <v>NO</v>
      </c>
      <c r="S1725">
        <v>808</v>
      </c>
      <c r="T1725" t="s">
        <v>203</v>
      </c>
      <c r="U1725" t="str">
        <f t="shared" si="386"/>
        <v>Memorial Dr</v>
      </c>
      <c r="W1725" t="str">
        <f t="shared" si="387"/>
        <v/>
      </c>
      <c r="X1725" t="str">
        <f>IF(ISBLANK(S1725),"Intersection","Non-Intersection")</f>
        <v>Non-Intersection</v>
      </c>
      <c r="Y1725" t="s">
        <v>1748</v>
      </c>
      <c r="Z1725" t="str">
        <f t="shared" si="388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389"/>
        <v>40544</v>
      </c>
      <c r="D1726" s="4">
        <f t="shared" si="390"/>
        <v>9.3150684931506855E-2</v>
      </c>
      <c r="E1726" s="3">
        <f t="shared" si="391"/>
        <v>2011</v>
      </c>
      <c r="F1726" s="3">
        <f t="shared" si="392"/>
        <v>2</v>
      </c>
      <c r="G1726" s="3">
        <f t="shared" si="393"/>
        <v>4</v>
      </c>
      <c r="H1726" s="3">
        <f t="shared" si="394"/>
        <v>15</v>
      </c>
      <c r="I1726" s="3">
        <f t="shared" si="395"/>
        <v>4</v>
      </c>
      <c r="J1726" s="3">
        <f t="shared" si="396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397"/>
        <v>YES</v>
      </c>
      <c r="Q1726" t="str">
        <f t="shared" si="398"/>
        <v>NO</v>
      </c>
      <c r="R1726" t="str">
        <f t="shared" si="399"/>
        <v>YES</v>
      </c>
      <c r="T1726" t="s">
        <v>14</v>
      </c>
      <c r="U1726" t="str">
        <f t="shared" si="386"/>
        <v>Massachusetts Ave</v>
      </c>
      <c r="V1726" t="s">
        <v>268</v>
      </c>
      <c r="W1726" t="str">
        <f t="shared" si="387"/>
        <v>White St</v>
      </c>
      <c r="X1726" t="str">
        <f>IF(ISBLANK(S1726),"Intersection","Non-Intersection")</f>
        <v>Intersection</v>
      </c>
      <c r="Y1726" t="s">
        <v>2723</v>
      </c>
      <c r="Z1726" t="str">
        <f t="shared" si="388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389"/>
        <v>40544</v>
      </c>
      <c r="D1727" s="4">
        <f t="shared" si="390"/>
        <v>9.3150684931506855E-2</v>
      </c>
      <c r="E1727" s="3">
        <f t="shared" si="391"/>
        <v>2011</v>
      </c>
      <c r="F1727" s="3">
        <f t="shared" si="392"/>
        <v>2</v>
      </c>
      <c r="G1727" s="3">
        <f t="shared" si="393"/>
        <v>4</v>
      </c>
      <c r="H1727" s="3">
        <f t="shared" si="394"/>
        <v>15</v>
      </c>
      <c r="I1727" s="3">
        <f t="shared" si="395"/>
        <v>20</v>
      </c>
      <c r="J1727" s="3">
        <f t="shared" si="396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397"/>
        <v>YES</v>
      </c>
      <c r="Q1727" t="str">
        <f t="shared" si="398"/>
        <v>NO</v>
      </c>
      <c r="R1727" t="str">
        <f t="shared" si="399"/>
        <v>NO</v>
      </c>
      <c r="T1727" t="s">
        <v>28</v>
      </c>
      <c r="U1727" t="str">
        <f t="shared" si="386"/>
        <v>Howard St</v>
      </c>
      <c r="W1727" t="str">
        <f t="shared" si="387"/>
        <v/>
      </c>
      <c r="X1727" t="str">
        <f>IF(ISBLANK(S1727),"Intersection","Non-Intersection")</f>
        <v>Intersection</v>
      </c>
      <c r="Y1727" t="s">
        <v>2725</v>
      </c>
      <c r="Z1727" t="str">
        <f t="shared" si="388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389"/>
        <v>40544</v>
      </c>
      <c r="D1728" s="4">
        <f t="shared" si="390"/>
        <v>9.3150684931506855E-2</v>
      </c>
      <c r="E1728" s="3">
        <f t="shared" si="391"/>
        <v>2011</v>
      </c>
      <c r="F1728" s="3">
        <f t="shared" si="392"/>
        <v>2</v>
      </c>
      <c r="G1728" s="3">
        <f t="shared" si="393"/>
        <v>4</v>
      </c>
      <c r="H1728" s="3">
        <f t="shared" si="394"/>
        <v>15</v>
      </c>
      <c r="I1728" s="3">
        <f t="shared" si="395"/>
        <v>58</v>
      </c>
      <c r="J1728" s="3">
        <f t="shared" si="396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397"/>
        <v>YES</v>
      </c>
      <c r="Q1728" t="str">
        <f t="shared" si="398"/>
        <v>NO</v>
      </c>
      <c r="R1728" t="str">
        <f t="shared" si="399"/>
        <v>NO</v>
      </c>
      <c r="S1728">
        <v>119</v>
      </c>
      <c r="T1728" t="s">
        <v>189</v>
      </c>
      <c r="U1728" t="str">
        <f t="shared" si="386"/>
        <v>Windsor St</v>
      </c>
      <c r="W1728" t="str">
        <f t="shared" si="387"/>
        <v/>
      </c>
      <c r="X1728" t="str">
        <f>IF(ISBLANK(S1728),"Intersection","Non-Intersection")</f>
        <v>Non-Intersection</v>
      </c>
      <c r="Y1728" t="s">
        <v>1030</v>
      </c>
      <c r="Z1728" t="str">
        <f t="shared" si="388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389"/>
        <v>40544</v>
      </c>
      <c r="D1729" s="4">
        <f t="shared" si="390"/>
        <v>9.3150684931506855E-2</v>
      </c>
      <c r="E1729" s="3">
        <f t="shared" si="391"/>
        <v>2011</v>
      </c>
      <c r="F1729" s="3">
        <f t="shared" si="392"/>
        <v>2</v>
      </c>
      <c r="G1729" s="3">
        <f t="shared" si="393"/>
        <v>4</v>
      </c>
      <c r="H1729" s="3">
        <f t="shared" si="394"/>
        <v>17</v>
      </c>
      <c r="I1729" s="3">
        <f t="shared" si="395"/>
        <v>0</v>
      </c>
      <c r="J1729" s="3">
        <f t="shared" si="396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397"/>
        <v>YES</v>
      </c>
      <c r="Q1729" t="str">
        <f t="shared" si="398"/>
        <v>NO</v>
      </c>
      <c r="R1729" t="str">
        <f t="shared" si="399"/>
        <v>NO</v>
      </c>
      <c r="S1729">
        <v>33</v>
      </c>
      <c r="T1729" t="s">
        <v>166</v>
      </c>
      <c r="U1729" t="str">
        <f t="shared" si="386"/>
        <v>Oxford Ave</v>
      </c>
      <c r="W1729" t="str">
        <f t="shared" si="387"/>
        <v/>
      </c>
      <c r="X1729" t="str">
        <f>IF(ISBLANK(S1729),"Intersection","Non-Intersection")</f>
        <v>Non-Intersection</v>
      </c>
      <c r="Y1729" t="s">
        <v>2726</v>
      </c>
      <c r="Z1729" t="str">
        <f t="shared" si="388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389"/>
        <v>40544</v>
      </c>
      <c r="D1730" s="4">
        <f t="shared" si="390"/>
        <v>9.3150684931506855E-2</v>
      </c>
      <c r="E1730" s="3">
        <f t="shared" si="391"/>
        <v>2011</v>
      </c>
      <c r="F1730" s="3">
        <f t="shared" si="392"/>
        <v>2</v>
      </c>
      <c r="G1730" s="3">
        <f t="shared" si="393"/>
        <v>4</v>
      </c>
      <c r="H1730" s="3">
        <f t="shared" si="394"/>
        <v>17</v>
      </c>
      <c r="I1730" s="3">
        <f t="shared" si="395"/>
        <v>29</v>
      </c>
      <c r="J1730" s="3">
        <f t="shared" si="396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397"/>
        <v>YES</v>
      </c>
      <c r="Q1730" t="str">
        <f t="shared" si="398"/>
        <v>NO</v>
      </c>
      <c r="R1730" t="str">
        <f t="shared" si="399"/>
        <v>NO</v>
      </c>
      <c r="T1730" t="s">
        <v>252</v>
      </c>
      <c r="U1730" t="str">
        <f t="shared" si="386"/>
        <v>Walden St</v>
      </c>
      <c r="V1730" t="s">
        <v>186</v>
      </c>
      <c r="W1730" t="str">
        <f t="shared" si="387"/>
        <v>Concord Ave</v>
      </c>
      <c r="X1730" t="str">
        <f>IF(ISBLANK(S1730),"Intersection","Non-Intersection")</f>
        <v>Intersection</v>
      </c>
      <c r="Y1730" t="s">
        <v>1880</v>
      </c>
      <c r="Z1730" t="str">
        <f t="shared" si="388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389"/>
        <v>40544</v>
      </c>
      <c r="D1731" s="4">
        <f t="shared" si="390"/>
        <v>9.3150684931506855E-2</v>
      </c>
      <c r="E1731" s="3">
        <f t="shared" si="391"/>
        <v>2011</v>
      </c>
      <c r="F1731" s="3">
        <f t="shared" si="392"/>
        <v>2</v>
      </c>
      <c r="G1731" s="3">
        <f t="shared" si="393"/>
        <v>4</v>
      </c>
      <c r="H1731" s="3">
        <f t="shared" si="394"/>
        <v>18</v>
      </c>
      <c r="I1731" s="3">
        <f t="shared" si="395"/>
        <v>30</v>
      </c>
      <c r="J1731" s="3">
        <f t="shared" si="396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397"/>
        <v>YES</v>
      </c>
      <c r="Q1731" t="str">
        <f t="shared" si="398"/>
        <v>NO</v>
      </c>
      <c r="R1731" t="str">
        <f t="shared" si="399"/>
        <v>NO</v>
      </c>
      <c r="T1731" t="s">
        <v>2382</v>
      </c>
      <c r="U1731" t="str">
        <f t="shared" ref="U1731:U1794" si="400">TRIM(PROPER(T1731))</f>
        <v>Amesbury St</v>
      </c>
      <c r="W1731" t="str">
        <f t="shared" ref="W1731:W1794" si="401">TRIM(PROPER(V1731))</f>
        <v/>
      </c>
      <c r="X1731" t="str">
        <f>IF(ISBLANK(S1731),"Intersection","Non-Intersection")</f>
        <v>Intersection</v>
      </c>
      <c r="Y1731" t="s">
        <v>2728</v>
      </c>
      <c r="Z1731" t="str">
        <f t="shared" ref="Z1731:Z1794" si="402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389"/>
        <v>40544</v>
      </c>
      <c r="D1732" s="4">
        <f t="shared" si="390"/>
        <v>9.3150684931506855E-2</v>
      </c>
      <c r="E1732" s="3">
        <f t="shared" si="391"/>
        <v>2011</v>
      </c>
      <c r="F1732" s="3">
        <f t="shared" si="392"/>
        <v>2</v>
      </c>
      <c r="G1732" s="3">
        <f t="shared" si="393"/>
        <v>4</v>
      </c>
      <c r="H1732" s="3">
        <f t="shared" si="394"/>
        <v>18</v>
      </c>
      <c r="I1732" s="3">
        <f t="shared" si="395"/>
        <v>30</v>
      </c>
      <c r="J1732" s="3">
        <f t="shared" si="396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397"/>
        <v>YES</v>
      </c>
      <c r="Q1732" t="str">
        <f t="shared" si="398"/>
        <v>NO</v>
      </c>
      <c r="R1732" t="str">
        <f t="shared" si="399"/>
        <v>NO</v>
      </c>
      <c r="T1732" t="s">
        <v>379</v>
      </c>
      <c r="U1732" t="str">
        <f t="shared" si="400"/>
        <v>Second St</v>
      </c>
      <c r="V1732" t="s">
        <v>19</v>
      </c>
      <c r="W1732" t="str">
        <f t="shared" si="401"/>
        <v>Cambridge St</v>
      </c>
      <c r="X1732" t="str">
        <f>IF(ISBLANK(S1732),"Intersection","Non-Intersection")</f>
        <v>Intersection</v>
      </c>
      <c r="Y1732" t="s">
        <v>2729</v>
      </c>
      <c r="Z1732" t="str">
        <f t="shared" si="402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389"/>
        <v>40544</v>
      </c>
      <c r="D1733" s="4">
        <f t="shared" si="390"/>
        <v>9.3150684931506855E-2</v>
      </c>
      <c r="E1733" s="3">
        <f t="shared" si="391"/>
        <v>2011</v>
      </c>
      <c r="F1733" s="3">
        <f t="shared" si="392"/>
        <v>2</v>
      </c>
      <c r="G1733" s="3">
        <f t="shared" si="393"/>
        <v>4</v>
      </c>
      <c r="H1733" s="3">
        <f t="shared" si="394"/>
        <v>20</v>
      </c>
      <c r="I1733" s="3">
        <f t="shared" si="395"/>
        <v>29</v>
      </c>
      <c r="J1733" s="3">
        <f t="shared" si="396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397"/>
        <v>YES</v>
      </c>
      <c r="Q1733" t="str">
        <f t="shared" si="398"/>
        <v>NO</v>
      </c>
      <c r="R1733" t="str">
        <f t="shared" si="399"/>
        <v>NO</v>
      </c>
      <c r="S1733">
        <v>38</v>
      </c>
      <c r="T1733" t="s">
        <v>506</v>
      </c>
      <c r="U1733" t="str">
        <f t="shared" si="400"/>
        <v>Bigelow St</v>
      </c>
      <c r="W1733" t="str">
        <f t="shared" si="401"/>
        <v/>
      </c>
      <c r="X1733" t="str">
        <f>IF(ISBLANK(S1733),"Intersection","Non-Intersection")</f>
        <v>Non-Intersection</v>
      </c>
      <c r="Y1733" t="s">
        <v>2730</v>
      </c>
      <c r="Z1733" t="str">
        <f t="shared" si="402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389"/>
        <v>40544</v>
      </c>
      <c r="D1734" s="4">
        <f t="shared" si="390"/>
        <v>9.3150684931506855E-2</v>
      </c>
      <c r="E1734" s="3">
        <f t="shared" si="391"/>
        <v>2011</v>
      </c>
      <c r="F1734" s="3">
        <f t="shared" si="392"/>
        <v>2</v>
      </c>
      <c r="G1734" s="3">
        <f t="shared" si="393"/>
        <v>4</v>
      </c>
      <c r="H1734" s="3">
        <f t="shared" si="394"/>
        <v>20</v>
      </c>
      <c r="I1734" s="3">
        <f t="shared" si="395"/>
        <v>41</v>
      </c>
      <c r="J1734" s="3">
        <f t="shared" si="396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397"/>
        <v>YES</v>
      </c>
      <c r="Q1734" t="str">
        <f t="shared" si="398"/>
        <v>NO</v>
      </c>
      <c r="R1734" t="str">
        <f t="shared" si="399"/>
        <v>NO</v>
      </c>
      <c r="T1734" t="s">
        <v>14</v>
      </c>
      <c r="U1734" t="str">
        <f t="shared" si="400"/>
        <v>Massachusetts Ave</v>
      </c>
      <c r="V1734" t="s">
        <v>1019</v>
      </c>
      <c r="W1734" t="str">
        <f t="shared" si="401"/>
        <v>Sellers St</v>
      </c>
      <c r="X1734" t="str">
        <f>IF(ISBLANK(S1734),"Intersection","Non-Intersection")</f>
        <v>Intersection</v>
      </c>
      <c r="Y1734" t="s">
        <v>2732</v>
      </c>
      <c r="Z1734" t="str">
        <f t="shared" si="402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389"/>
        <v>40544</v>
      </c>
      <c r="D1735" s="4">
        <f t="shared" si="390"/>
        <v>9.3150684931506855E-2</v>
      </c>
      <c r="E1735" s="3">
        <f t="shared" si="391"/>
        <v>2011</v>
      </c>
      <c r="F1735" s="3">
        <f t="shared" si="392"/>
        <v>2</v>
      </c>
      <c r="G1735" s="3">
        <f t="shared" si="393"/>
        <v>4</v>
      </c>
      <c r="H1735" s="3">
        <f t="shared" si="394"/>
        <v>21</v>
      </c>
      <c r="I1735" s="3">
        <f t="shared" si="395"/>
        <v>59</v>
      </c>
      <c r="J1735" s="3">
        <f t="shared" si="396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397"/>
        <v>YES</v>
      </c>
      <c r="Q1735" t="str">
        <f t="shared" si="398"/>
        <v>NO</v>
      </c>
      <c r="R1735" t="str">
        <f t="shared" si="399"/>
        <v>NO</v>
      </c>
      <c r="S1735">
        <v>164</v>
      </c>
      <c r="T1735" t="s">
        <v>737</v>
      </c>
      <c r="U1735" t="str">
        <f t="shared" si="400"/>
        <v>Willow St</v>
      </c>
      <c r="W1735" t="str">
        <f t="shared" si="401"/>
        <v/>
      </c>
      <c r="X1735" t="str">
        <f>IF(ISBLANK(S1735),"Intersection","Non-Intersection")</f>
        <v>Non-Intersection</v>
      </c>
      <c r="Y1735" t="s">
        <v>2734</v>
      </c>
      <c r="Z1735" t="str">
        <f t="shared" si="402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389"/>
        <v>40544</v>
      </c>
      <c r="D1736" s="4">
        <f t="shared" si="390"/>
        <v>9.3150684931506855E-2</v>
      </c>
      <c r="E1736" s="3">
        <f t="shared" si="391"/>
        <v>2011</v>
      </c>
      <c r="F1736" s="3">
        <f t="shared" si="392"/>
        <v>2</v>
      </c>
      <c r="G1736" s="3">
        <f t="shared" si="393"/>
        <v>4</v>
      </c>
      <c r="H1736" s="3">
        <f t="shared" si="394"/>
        <v>12</v>
      </c>
      <c r="I1736" s="3">
        <f t="shared" si="395"/>
        <v>0</v>
      </c>
      <c r="J1736" s="3">
        <f t="shared" si="396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397"/>
        <v>YES</v>
      </c>
      <c r="Q1736" t="str">
        <f t="shared" si="398"/>
        <v>NO</v>
      </c>
      <c r="R1736" t="str">
        <f t="shared" si="399"/>
        <v>NO</v>
      </c>
      <c r="S1736">
        <v>211</v>
      </c>
      <c r="T1736" t="s">
        <v>170</v>
      </c>
      <c r="U1736" t="str">
        <f t="shared" si="400"/>
        <v>Alewife Brook Pky</v>
      </c>
      <c r="W1736" t="str">
        <f t="shared" si="401"/>
        <v/>
      </c>
      <c r="X1736" t="str">
        <f>IF(ISBLANK(S1736),"Intersection","Non-Intersection")</f>
        <v>Non-Intersection</v>
      </c>
      <c r="Y1736" t="s">
        <v>1359</v>
      </c>
      <c r="Z1736" t="str">
        <f t="shared" si="402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389"/>
        <v>40544</v>
      </c>
      <c r="D1737" s="4">
        <f t="shared" si="390"/>
        <v>9.3150684931506855E-2</v>
      </c>
      <c r="E1737" s="3">
        <f t="shared" si="391"/>
        <v>2011</v>
      </c>
      <c r="F1737" s="3">
        <f t="shared" si="392"/>
        <v>2</v>
      </c>
      <c r="G1737" s="3">
        <f t="shared" si="393"/>
        <v>4</v>
      </c>
      <c r="H1737" s="3">
        <f t="shared" si="394"/>
        <v>15</v>
      </c>
      <c r="I1737" s="3">
        <f t="shared" si="395"/>
        <v>30</v>
      </c>
      <c r="J1737" s="3">
        <f t="shared" si="396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397"/>
        <v>YES</v>
      </c>
      <c r="Q1737" t="str">
        <f t="shared" si="398"/>
        <v>NO</v>
      </c>
      <c r="R1737" t="str">
        <f t="shared" si="399"/>
        <v>NO</v>
      </c>
      <c r="T1737" t="s">
        <v>1152</v>
      </c>
      <c r="U1737" t="str">
        <f t="shared" si="400"/>
        <v>Hamilton St</v>
      </c>
      <c r="W1737" t="str">
        <f t="shared" si="401"/>
        <v/>
      </c>
      <c r="X1737" t="str">
        <f>IF(ISBLANK(S1737),"Intersection","Non-Intersection")</f>
        <v>Intersection</v>
      </c>
      <c r="Y1737" t="s">
        <v>2736</v>
      </c>
      <c r="Z1737" t="str">
        <f t="shared" si="402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389"/>
        <v>40544</v>
      </c>
      <c r="D1738" s="4">
        <f t="shared" si="390"/>
        <v>9.5890410958904104E-2</v>
      </c>
      <c r="E1738" s="3">
        <f t="shared" si="391"/>
        <v>2011</v>
      </c>
      <c r="F1738" s="3">
        <f t="shared" si="392"/>
        <v>2</v>
      </c>
      <c r="G1738" s="3">
        <f t="shared" si="393"/>
        <v>5</v>
      </c>
      <c r="H1738" s="3">
        <f t="shared" si="394"/>
        <v>10</v>
      </c>
      <c r="I1738" s="3">
        <f t="shared" si="395"/>
        <v>28</v>
      </c>
      <c r="J1738" s="3">
        <f t="shared" si="396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397"/>
        <v>YES</v>
      </c>
      <c r="Q1738" t="str">
        <f t="shared" si="398"/>
        <v>NO</v>
      </c>
      <c r="R1738" t="str">
        <f t="shared" si="399"/>
        <v>NO</v>
      </c>
      <c r="T1738" t="s">
        <v>2737</v>
      </c>
      <c r="U1738" t="str">
        <f t="shared" si="400"/>
        <v>Woodbridge St</v>
      </c>
      <c r="V1738" t="s">
        <v>14</v>
      </c>
      <c r="W1738" t="str">
        <f t="shared" si="401"/>
        <v>Massachusetts Ave</v>
      </c>
      <c r="X1738" t="str">
        <f>IF(ISBLANK(S1738),"Intersection","Non-Intersection")</f>
        <v>Intersection</v>
      </c>
      <c r="Y1738" t="s">
        <v>2738</v>
      </c>
      <c r="Z1738" t="str">
        <f t="shared" si="402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389"/>
        <v>40544</v>
      </c>
      <c r="D1739" s="4">
        <f t="shared" si="390"/>
        <v>9.5890410958904104E-2</v>
      </c>
      <c r="E1739" s="3">
        <f t="shared" si="391"/>
        <v>2011</v>
      </c>
      <c r="F1739" s="3">
        <f t="shared" si="392"/>
        <v>2</v>
      </c>
      <c r="G1739" s="3">
        <f t="shared" si="393"/>
        <v>5</v>
      </c>
      <c r="H1739" s="3">
        <f t="shared" si="394"/>
        <v>0</v>
      </c>
      <c r="I1739" s="3">
        <f t="shared" si="395"/>
        <v>1</v>
      </c>
      <c r="J1739" s="3">
        <f t="shared" si="396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397"/>
        <v>YES</v>
      </c>
      <c r="Q1739" t="str">
        <f t="shared" si="398"/>
        <v>NO</v>
      </c>
      <c r="R1739" t="str">
        <f t="shared" si="399"/>
        <v>NO</v>
      </c>
      <c r="S1739">
        <v>244</v>
      </c>
      <c r="T1739" t="s">
        <v>199</v>
      </c>
      <c r="U1739" t="str">
        <f t="shared" si="400"/>
        <v>Brattle St</v>
      </c>
      <c r="W1739" t="str">
        <f t="shared" si="401"/>
        <v/>
      </c>
      <c r="X1739" t="str">
        <f>IF(ISBLANK(S1739),"Intersection","Non-Intersection")</f>
        <v>Non-Intersection</v>
      </c>
      <c r="Y1739" t="s">
        <v>2740</v>
      </c>
      <c r="Z1739" t="str">
        <f t="shared" si="402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389"/>
        <v>40544</v>
      </c>
      <c r="D1740" s="4">
        <f t="shared" si="390"/>
        <v>9.5890410958904104E-2</v>
      </c>
      <c r="E1740" s="3">
        <f t="shared" si="391"/>
        <v>2011</v>
      </c>
      <c r="F1740" s="3">
        <f t="shared" si="392"/>
        <v>2</v>
      </c>
      <c r="G1740" s="3">
        <f t="shared" si="393"/>
        <v>5</v>
      </c>
      <c r="H1740" s="3">
        <f t="shared" si="394"/>
        <v>1</v>
      </c>
      <c r="I1740" s="3">
        <f t="shared" si="395"/>
        <v>19</v>
      </c>
      <c r="J1740" s="3">
        <f t="shared" si="396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397"/>
        <v>YES</v>
      </c>
      <c r="Q1740" t="str">
        <f t="shared" si="398"/>
        <v>NO</v>
      </c>
      <c r="R1740" t="str">
        <f t="shared" si="399"/>
        <v>NO</v>
      </c>
      <c r="S1740">
        <v>263</v>
      </c>
      <c r="T1740" t="s">
        <v>15</v>
      </c>
      <c r="U1740" t="str">
        <f t="shared" si="400"/>
        <v>Rindge Ave</v>
      </c>
      <c r="W1740" t="str">
        <f t="shared" si="401"/>
        <v/>
      </c>
      <c r="X1740" t="str">
        <f>IF(ISBLANK(S1740),"Intersection","Non-Intersection")</f>
        <v>Non-Intersection</v>
      </c>
      <c r="Y1740" t="s">
        <v>2742</v>
      </c>
      <c r="Z1740" t="str">
        <f t="shared" si="402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389"/>
        <v>40544</v>
      </c>
      <c r="D1741" s="4">
        <f t="shared" si="390"/>
        <v>9.5890410958904104E-2</v>
      </c>
      <c r="E1741" s="3">
        <f t="shared" si="391"/>
        <v>2011</v>
      </c>
      <c r="F1741" s="3">
        <f t="shared" si="392"/>
        <v>2</v>
      </c>
      <c r="G1741" s="3">
        <f t="shared" si="393"/>
        <v>5</v>
      </c>
      <c r="H1741" s="3">
        <f t="shared" si="394"/>
        <v>10</v>
      </c>
      <c r="I1741" s="3">
        <f t="shared" si="395"/>
        <v>30</v>
      </c>
      <c r="J1741" s="3">
        <f t="shared" si="396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397"/>
        <v>YES</v>
      </c>
      <c r="Q1741" t="str">
        <f t="shared" si="398"/>
        <v>NO</v>
      </c>
      <c r="R1741" t="str">
        <f t="shared" si="399"/>
        <v>NO</v>
      </c>
      <c r="S1741">
        <v>244</v>
      </c>
      <c r="T1741" t="s">
        <v>199</v>
      </c>
      <c r="U1741" t="str">
        <f t="shared" si="400"/>
        <v>Brattle St</v>
      </c>
      <c r="W1741" t="str">
        <f t="shared" si="401"/>
        <v/>
      </c>
      <c r="X1741" t="str">
        <f>IF(ISBLANK(S1741),"Intersection","Non-Intersection")</f>
        <v>Non-Intersection</v>
      </c>
      <c r="Y1741" t="s">
        <v>2740</v>
      </c>
      <c r="Z1741" t="str">
        <f t="shared" si="402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389"/>
        <v>40544</v>
      </c>
      <c r="D1742" s="4">
        <f t="shared" si="390"/>
        <v>9.5890410958904104E-2</v>
      </c>
      <c r="E1742" s="3">
        <f t="shared" si="391"/>
        <v>2011</v>
      </c>
      <c r="F1742" s="3">
        <f t="shared" si="392"/>
        <v>2</v>
      </c>
      <c r="G1742" s="3">
        <f t="shared" si="393"/>
        <v>5</v>
      </c>
      <c r="H1742" s="3">
        <f t="shared" si="394"/>
        <v>10</v>
      </c>
      <c r="I1742" s="3">
        <f t="shared" si="395"/>
        <v>30</v>
      </c>
      <c r="J1742" s="3">
        <f t="shared" si="396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397"/>
        <v>YES</v>
      </c>
      <c r="Q1742" t="str">
        <f t="shared" si="398"/>
        <v>NO</v>
      </c>
      <c r="R1742" t="str">
        <f t="shared" si="399"/>
        <v>NO</v>
      </c>
      <c r="S1742">
        <v>33</v>
      </c>
      <c r="T1742" t="s">
        <v>1389</v>
      </c>
      <c r="U1742" t="str">
        <f t="shared" si="400"/>
        <v>Dover St</v>
      </c>
      <c r="W1742" t="str">
        <f t="shared" si="401"/>
        <v/>
      </c>
      <c r="X1742" t="str">
        <f>IF(ISBLANK(S1742),"Intersection","Non-Intersection")</f>
        <v>Non-Intersection</v>
      </c>
      <c r="Y1742" t="s">
        <v>2744</v>
      </c>
      <c r="Z1742" t="str">
        <f t="shared" si="402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389"/>
        <v>40544</v>
      </c>
      <c r="D1743" s="4">
        <f t="shared" si="390"/>
        <v>9.5890410958904104E-2</v>
      </c>
      <c r="E1743" s="3">
        <f t="shared" si="391"/>
        <v>2011</v>
      </c>
      <c r="F1743" s="3">
        <f t="shared" si="392"/>
        <v>2</v>
      </c>
      <c r="G1743" s="3">
        <f t="shared" si="393"/>
        <v>5</v>
      </c>
      <c r="H1743" s="3">
        <f t="shared" si="394"/>
        <v>10</v>
      </c>
      <c r="I1743" s="3">
        <f t="shared" si="395"/>
        <v>15</v>
      </c>
      <c r="J1743" s="3">
        <f t="shared" si="396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397"/>
        <v>YES</v>
      </c>
      <c r="Q1743" t="str">
        <f t="shared" si="398"/>
        <v>NO</v>
      </c>
      <c r="R1743" t="str">
        <f t="shared" si="399"/>
        <v>NO</v>
      </c>
      <c r="T1743" t="s">
        <v>14</v>
      </c>
      <c r="U1743" t="str">
        <f t="shared" si="400"/>
        <v>Massachusetts Ave</v>
      </c>
      <c r="W1743" t="str">
        <f t="shared" si="401"/>
        <v/>
      </c>
      <c r="X1743" t="str">
        <f>IF(ISBLANK(S1743),"Intersection","Non-Intersection")</f>
        <v>Intersection</v>
      </c>
      <c r="Y1743" t="s">
        <v>137</v>
      </c>
      <c r="Z1743" t="str">
        <f t="shared" si="402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389"/>
        <v>40544</v>
      </c>
      <c r="D1744" s="4">
        <f t="shared" si="390"/>
        <v>9.5890410958904104E-2</v>
      </c>
      <c r="E1744" s="3">
        <f t="shared" si="391"/>
        <v>2011</v>
      </c>
      <c r="F1744" s="3">
        <f t="shared" si="392"/>
        <v>2</v>
      </c>
      <c r="G1744" s="3">
        <f t="shared" si="393"/>
        <v>5</v>
      </c>
      <c r="H1744" s="3">
        <f t="shared" si="394"/>
        <v>16</v>
      </c>
      <c r="I1744" s="3">
        <f t="shared" si="395"/>
        <v>30</v>
      </c>
      <c r="J1744" s="3">
        <f t="shared" si="396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397"/>
        <v>YES</v>
      </c>
      <c r="Q1744" t="str">
        <f t="shared" si="398"/>
        <v>NO</v>
      </c>
      <c r="R1744" t="str">
        <f t="shared" si="399"/>
        <v>NO</v>
      </c>
      <c r="T1744" t="s">
        <v>556</v>
      </c>
      <c r="U1744" t="str">
        <f t="shared" si="400"/>
        <v>Bent St</v>
      </c>
      <c r="W1744" t="str">
        <f t="shared" si="401"/>
        <v/>
      </c>
      <c r="X1744" t="str">
        <f>IF(ISBLANK(S1744),"Intersection","Non-Intersection")</f>
        <v>Intersection</v>
      </c>
      <c r="Y1744" t="s">
        <v>2746</v>
      </c>
      <c r="Z1744" t="str">
        <f t="shared" si="402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389"/>
        <v>40544</v>
      </c>
      <c r="D1745" s="4">
        <f t="shared" si="390"/>
        <v>9.5890410958904104E-2</v>
      </c>
      <c r="E1745" s="3">
        <f t="shared" si="391"/>
        <v>2011</v>
      </c>
      <c r="F1745" s="3">
        <f t="shared" si="392"/>
        <v>2</v>
      </c>
      <c r="G1745" s="3">
        <f t="shared" si="393"/>
        <v>5</v>
      </c>
      <c r="H1745" s="3">
        <f t="shared" si="394"/>
        <v>17</v>
      </c>
      <c r="I1745" s="3">
        <f t="shared" si="395"/>
        <v>7</v>
      </c>
      <c r="J1745" s="3">
        <f t="shared" si="396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397"/>
        <v>YES</v>
      </c>
      <c r="Q1745" t="str">
        <f t="shared" si="398"/>
        <v>NO</v>
      </c>
      <c r="R1745" t="str">
        <f t="shared" si="399"/>
        <v>NO</v>
      </c>
      <c r="T1745" t="s">
        <v>380</v>
      </c>
      <c r="U1745" t="str">
        <f t="shared" si="400"/>
        <v>Charles St</v>
      </c>
      <c r="W1745" t="str">
        <f t="shared" si="401"/>
        <v/>
      </c>
      <c r="X1745" t="str">
        <f>IF(ISBLANK(S1745),"Intersection","Non-Intersection")</f>
        <v>Intersection</v>
      </c>
      <c r="Y1745" t="s">
        <v>2032</v>
      </c>
      <c r="Z1745" t="str">
        <f t="shared" si="402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389"/>
        <v>40544</v>
      </c>
      <c r="D1746" s="4">
        <f t="shared" si="390"/>
        <v>9.5890410958904104E-2</v>
      </c>
      <c r="E1746" s="3">
        <f t="shared" si="391"/>
        <v>2011</v>
      </c>
      <c r="F1746" s="3">
        <f t="shared" si="392"/>
        <v>2</v>
      </c>
      <c r="G1746" s="3">
        <f t="shared" si="393"/>
        <v>5</v>
      </c>
      <c r="H1746" s="3">
        <f t="shared" si="394"/>
        <v>18</v>
      </c>
      <c r="I1746" s="3">
        <f t="shared" si="395"/>
        <v>30</v>
      </c>
      <c r="J1746" s="3">
        <f t="shared" si="396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397"/>
        <v>YES</v>
      </c>
      <c r="Q1746" t="str">
        <f t="shared" si="398"/>
        <v>NO</v>
      </c>
      <c r="R1746" t="str">
        <f t="shared" si="399"/>
        <v>NO</v>
      </c>
      <c r="T1746" t="s">
        <v>14</v>
      </c>
      <c r="U1746" t="str">
        <f t="shared" si="400"/>
        <v>Massachusetts Ave</v>
      </c>
      <c r="V1746" t="s">
        <v>498</v>
      </c>
      <c r="W1746" t="str">
        <f t="shared" si="401"/>
        <v>Ellery St</v>
      </c>
      <c r="X1746" t="str">
        <f>IF(ISBLANK(S1746),"Intersection","Non-Intersection")</f>
        <v>Intersection</v>
      </c>
      <c r="Y1746" t="s">
        <v>2747</v>
      </c>
      <c r="Z1746" t="str">
        <f t="shared" si="402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389"/>
        <v>40544</v>
      </c>
      <c r="D1747" s="4">
        <f t="shared" si="390"/>
        <v>9.5890410958904104E-2</v>
      </c>
      <c r="E1747" s="3">
        <f t="shared" si="391"/>
        <v>2011</v>
      </c>
      <c r="F1747" s="3">
        <f t="shared" si="392"/>
        <v>2</v>
      </c>
      <c r="G1747" s="3">
        <f t="shared" si="393"/>
        <v>5</v>
      </c>
      <c r="H1747" s="3">
        <f t="shared" si="394"/>
        <v>21</v>
      </c>
      <c r="I1747" s="3">
        <f t="shared" si="395"/>
        <v>0</v>
      </c>
      <c r="J1747" s="3">
        <f t="shared" si="396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397"/>
        <v>YES</v>
      </c>
      <c r="Q1747" t="str">
        <f t="shared" si="398"/>
        <v>NO</v>
      </c>
      <c r="R1747" t="str">
        <f t="shared" si="399"/>
        <v>YES</v>
      </c>
      <c r="T1747" t="s">
        <v>32</v>
      </c>
      <c r="U1747" t="str">
        <f t="shared" si="400"/>
        <v>Main St</v>
      </c>
      <c r="V1747" t="s">
        <v>189</v>
      </c>
      <c r="W1747" t="str">
        <f t="shared" si="401"/>
        <v>Windsor St</v>
      </c>
      <c r="X1747" t="str">
        <f>IF(ISBLANK(S1747),"Intersection","Non-Intersection")</f>
        <v>Intersection</v>
      </c>
      <c r="Y1747" t="s">
        <v>1737</v>
      </c>
      <c r="Z1747" t="str">
        <f t="shared" si="402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389"/>
        <v>40544</v>
      </c>
      <c r="D1748" s="4">
        <f t="shared" si="390"/>
        <v>9.8630136986301367E-2</v>
      </c>
      <c r="E1748" s="3">
        <f t="shared" si="391"/>
        <v>2011</v>
      </c>
      <c r="F1748" s="3">
        <f t="shared" si="392"/>
        <v>2</v>
      </c>
      <c r="G1748" s="3">
        <f t="shared" si="393"/>
        <v>6</v>
      </c>
      <c r="H1748" s="3">
        <f t="shared" si="394"/>
        <v>23</v>
      </c>
      <c r="I1748" s="3">
        <f t="shared" si="395"/>
        <v>0</v>
      </c>
      <c r="J1748" s="3">
        <f t="shared" si="396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397"/>
        <v>YES</v>
      </c>
      <c r="Q1748" t="str">
        <f t="shared" si="398"/>
        <v>NO</v>
      </c>
      <c r="R1748" t="str">
        <f t="shared" si="399"/>
        <v>NO</v>
      </c>
      <c r="S1748">
        <v>22</v>
      </c>
      <c r="T1748" t="s">
        <v>506</v>
      </c>
      <c r="U1748" t="str">
        <f t="shared" si="400"/>
        <v>Bigelow St</v>
      </c>
      <c r="W1748" t="str">
        <f t="shared" si="401"/>
        <v/>
      </c>
      <c r="X1748" t="str">
        <f>IF(ISBLANK(S1748),"Intersection","Non-Intersection")</f>
        <v>Non-Intersection</v>
      </c>
      <c r="Y1748" t="s">
        <v>2749</v>
      </c>
      <c r="Z1748" t="str">
        <f t="shared" si="402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389"/>
        <v>40544</v>
      </c>
      <c r="D1749" s="4">
        <f t="shared" si="390"/>
        <v>9.8630136986301367E-2</v>
      </c>
      <c r="E1749" s="3">
        <f t="shared" si="391"/>
        <v>2011</v>
      </c>
      <c r="F1749" s="3">
        <f t="shared" si="392"/>
        <v>2</v>
      </c>
      <c r="G1749" s="3">
        <f t="shared" si="393"/>
        <v>6</v>
      </c>
      <c r="H1749" s="3">
        <f t="shared" si="394"/>
        <v>10</v>
      </c>
      <c r="I1749" s="3">
        <f t="shared" si="395"/>
        <v>30</v>
      </c>
      <c r="J1749" s="3">
        <f t="shared" si="396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397"/>
        <v>YES</v>
      </c>
      <c r="Q1749" t="str">
        <f t="shared" si="398"/>
        <v>NO</v>
      </c>
      <c r="R1749" t="str">
        <f t="shared" si="399"/>
        <v>NO</v>
      </c>
      <c r="S1749">
        <v>3</v>
      </c>
      <c r="T1749" t="s">
        <v>2751</v>
      </c>
      <c r="U1749" t="str">
        <f t="shared" si="400"/>
        <v>Arcadia</v>
      </c>
      <c r="W1749" t="str">
        <f t="shared" si="401"/>
        <v/>
      </c>
      <c r="X1749" t="str">
        <f>IF(ISBLANK(S1749),"Intersection","Non-Intersection")</f>
        <v>Non-Intersection</v>
      </c>
      <c r="Y1749" t="s">
        <v>2752</v>
      </c>
      <c r="Z1749" t="str">
        <f t="shared" si="402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389"/>
        <v>40544</v>
      </c>
      <c r="D1750" s="4">
        <f t="shared" si="390"/>
        <v>9.8630136986301367E-2</v>
      </c>
      <c r="E1750" s="3">
        <f t="shared" si="391"/>
        <v>2011</v>
      </c>
      <c r="F1750" s="3">
        <f t="shared" si="392"/>
        <v>2</v>
      </c>
      <c r="G1750" s="3">
        <f t="shared" si="393"/>
        <v>6</v>
      </c>
      <c r="H1750" s="3">
        <f t="shared" si="394"/>
        <v>1</v>
      </c>
      <c r="I1750" s="3">
        <f t="shared" si="395"/>
        <v>19</v>
      </c>
      <c r="J1750" s="3">
        <f t="shared" si="396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397"/>
        <v>YES</v>
      </c>
      <c r="Q1750" t="str">
        <f t="shared" si="398"/>
        <v>NO</v>
      </c>
      <c r="R1750" t="str">
        <f t="shared" si="399"/>
        <v>NO</v>
      </c>
      <c r="S1750">
        <v>77</v>
      </c>
      <c r="T1750" t="s">
        <v>14</v>
      </c>
      <c r="U1750" t="str">
        <f t="shared" si="400"/>
        <v>Massachusetts Ave</v>
      </c>
      <c r="W1750" t="str">
        <f t="shared" si="401"/>
        <v/>
      </c>
      <c r="X1750" t="str">
        <f>IF(ISBLANK(S1750),"Intersection","Non-Intersection")</f>
        <v>Non-Intersection</v>
      </c>
      <c r="Y1750" t="s">
        <v>415</v>
      </c>
      <c r="Z1750" t="str">
        <f t="shared" si="402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389"/>
        <v>40544</v>
      </c>
      <c r="D1751" s="4">
        <f t="shared" si="390"/>
        <v>9.8630136986301367E-2</v>
      </c>
      <c r="E1751" s="3">
        <f t="shared" si="391"/>
        <v>2011</v>
      </c>
      <c r="F1751" s="3">
        <f t="shared" si="392"/>
        <v>2</v>
      </c>
      <c r="G1751" s="3">
        <f t="shared" si="393"/>
        <v>6</v>
      </c>
      <c r="H1751" s="3">
        <f t="shared" si="394"/>
        <v>9</v>
      </c>
      <c r="I1751" s="3">
        <f t="shared" si="395"/>
        <v>59</v>
      </c>
      <c r="J1751" s="3">
        <f t="shared" si="396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397"/>
        <v>YES</v>
      </c>
      <c r="Q1751" t="str">
        <f t="shared" si="398"/>
        <v>NO</v>
      </c>
      <c r="R1751" t="str">
        <f t="shared" si="399"/>
        <v>NO</v>
      </c>
      <c r="T1751" t="s">
        <v>186</v>
      </c>
      <c r="U1751" t="str">
        <f t="shared" si="400"/>
        <v>Concord Ave</v>
      </c>
      <c r="V1751" t="s">
        <v>2754</v>
      </c>
      <c r="W1751" t="str">
        <f t="shared" si="401"/>
        <v>Fawcett St</v>
      </c>
      <c r="X1751" t="str">
        <f>IF(ISBLANK(S1751),"Intersection","Non-Intersection")</f>
        <v>Intersection</v>
      </c>
      <c r="Y1751" t="s">
        <v>2755</v>
      </c>
      <c r="Z1751" t="str">
        <f t="shared" si="402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389"/>
        <v>40544</v>
      </c>
      <c r="D1752" s="4">
        <f t="shared" si="390"/>
        <v>9.8630136986301367E-2</v>
      </c>
      <c r="E1752" s="3">
        <f t="shared" si="391"/>
        <v>2011</v>
      </c>
      <c r="F1752" s="3">
        <f t="shared" si="392"/>
        <v>2</v>
      </c>
      <c r="G1752" s="3">
        <f t="shared" si="393"/>
        <v>6</v>
      </c>
      <c r="H1752" s="3">
        <f t="shared" si="394"/>
        <v>11</v>
      </c>
      <c r="I1752" s="3">
        <f t="shared" si="395"/>
        <v>15</v>
      </c>
      <c r="J1752" s="3">
        <f t="shared" si="396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397"/>
        <v>YES</v>
      </c>
      <c r="Q1752" t="str">
        <f t="shared" si="398"/>
        <v>NO</v>
      </c>
      <c r="R1752" t="str">
        <f t="shared" si="399"/>
        <v>NO</v>
      </c>
      <c r="T1752" t="s">
        <v>410</v>
      </c>
      <c r="U1752" t="str">
        <f t="shared" si="400"/>
        <v>Highland Ave</v>
      </c>
      <c r="V1752" t="s">
        <v>2661</v>
      </c>
      <c r="W1752" t="str">
        <f t="shared" si="401"/>
        <v>Greenough Ave</v>
      </c>
      <c r="X1752" t="str">
        <f>IF(ISBLANK(S1752),"Intersection","Non-Intersection")</f>
        <v>Intersection</v>
      </c>
      <c r="Y1752" t="s">
        <v>2757</v>
      </c>
      <c r="Z1752" t="str">
        <f t="shared" si="402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389"/>
        <v>40544</v>
      </c>
      <c r="D1753" s="4">
        <f t="shared" si="390"/>
        <v>9.8630136986301367E-2</v>
      </c>
      <c r="E1753" s="3">
        <f t="shared" si="391"/>
        <v>2011</v>
      </c>
      <c r="F1753" s="3">
        <f t="shared" si="392"/>
        <v>2</v>
      </c>
      <c r="G1753" s="3">
        <f t="shared" si="393"/>
        <v>6</v>
      </c>
      <c r="H1753" s="3">
        <f t="shared" si="394"/>
        <v>12</v>
      </c>
      <c r="I1753" s="3">
        <f t="shared" si="395"/>
        <v>0</v>
      </c>
      <c r="J1753" s="3">
        <f t="shared" si="396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397"/>
        <v>YES</v>
      </c>
      <c r="Q1753" t="str">
        <f t="shared" si="398"/>
        <v>NO</v>
      </c>
      <c r="R1753" t="str">
        <f t="shared" si="399"/>
        <v>NO</v>
      </c>
      <c r="S1753">
        <v>53</v>
      </c>
      <c r="T1753" t="s">
        <v>667</v>
      </c>
      <c r="U1753" t="str">
        <f t="shared" si="400"/>
        <v>Tremont St</v>
      </c>
      <c r="W1753" t="str">
        <f t="shared" si="401"/>
        <v/>
      </c>
      <c r="X1753" t="str">
        <f>IF(ISBLANK(S1753),"Intersection","Non-Intersection")</f>
        <v>Non-Intersection</v>
      </c>
      <c r="Y1753" t="s">
        <v>2759</v>
      </c>
      <c r="Z1753" t="str">
        <f t="shared" si="402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389"/>
        <v>40544</v>
      </c>
      <c r="D1754" s="4">
        <f t="shared" si="390"/>
        <v>9.8630136986301367E-2</v>
      </c>
      <c r="E1754" s="3">
        <f t="shared" si="391"/>
        <v>2011</v>
      </c>
      <c r="F1754" s="3">
        <f t="shared" si="392"/>
        <v>2</v>
      </c>
      <c r="G1754" s="3">
        <f t="shared" si="393"/>
        <v>6</v>
      </c>
      <c r="H1754" s="3">
        <f t="shared" si="394"/>
        <v>14</v>
      </c>
      <c r="I1754" s="3">
        <f t="shared" si="395"/>
        <v>0</v>
      </c>
      <c r="J1754" s="3">
        <f t="shared" si="396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397"/>
        <v>YES</v>
      </c>
      <c r="Q1754" t="str">
        <f t="shared" si="398"/>
        <v>NO</v>
      </c>
      <c r="R1754" t="str">
        <f t="shared" si="399"/>
        <v>NO</v>
      </c>
      <c r="T1754" t="s">
        <v>698</v>
      </c>
      <c r="U1754" t="str">
        <f t="shared" si="400"/>
        <v>Thorndike St</v>
      </c>
      <c r="V1754" t="s">
        <v>379</v>
      </c>
      <c r="W1754" t="str">
        <f t="shared" si="401"/>
        <v>Second St</v>
      </c>
      <c r="X1754" t="str">
        <f>IF(ISBLANK(S1754),"Intersection","Non-Intersection")</f>
        <v>Intersection</v>
      </c>
      <c r="Y1754" t="s">
        <v>2761</v>
      </c>
      <c r="Z1754" t="str">
        <f t="shared" si="402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389"/>
        <v>40544</v>
      </c>
      <c r="D1755" s="4">
        <f t="shared" si="390"/>
        <v>9.8630136986301367E-2</v>
      </c>
      <c r="E1755" s="3">
        <f t="shared" si="391"/>
        <v>2011</v>
      </c>
      <c r="F1755" s="3">
        <f t="shared" si="392"/>
        <v>2</v>
      </c>
      <c r="G1755" s="3">
        <f t="shared" si="393"/>
        <v>6</v>
      </c>
      <c r="H1755" s="3">
        <f t="shared" si="394"/>
        <v>14</v>
      </c>
      <c r="I1755" s="3">
        <f t="shared" si="395"/>
        <v>0</v>
      </c>
      <c r="J1755" s="3">
        <f t="shared" si="396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397"/>
        <v>YES</v>
      </c>
      <c r="Q1755" t="str">
        <f t="shared" si="398"/>
        <v>NO</v>
      </c>
      <c r="R1755" t="str">
        <f t="shared" si="399"/>
        <v>NO</v>
      </c>
      <c r="S1755">
        <v>23</v>
      </c>
      <c r="T1755" t="s">
        <v>1320</v>
      </c>
      <c r="U1755" t="str">
        <f t="shared" si="400"/>
        <v>Craigie St</v>
      </c>
      <c r="W1755" t="str">
        <f t="shared" si="401"/>
        <v/>
      </c>
      <c r="X1755" t="str">
        <f>IF(ISBLANK(S1755),"Intersection","Non-Intersection")</f>
        <v>Non-Intersection</v>
      </c>
      <c r="Y1755" t="s">
        <v>2763</v>
      </c>
      <c r="Z1755" t="str">
        <f t="shared" si="402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389"/>
        <v>40544</v>
      </c>
      <c r="D1756" s="4">
        <f t="shared" si="390"/>
        <v>9.8630136986301367E-2</v>
      </c>
      <c r="E1756" s="3">
        <f t="shared" si="391"/>
        <v>2011</v>
      </c>
      <c r="F1756" s="3">
        <f t="shared" si="392"/>
        <v>2</v>
      </c>
      <c r="G1756" s="3">
        <f t="shared" si="393"/>
        <v>6</v>
      </c>
      <c r="H1756" s="3">
        <f t="shared" si="394"/>
        <v>15</v>
      </c>
      <c r="I1756" s="3">
        <f t="shared" si="395"/>
        <v>59</v>
      </c>
      <c r="J1756" s="3">
        <f t="shared" si="396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397"/>
        <v>YES</v>
      </c>
      <c r="Q1756" t="str">
        <f t="shared" si="398"/>
        <v>NO</v>
      </c>
      <c r="R1756" t="str">
        <f t="shared" si="399"/>
        <v>NO</v>
      </c>
      <c r="T1756" t="s">
        <v>690</v>
      </c>
      <c r="U1756" t="str">
        <f t="shared" si="400"/>
        <v>Evereteze Way</v>
      </c>
      <c r="W1756" t="str">
        <f t="shared" si="401"/>
        <v/>
      </c>
      <c r="X1756" t="str">
        <f>IF(ISBLANK(S1756),"Intersection","Non-Intersection")</f>
        <v>Intersection</v>
      </c>
      <c r="Y1756" t="s">
        <v>2765</v>
      </c>
      <c r="Z1756" t="str">
        <f t="shared" si="402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389"/>
        <v>40544</v>
      </c>
      <c r="D1757" s="4">
        <f t="shared" si="390"/>
        <v>0.10136986301369863</v>
      </c>
      <c r="E1757" s="3">
        <f t="shared" si="391"/>
        <v>2011</v>
      </c>
      <c r="F1757" s="3">
        <f t="shared" si="392"/>
        <v>2</v>
      </c>
      <c r="G1757" s="3">
        <f t="shared" si="393"/>
        <v>7</v>
      </c>
      <c r="H1757" s="3">
        <f t="shared" si="394"/>
        <v>0</v>
      </c>
      <c r="I1757" s="3">
        <f t="shared" si="395"/>
        <v>14</v>
      </c>
      <c r="J1757" s="3">
        <f t="shared" si="396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397"/>
        <v>YES</v>
      </c>
      <c r="Q1757" t="str">
        <f t="shared" si="398"/>
        <v>NO</v>
      </c>
      <c r="R1757" t="str">
        <f t="shared" si="399"/>
        <v>NO</v>
      </c>
      <c r="S1757">
        <v>1515</v>
      </c>
      <c r="T1757" t="s">
        <v>14</v>
      </c>
      <c r="U1757" t="str">
        <f t="shared" si="400"/>
        <v>Massachusetts Ave</v>
      </c>
      <c r="W1757" t="str">
        <f t="shared" si="401"/>
        <v/>
      </c>
      <c r="X1757" t="str">
        <f>IF(ISBLANK(S1757),"Intersection","Non-Intersection")</f>
        <v>Non-Intersection</v>
      </c>
      <c r="Y1757" t="s">
        <v>2766</v>
      </c>
      <c r="Z1757" t="str">
        <f t="shared" si="402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389"/>
        <v>40544</v>
      </c>
      <c r="D1758" s="4">
        <f t="shared" si="390"/>
        <v>0.10136986301369863</v>
      </c>
      <c r="E1758" s="3">
        <f t="shared" si="391"/>
        <v>2011</v>
      </c>
      <c r="F1758" s="3">
        <f t="shared" si="392"/>
        <v>2</v>
      </c>
      <c r="G1758" s="3">
        <f t="shared" si="393"/>
        <v>7</v>
      </c>
      <c r="H1758" s="3">
        <f t="shared" si="394"/>
        <v>7</v>
      </c>
      <c r="I1758" s="3">
        <f t="shared" si="395"/>
        <v>45</v>
      </c>
      <c r="J1758" s="3">
        <f t="shared" si="396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397"/>
        <v>YES</v>
      </c>
      <c r="Q1758" t="str">
        <f t="shared" si="398"/>
        <v>NO</v>
      </c>
      <c r="R1758" t="str">
        <f t="shared" si="399"/>
        <v>NO</v>
      </c>
      <c r="T1758" t="s">
        <v>587</v>
      </c>
      <c r="U1758" t="str">
        <f t="shared" si="400"/>
        <v>Webster Ave</v>
      </c>
      <c r="V1758" t="s">
        <v>2344</v>
      </c>
      <c r="W1758" t="str">
        <f t="shared" si="401"/>
        <v>Bristol St</v>
      </c>
      <c r="X1758" t="str">
        <f>IF(ISBLANK(S1758),"Intersection","Non-Intersection")</f>
        <v>Intersection</v>
      </c>
      <c r="Y1758" t="s">
        <v>2345</v>
      </c>
      <c r="Z1758" t="str">
        <f t="shared" si="402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389"/>
        <v>40544</v>
      </c>
      <c r="D1759" s="4">
        <f t="shared" si="390"/>
        <v>0.10136986301369863</v>
      </c>
      <c r="E1759" s="3">
        <f t="shared" si="391"/>
        <v>2011</v>
      </c>
      <c r="F1759" s="3">
        <f t="shared" si="392"/>
        <v>2</v>
      </c>
      <c r="G1759" s="3">
        <f t="shared" si="393"/>
        <v>7</v>
      </c>
      <c r="H1759" s="3">
        <f t="shared" si="394"/>
        <v>6</v>
      </c>
      <c r="I1759" s="3">
        <f t="shared" si="395"/>
        <v>59</v>
      </c>
      <c r="J1759" s="3">
        <f t="shared" si="396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397"/>
        <v>YES</v>
      </c>
      <c r="Q1759" t="str">
        <f t="shared" si="398"/>
        <v>NO</v>
      </c>
      <c r="R1759" t="str">
        <f t="shared" si="399"/>
        <v>NO</v>
      </c>
      <c r="S1759" s="2">
        <v>42262</v>
      </c>
      <c r="T1759" t="s">
        <v>506</v>
      </c>
      <c r="U1759" t="str">
        <f t="shared" si="400"/>
        <v>Bigelow St</v>
      </c>
      <c r="W1759" t="str">
        <f t="shared" si="401"/>
        <v/>
      </c>
      <c r="X1759" t="str">
        <f>IF(ISBLANK(S1759),"Intersection","Non-Intersection")</f>
        <v>Non-Intersection</v>
      </c>
      <c r="Y1759" t="s">
        <v>2768</v>
      </c>
      <c r="Z1759" t="str">
        <f t="shared" si="402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389"/>
        <v>40544</v>
      </c>
      <c r="D1760" s="4">
        <f t="shared" si="390"/>
        <v>0.10136986301369863</v>
      </c>
      <c r="E1760" s="3">
        <f t="shared" si="391"/>
        <v>2011</v>
      </c>
      <c r="F1760" s="3">
        <f t="shared" si="392"/>
        <v>2</v>
      </c>
      <c r="G1760" s="3">
        <f t="shared" si="393"/>
        <v>7</v>
      </c>
      <c r="H1760" s="3">
        <f t="shared" si="394"/>
        <v>12</v>
      </c>
      <c r="I1760" s="3">
        <f t="shared" si="395"/>
        <v>24</v>
      </c>
      <c r="J1760" s="3">
        <f t="shared" si="396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397"/>
        <v>YES</v>
      </c>
      <c r="Q1760" t="str">
        <f t="shared" si="398"/>
        <v>NO</v>
      </c>
      <c r="R1760" t="str">
        <f t="shared" si="399"/>
        <v>NO</v>
      </c>
      <c r="T1760" t="s">
        <v>209</v>
      </c>
      <c r="U1760" t="str">
        <f t="shared" si="400"/>
        <v>Binney St</v>
      </c>
      <c r="V1760" t="s">
        <v>147</v>
      </c>
      <c r="W1760" t="str">
        <f t="shared" si="401"/>
        <v>Sixth St</v>
      </c>
      <c r="X1760" t="str">
        <f>IF(ISBLANK(S1760),"Intersection","Non-Intersection")</f>
        <v>Intersection</v>
      </c>
      <c r="Y1760" t="s">
        <v>1876</v>
      </c>
      <c r="Z1760" t="str">
        <f t="shared" si="402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389"/>
        <v>40544</v>
      </c>
      <c r="D1761" s="4">
        <f t="shared" si="390"/>
        <v>0.10136986301369863</v>
      </c>
      <c r="E1761" s="3">
        <f t="shared" si="391"/>
        <v>2011</v>
      </c>
      <c r="F1761" s="3">
        <f t="shared" si="392"/>
        <v>2</v>
      </c>
      <c r="G1761" s="3">
        <f t="shared" si="393"/>
        <v>7</v>
      </c>
      <c r="H1761" s="3">
        <f t="shared" si="394"/>
        <v>10</v>
      </c>
      <c r="I1761" s="3">
        <f t="shared" si="395"/>
        <v>30</v>
      </c>
      <c r="J1761" s="3">
        <f t="shared" si="396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397"/>
        <v>YES</v>
      </c>
      <c r="Q1761" t="str">
        <f t="shared" si="398"/>
        <v>NO</v>
      </c>
      <c r="R1761" t="str">
        <f t="shared" si="399"/>
        <v>NO</v>
      </c>
      <c r="S1761">
        <v>21</v>
      </c>
      <c r="T1761" t="s">
        <v>1324</v>
      </c>
      <c r="U1761" t="str">
        <f t="shared" si="400"/>
        <v>Flagg St</v>
      </c>
      <c r="W1761" t="str">
        <f t="shared" si="401"/>
        <v/>
      </c>
      <c r="X1761" t="str">
        <f>IF(ISBLANK(S1761),"Intersection","Non-Intersection")</f>
        <v>Non-Intersection</v>
      </c>
      <c r="Y1761" t="s">
        <v>2770</v>
      </c>
      <c r="Z1761" t="str">
        <f t="shared" si="402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389"/>
        <v>40544</v>
      </c>
      <c r="D1762" s="4">
        <f t="shared" si="390"/>
        <v>0.10136986301369863</v>
      </c>
      <c r="E1762" s="3">
        <f t="shared" si="391"/>
        <v>2011</v>
      </c>
      <c r="F1762" s="3">
        <f t="shared" si="392"/>
        <v>2</v>
      </c>
      <c r="G1762" s="3">
        <f t="shared" si="393"/>
        <v>7</v>
      </c>
      <c r="H1762" s="3">
        <f t="shared" si="394"/>
        <v>19</v>
      </c>
      <c r="I1762" s="3">
        <f t="shared" si="395"/>
        <v>38</v>
      </c>
      <c r="J1762" s="3">
        <f t="shared" si="396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397"/>
        <v>YES</v>
      </c>
      <c r="Q1762" t="str">
        <f t="shared" si="398"/>
        <v>NO</v>
      </c>
      <c r="R1762" t="str">
        <f t="shared" si="399"/>
        <v>NO</v>
      </c>
      <c r="T1762" t="s">
        <v>667</v>
      </c>
      <c r="U1762" t="str">
        <f t="shared" si="400"/>
        <v>Tremont St</v>
      </c>
      <c r="W1762" t="str">
        <f t="shared" si="401"/>
        <v/>
      </c>
      <c r="X1762" t="str">
        <f>IF(ISBLANK(S1762),"Intersection","Non-Intersection")</f>
        <v>Intersection</v>
      </c>
      <c r="Y1762" t="s">
        <v>2772</v>
      </c>
      <c r="Z1762" t="str">
        <f t="shared" si="402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389"/>
        <v>40544</v>
      </c>
      <c r="D1763" s="4">
        <f t="shared" si="390"/>
        <v>0.10136986301369863</v>
      </c>
      <c r="E1763" s="3">
        <f t="shared" si="391"/>
        <v>2011</v>
      </c>
      <c r="F1763" s="3">
        <f t="shared" si="392"/>
        <v>2</v>
      </c>
      <c r="G1763" s="3">
        <f t="shared" si="393"/>
        <v>7</v>
      </c>
      <c r="H1763" s="3">
        <f t="shared" si="394"/>
        <v>21</v>
      </c>
      <c r="I1763" s="3">
        <f t="shared" si="395"/>
        <v>45</v>
      </c>
      <c r="J1763" s="3">
        <f t="shared" si="396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397"/>
        <v>YES</v>
      </c>
      <c r="Q1763" t="str">
        <f t="shared" si="398"/>
        <v>NO</v>
      </c>
      <c r="R1763" t="str">
        <f t="shared" si="399"/>
        <v>NO</v>
      </c>
      <c r="S1763">
        <v>1969</v>
      </c>
      <c r="T1763" t="s">
        <v>14</v>
      </c>
      <c r="U1763" t="str">
        <f t="shared" si="400"/>
        <v>Massachusetts Ave</v>
      </c>
      <c r="W1763" t="str">
        <f t="shared" si="401"/>
        <v/>
      </c>
      <c r="X1763" t="str">
        <f>IF(ISBLANK(S1763),"Intersection","Non-Intersection")</f>
        <v>Non-Intersection</v>
      </c>
      <c r="Y1763" t="s">
        <v>2773</v>
      </c>
      <c r="Z1763" t="str">
        <f t="shared" si="402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389"/>
        <v>40544</v>
      </c>
      <c r="D1764" s="4">
        <f t="shared" si="390"/>
        <v>0.10136986301369863</v>
      </c>
      <c r="E1764" s="3">
        <f t="shared" si="391"/>
        <v>2011</v>
      </c>
      <c r="F1764" s="3">
        <f t="shared" si="392"/>
        <v>2</v>
      </c>
      <c r="G1764" s="3">
        <f t="shared" si="393"/>
        <v>7</v>
      </c>
      <c r="H1764" s="3">
        <f t="shared" si="394"/>
        <v>9</v>
      </c>
      <c r="I1764" s="3">
        <f t="shared" si="395"/>
        <v>26</v>
      </c>
      <c r="J1764" s="3">
        <f t="shared" si="396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397"/>
        <v>NO</v>
      </c>
      <c r="Q1764" t="str">
        <f t="shared" si="398"/>
        <v>NO</v>
      </c>
      <c r="R1764" t="str">
        <f t="shared" si="399"/>
        <v>NO</v>
      </c>
      <c r="S1764">
        <v>29</v>
      </c>
      <c r="T1764" t="s">
        <v>315</v>
      </c>
      <c r="U1764" t="str">
        <f t="shared" si="400"/>
        <v>Essex St</v>
      </c>
      <c r="W1764" t="str">
        <f t="shared" si="401"/>
        <v/>
      </c>
      <c r="X1764" t="str">
        <f>IF(ISBLANK(S1764),"Intersection","Non-Intersection")</f>
        <v>Non-Intersection</v>
      </c>
      <c r="Y1764" t="s">
        <v>2775</v>
      </c>
      <c r="Z1764" t="str">
        <f t="shared" si="402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389"/>
        <v>40544</v>
      </c>
      <c r="D1765" s="4">
        <f t="shared" si="390"/>
        <v>0.10136986301369863</v>
      </c>
      <c r="E1765" s="3">
        <f t="shared" si="391"/>
        <v>2011</v>
      </c>
      <c r="F1765" s="3">
        <f t="shared" si="392"/>
        <v>2</v>
      </c>
      <c r="G1765" s="3">
        <f t="shared" si="393"/>
        <v>7</v>
      </c>
      <c r="H1765" s="3">
        <f t="shared" si="394"/>
        <v>10</v>
      </c>
      <c r="I1765" s="3">
        <f t="shared" si="395"/>
        <v>40</v>
      </c>
      <c r="J1765" s="3">
        <f t="shared" si="396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397"/>
        <v>YES</v>
      </c>
      <c r="Q1765" t="str">
        <f t="shared" si="398"/>
        <v>NO</v>
      </c>
      <c r="R1765" t="str">
        <f t="shared" si="399"/>
        <v>NO</v>
      </c>
      <c r="S1765">
        <v>2000</v>
      </c>
      <c r="T1765" t="s">
        <v>14</v>
      </c>
      <c r="U1765" t="str">
        <f t="shared" si="400"/>
        <v>Massachusetts Ave</v>
      </c>
      <c r="W1765" t="str">
        <f t="shared" si="401"/>
        <v/>
      </c>
      <c r="X1765" t="str">
        <f>IF(ISBLANK(S1765),"Intersection","Non-Intersection")</f>
        <v>Non-Intersection</v>
      </c>
      <c r="Y1765" t="s">
        <v>1773</v>
      </c>
      <c r="Z1765" t="str">
        <f t="shared" si="402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389"/>
        <v>40544</v>
      </c>
      <c r="D1766" s="4">
        <f t="shared" si="390"/>
        <v>0.10136986301369863</v>
      </c>
      <c r="E1766" s="3">
        <f t="shared" si="391"/>
        <v>2011</v>
      </c>
      <c r="F1766" s="3">
        <f t="shared" si="392"/>
        <v>2</v>
      </c>
      <c r="G1766" s="3">
        <f t="shared" si="393"/>
        <v>7</v>
      </c>
      <c r="H1766" s="3">
        <f t="shared" si="394"/>
        <v>11</v>
      </c>
      <c r="I1766" s="3">
        <f t="shared" si="395"/>
        <v>29</v>
      </c>
      <c r="J1766" s="3">
        <f t="shared" si="396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397"/>
        <v>YES</v>
      </c>
      <c r="Q1766" t="str">
        <f t="shared" si="398"/>
        <v>NO</v>
      </c>
      <c r="R1766" t="str">
        <f t="shared" si="399"/>
        <v>NO</v>
      </c>
      <c r="S1766">
        <v>378</v>
      </c>
      <c r="T1766" t="s">
        <v>14</v>
      </c>
      <c r="U1766" t="str">
        <f t="shared" si="400"/>
        <v>Massachusetts Ave</v>
      </c>
      <c r="W1766" t="str">
        <f t="shared" si="401"/>
        <v/>
      </c>
      <c r="X1766" t="str">
        <f>IF(ISBLANK(S1766),"Intersection","Non-Intersection")</f>
        <v>Non-Intersection</v>
      </c>
      <c r="Y1766" t="s">
        <v>1399</v>
      </c>
      <c r="Z1766" t="str">
        <f t="shared" si="402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389"/>
        <v>40544</v>
      </c>
      <c r="D1767" s="4">
        <f t="shared" si="390"/>
        <v>0.10136986301369863</v>
      </c>
      <c r="E1767" s="3">
        <f t="shared" si="391"/>
        <v>2011</v>
      </c>
      <c r="F1767" s="3">
        <f t="shared" si="392"/>
        <v>2</v>
      </c>
      <c r="G1767" s="3">
        <f t="shared" si="393"/>
        <v>7</v>
      </c>
      <c r="H1767" s="3">
        <f t="shared" si="394"/>
        <v>11</v>
      </c>
      <c r="I1767" s="3">
        <f t="shared" si="395"/>
        <v>29</v>
      </c>
      <c r="J1767" s="3">
        <f t="shared" si="396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397"/>
        <v>YES</v>
      </c>
      <c r="Q1767" t="str">
        <f t="shared" si="398"/>
        <v>NO</v>
      </c>
      <c r="R1767" t="str">
        <f t="shared" si="399"/>
        <v>NO</v>
      </c>
      <c r="T1767" t="s">
        <v>116</v>
      </c>
      <c r="U1767" t="str">
        <f t="shared" si="400"/>
        <v>Chestnut St</v>
      </c>
      <c r="V1767" t="s">
        <v>70</v>
      </c>
      <c r="W1767" t="str">
        <f t="shared" si="401"/>
        <v>Pearl St</v>
      </c>
      <c r="X1767" t="str">
        <f>IF(ISBLANK(S1767),"Intersection","Non-Intersection")</f>
        <v>Intersection</v>
      </c>
      <c r="Y1767" t="s">
        <v>2777</v>
      </c>
      <c r="Z1767" t="str">
        <f t="shared" si="402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389"/>
        <v>40544</v>
      </c>
      <c r="D1768" s="4">
        <f t="shared" si="390"/>
        <v>0.10136986301369863</v>
      </c>
      <c r="E1768" s="3">
        <f t="shared" si="391"/>
        <v>2011</v>
      </c>
      <c r="F1768" s="3">
        <f t="shared" si="392"/>
        <v>2</v>
      </c>
      <c r="G1768" s="3">
        <f t="shared" si="393"/>
        <v>7</v>
      </c>
      <c r="H1768" s="3">
        <f t="shared" si="394"/>
        <v>21</v>
      </c>
      <c r="I1768" s="3">
        <f t="shared" si="395"/>
        <v>45</v>
      </c>
      <c r="J1768" s="3">
        <f t="shared" si="396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397"/>
        <v>YES</v>
      </c>
      <c r="Q1768" t="str">
        <f t="shared" si="398"/>
        <v>NO</v>
      </c>
      <c r="R1768" t="str">
        <f t="shared" si="399"/>
        <v>NO</v>
      </c>
      <c r="S1768">
        <v>146</v>
      </c>
      <c r="T1768" t="s">
        <v>74</v>
      </c>
      <c r="U1768" t="str">
        <f t="shared" si="400"/>
        <v>Hampshire St</v>
      </c>
      <c r="W1768" t="str">
        <f t="shared" si="401"/>
        <v/>
      </c>
      <c r="X1768" t="str">
        <f>IF(ISBLANK(S1768),"Intersection","Non-Intersection")</f>
        <v>Non-Intersection</v>
      </c>
      <c r="Y1768" t="s">
        <v>2779</v>
      </c>
      <c r="Z1768" t="str">
        <f t="shared" si="402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389"/>
        <v>40544</v>
      </c>
      <c r="D1769" s="4">
        <f t="shared" si="390"/>
        <v>0.10410958904109589</v>
      </c>
      <c r="E1769" s="3">
        <f t="shared" si="391"/>
        <v>2011</v>
      </c>
      <c r="F1769" s="3">
        <f t="shared" si="392"/>
        <v>2</v>
      </c>
      <c r="G1769" s="3">
        <f t="shared" si="393"/>
        <v>8</v>
      </c>
      <c r="H1769" s="3">
        <f t="shared" si="394"/>
        <v>15</v>
      </c>
      <c r="I1769" s="3">
        <f t="shared" si="395"/>
        <v>0</v>
      </c>
      <c r="J1769" s="3">
        <f t="shared" si="396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397"/>
        <v>YES</v>
      </c>
      <c r="Q1769" t="str">
        <f t="shared" si="398"/>
        <v>NO</v>
      </c>
      <c r="R1769" t="str">
        <f t="shared" si="399"/>
        <v>NO</v>
      </c>
      <c r="S1769">
        <v>27</v>
      </c>
      <c r="T1769" t="s">
        <v>2269</v>
      </c>
      <c r="U1769" t="str">
        <f t="shared" si="400"/>
        <v>Crescent St</v>
      </c>
      <c r="W1769" t="str">
        <f t="shared" si="401"/>
        <v/>
      </c>
      <c r="X1769" t="str">
        <f>IF(ISBLANK(S1769),"Intersection","Non-Intersection")</f>
        <v>Non-Intersection</v>
      </c>
      <c r="Y1769" t="s">
        <v>2781</v>
      </c>
      <c r="Z1769" t="str">
        <f t="shared" si="402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389"/>
        <v>40544</v>
      </c>
      <c r="D1770" s="4">
        <f t="shared" si="390"/>
        <v>0.10410958904109589</v>
      </c>
      <c r="E1770" s="3">
        <f t="shared" si="391"/>
        <v>2011</v>
      </c>
      <c r="F1770" s="3">
        <f t="shared" si="392"/>
        <v>2</v>
      </c>
      <c r="G1770" s="3">
        <f t="shared" si="393"/>
        <v>8</v>
      </c>
      <c r="H1770" s="3">
        <f t="shared" si="394"/>
        <v>16</v>
      </c>
      <c r="I1770" s="3">
        <f t="shared" si="395"/>
        <v>8</v>
      </c>
      <c r="J1770" s="3">
        <f t="shared" si="396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397"/>
        <v>YES</v>
      </c>
      <c r="Q1770" t="str">
        <f t="shared" si="398"/>
        <v>NO</v>
      </c>
      <c r="R1770" t="str">
        <f t="shared" si="399"/>
        <v>NO</v>
      </c>
      <c r="S1770">
        <v>1815</v>
      </c>
      <c r="T1770" t="s">
        <v>14</v>
      </c>
      <c r="U1770" t="str">
        <f t="shared" si="400"/>
        <v>Massachusetts Ave</v>
      </c>
      <c r="W1770" t="str">
        <f t="shared" si="401"/>
        <v/>
      </c>
      <c r="X1770" t="str">
        <f>IF(ISBLANK(S1770),"Intersection","Non-Intersection")</f>
        <v>Non-Intersection</v>
      </c>
      <c r="Y1770" t="s">
        <v>2783</v>
      </c>
      <c r="Z1770" t="str">
        <f t="shared" si="402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03">EOMONTH(B1771,MONTH(B1771)*-1)+1</f>
        <v>40544</v>
      </c>
      <c r="D1771" s="4">
        <f t="shared" ref="D1771:D1830" si="404">YEARFRAC(C1771,B1771,1)</f>
        <v>0.10410958904109589</v>
      </c>
      <c r="E1771" s="3">
        <f t="shared" ref="E1771:E1830" si="405">YEAR(B1771)</f>
        <v>2011</v>
      </c>
      <c r="F1771" s="3">
        <f t="shared" ref="F1771:F1830" si="406">MONTH(B1771)</f>
        <v>2</v>
      </c>
      <c r="G1771" s="3">
        <f t="shared" ref="G1771:G1830" si="407">DAY(B1771)</f>
        <v>8</v>
      </c>
      <c r="H1771" s="3">
        <f t="shared" ref="H1771:H1830" si="408">HOUR(B1771)</f>
        <v>7</v>
      </c>
      <c r="I1771" s="3">
        <f t="shared" ref="I1771:I1830" si="409">MINUTE(B1771)</f>
        <v>44</v>
      </c>
      <c r="J1771" s="3">
        <f t="shared" ref="J1771:J1830" si="410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11">IF(OR(N1771="Auto",O1771="Auto"),"YES",IF(OR(N1771="Taxi",O1771="Taxi"),"YES",IF(OR(N1771="Van",O1771="Van"),"YES",IF(OR(N1771="Truck",O1771="Truck"),"YES","NO"))))</f>
        <v>YES</v>
      </c>
      <c r="Q1771" t="str">
        <f t="shared" ref="Q1771:Q1830" si="412">IF(OR(N1771="Bicycle",O1771="Bicycle"),"YES","NO")</f>
        <v>NO</v>
      </c>
      <c r="R1771" t="str">
        <f t="shared" ref="R1771:R1830" si="413">IF(OR(N1771="Pedestrian",O1771="Pedestrian"),"YES","NO")</f>
        <v>NO</v>
      </c>
      <c r="T1771" t="s">
        <v>28</v>
      </c>
      <c r="U1771" t="str">
        <f t="shared" si="400"/>
        <v>Howard St</v>
      </c>
      <c r="W1771" t="str">
        <f t="shared" si="401"/>
        <v/>
      </c>
      <c r="X1771" t="str">
        <f>IF(ISBLANK(S1771),"Intersection","Non-Intersection")</f>
        <v>Intersection</v>
      </c>
      <c r="Y1771" t="s">
        <v>2725</v>
      </c>
      <c r="Z1771" t="str">
        <f t="shared" si="402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03"/>
        <v>40544</v>
      </c>
      <c r="D1772" s="4">
        <f t="shared" si="404"/>
        <v>0.10410958904109589</v>
      </c>
      <c r="E1772" s="3">
        <f t="shared" si="405"/>
        <v>2011</v>
      </c>
      <c r="F1772" s="3">
        <f t="shared" si="406"/>
        <v>2</v>
      </c>
      <c r="G1772" s="3">
        <f t="shared" si="407"/>
        <v>8</v>
      </c>
      <c r="H1772" s="3">
        <f t="shared" si="408"/>
        <v>12</v>
      </c>
      <c r="I1772" s="3">
        <f t="shared" si="409"/>
        <v>21</v>
      </c>
      <c r="J1772" s="3">
        <f t="shared" si="410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11"/>
        <v>YES</v>
      </c>
      <c r="Q1772" t="str">
        <f t="shared" si="412"/>
        <v>NO</v>
      </c>
      <c r="R1772" t="str">
        <f t="shared" si="413"/>
        <v>NO</v>
      </c>
      <c r="S1772">
        <v>171</v>
      </c>
      <c r="T1772" t="s">
        <v>312</v>
      </c>
      <c r="U1772" t="str">
        <f t="shared" si="400"/>
        <v>Auburn St</v>
      </c>
      <c r="W1772" t="str">
        <f t="shared" si="401"/>
        <v/>
      </c>
      <c r="X1772" t="str">
        <f>IF(ISBLANK(S1772),"Intersection","Non-Intersection")</f>
        <v>Non-Intersection</v>
      </c>
      <c r="Y1772" t="s">
        <v>2785</v>
      </c>
      <c r="Z1772" t="str">
        <f t="shared" si="402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03"/>
        <v>40544</v>
      </c>
      <c r="D1773" s="4">
        <f t="shared" si="404"/>
        <v>0.10410958904109589</v>
      </c>
      <c r="E1773" s="3">
        <f t="shared" si="405"/>
        <v>2011</v>
      </c>
      <c r="F1773" s="3">
        <f t="shared" si="406"/>
        <v>2</v>
      </c>
      <c r="G1773" s="3">
        <f t="shared" si="407"/>
        <v>8</v>
      </c>
      <c r="H1773" s="3">
        <f t="shared" si="408"/>
        <v>8</v>
      </c>
      <c r="I1773" s="3">
        <f t="shared" si="409"/>
        <v>29</v>
      </c>
      <c r="J1773" s="3">
        <f t="shared" si="410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11"/>
        <v>YES</v>
      </c>
      <c r="Q1773" t="str">
        <f t="shared" si="412"/>
        <v>NO</v>
      </c>
      <c r="R1773" t="str">
        <f t="shared" si="413"/>
        <v>NO</v>
      </c>
      <c r="T1773" t="s">
        <v>166</v>
      </c>
      <c r="U1773" t="str">
        <f t="shared" si="400"/>
        <v>Oxford Ave</v>
      </c>
      <c r="V1773" t="s">
        <v>219</v>
      </c>
      <c r="W1773" t="str">
        <f t="shared" si="401"/>
        <v>Sacramento St</v>
      </c>
      <c r="X1773" t="str">
        <f>IF(ISBLANK(S1773),"Intersection","Non-Intersection")</f>
        <v>Intersection</v>
      </c>
      <c r="Y1773" t="s">
        <v>2015</v>
      </c>
      <c r="Z1773" t="str">
        <f t="shared" si="402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03"/>
        <v>40544</v>
      </c>
      <c r="D1774" s="4">
        <f t="shared" si="404"/>
        <v>0.10410958904109589</v>
      </c>
      <c r="E1774" s="3">
        <f t="shared" si="405"/>
        <v>2011</v>
      </c>
      <c r="F1774" s="3">
        <f t="shared" si="406"/>
        <v>2</v>
      </c>
      <c r="G1774" s="3">
        <f t="shared" si="407"/>
        <v>8</v>
      </c>
      <c r="H1774" s="3">
        <f t="shared" si="408"/>
        <v>9</v>
      </c>
      <c r="I1774" s="3">
        <f t="shared" si="409"/>
        <v>59</v>
      </c>
      <c r="J1774" s="3">
        <f t="shared" si="410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11"/>
        <v>YES</v>
      </c>
      <c r="Q1774" t="str">
        <f t="shared" si="412"/>
        <v>NO</v>
      </c>
      <c r="R1774" t="str">
        <f t="shared" si="413"/>
        <v>NO</v>
      </c>
      <c r="T1774" t="s">
        <v>2787</v>
      </c>
      <c r="U1774" t="str">
        <f t="shared" si="400"/>
        <v>Watson St</v>
      </c>
      <c r="W1774" t="str">
        <f t="shared" si="401"/>
        <v/>
      </c>
      <c r="X1774" t="str">
        <f>IF(ISBLANK(S1774),"Intersection","Non-Intersection")</f>
        <v>Intersection</v>
      </c>
      <c r="Y1774" t="s">
        <v>2788</v>
      </c>
      <c r="Z1774" t="str">
        <f t="shared" si="402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03"/>
        <v>40544</v>
      </c>
      <c r="D1775" s="4">
        <f t="shared" si="404"/>
        <v>0.10410958904109589</v>
      </c>
      <c r="E1775" s="3">
        <f t="shared" si="405"/>
        <v>2011</v>
      </c>
      <c r="F1775" s="3">
        <f t="shared" si="406"/>
        <v>2</v>
      </c>
      <c r="G1775" s="3">
        <f t="shared" si="407"/>
        <v>8</v>
      </c>
      <c r="H1775" s="3">
        <f t="shared" si="408"/>
        <v>17</v>
      </c>
      <c r="I1775" s="3">
        <f t="shared" si="409"/>
        <v>0</v>
      </c>
      <c r="J1775" s="3">
        <f t="shared" si="410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11"/>
        <v>YES</v>
      </c>
      <c r="Q1775" t="str">
        <f t="shared" si="412"/>
        <v>NO</v>
      </c>
      <c r="R1775" t="str">
        <f t="shared" si="413"/>
        <v>NO</v>
      </c>
      <c r="T1775" t="s">
        <v>14</v>
      </c>
      <c r="U1775" t="str">
        <f t="shared" si="400"/>
        <v>Massachusetts Ave</v>
      </c>
      <c r="V1775" t="s">
        <v>1830</v>
      </c>
      <c r="W1775" t="str">
        <f t="shared" si="401"/>
        <v>Gladstone St</v>
      </c>
      <c r="X1775" t="str">
        <f>IF(ISBLANK(S1775),"Intersection","Non-Intersection")</f>
        <v>Intersection</v>
      </c>
      <c r="Y1775" t="s">
        <v>1831</v>
      </c>
      <c r="Z1775" t="str">
        <f t="shared" si="402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03"/>
        <v>40544</v>
      </c>
      <c r="D1776" s="4">
        <f t="shared" si="404"/>
        <v>0.10410958904109589</v>
      </c>
      <c r="E1776" s="3">
        <f t="shared" si="405"/>
        <v>2011</v>
      </c>
      <c r="F1776" s="3">
        <f t="shared" si="406"/>
        <v>2</v>
      </c>
      <c r="G1776" s="3">
        <f t="shared" si="407"/>
        <v>8</v>
      </c>
      <c r="H1776" s="3">
        <f t="shared" si="408"/>
        <v>8</v>
      </c>
      <c r="I1776" s="3">
        <f t="shared" si="409"/>
        <v>0</v>
      </c>
      <c r="J1776" s="3">
        <f t="shared" si="410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11"/>
        <v>YES</v>
      </c>
      <c r="Q1776" t="str">
        <f t="shared" si="412"/>
        <v>NO</v>
      </c>
      <c r="R1776" t="str">
        <f t="shared" si="413"/>
        <v>NO</v>
      </c>
      <c r="S1776">
        <v>72</v>
      </c>
      <c r="T1776" t="s">
        <v>2623</v>
      </c>
      <c r="U1776" t="str">
        <f t="shared" si="400"/>
        <v>Foster St</v>
      </c>
      <c r="V1776" t="s">
        <v>208</v>
      </c>
      <c r="W1776" t="str">
        <f t="shared" si="401"/>
        <v>Sparks St</v>
      </c>
      <c r="X1776" t="str">
        <f>IF(ISBLANK(S1776),"Intersection","Non-Intersection")</f>
        <v>Non-Intersection</v>
      </c>
      <c r="Y1776" t="s">
        <v>2789</v>
      </c>
      <c r="Z1776" t="str">
        <f t="shared" si="402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03"/>
        <v>40544</v>
      </c>
      <c r="D1777" s="4">
        <f t="shared" si="404"/>
        <v>0.10410958904109589</v>
      </c>
      <c r="E1777" s="3">
        <f t="shared" si="405"/>
        <v>2011</v>
      </c>
      <c r="F1777" s="3">
        <f t="shared" si="406"/>
        <v>2</v>
      </c>
      <c r="G1777" s="3">
        <f t="shared" si="407"/>
        <v>8</v>
      </c>
      <c r="H1777" s="3">
        <f t="shared" si="408"/>
        <v>9</v>
      </c>
      <c r="I1777" s="3">
        <f t="shared" si="409"/>
        <v>59</v>
      </c>
      <c r="J1777" s="3">
        <f t="shared" si="410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11"/>
        <v>YES</v>
      </c>
      <c r="Q1777" t="str">
        <f t="shared" si="412"/>
        <v>NO</v>
      </c>
      <c r="R1777" t="str">
        <f t="shared" si="413"/>
        <v>NO</v>
      </c>
      <c r="S1777">
        <v>90</v>
      </c>
      <c r="T1777" t="s">
        <v>192</v>
      </c>
      <c r="U1777" t="str">
        <f t="shared" si="400"/>
        <v>Hancock St</v>
      </c>
      <c r="W1777" t="str">
        <f t="shared" si="401"/>
        <v/>
      </c>
      <c r="X1777" t="str">
        <f>IF(ISBLANK(S1777),"Intersection","Non-Intersection")</f>
        <v>Non-Intersection</v>
      </c>
      <c r="Y1777" t="s">
        <v>2791</v>
      </c>
      <c r="Z1777" t="str">
        <f t="shared" si="402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03"/>
        <v>40544</v>
      </c>
      <c r="D1778" s="4">
        <f t="shared" si="404"/>
        <v>0.10410958904109589</v>
      </c>
      <c r="E1778" s="3">
        <f t="shared" si="405"/>
        <v>2011</v>
      </c>
      <c r="F1778" s="3">
        <f t="shared" si="406"/>
        <v>2</v>
      </c>
      <c r="G1778" s="3">
        <f t="shared" si="407"/>
        <v>8</v>
      </c>
      <c r="H1778" s="3">
        <f t="shared" si="408"/>
        <v>5</v>
      </c>
      <c r="I1778" s="3">
        <f t="shared" si="409"/>
        <v>32</v>
      </c>
      <c r="J1778" s="3">
        <f t="shared" si="410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11"/>
        <v>YES</v>
      </c>
      <c r="Q1778" t="str">
        <f t="shared" si="412"/>
        <v>NO</v>
      </c>
      <c r="R1778" t="str">
        <f t="shared" si="413"/>
        <v>NO</v>
      </c>
      <c r="S1778">
        <v>1</v>
      </c>
      <c r="T1778" t="s">
        <v>2678</v>
      </c>
      <c r="U1778" t="str">
        <f t="shared" si="400"/>
        <v>Jay St</v>
      </c>
      <c r="W1778" t="str">
        <f t="shared" si="401"/>
        <v/>
      </c>
      <c r="X1778" t="str">
        <f>IF(ISBLANK(S1778),"Intersection","Non-Intersection")</f>
        <v>Non-Intersection</v>
      </c>
      <c r="Y1778" t="s">
        <v>2793</v>
      </c>
      <c r="Z1778" t="str">
        <f t="shared" si="402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03"/>
        <v>40544</v>
      </c>
      <c r="D1779" s="4">
        <f t="shared" si="404"/>
        <v>0.10684931506849316</v>
      </c>
      <c r="E1779" s="3">
        <f t="shared" si="405"/>
        <v>2011</v>
      </c>
      <c r="F1779" s="3">
        <f t="shared" si="406"/>
        <v>2</v>
      </c>
      <c r="G1779" s="3">
        <f t="shared" si="407"/>
        <v>9</v>
      </c>
      <c r="H1779" s="3">
        <f t="shared" si="408"/>
        <v>20</v>
      </c>
      <c r="I1779" s="3">
        <f t="shared" si="409"/>
        <v>35</v>
      </c>
      <c r="J1779" s="3">
        <f t="shared" si="410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11"/>
        <v>YES</v>
      </c>
      <c r="Q1779" t="str">
        <f t="shared" si="412"/>
        <v>NO</v>
      </c>
      <c r="R1779" t="str">
        <f t="shared" si="413"/>
        <v>NO</v>
      </c>
      <c r="S1779">
        <v>28</v>
      </c>
      <c r="T1779" t="s">
        <v>667</v>
      </c>
      <c r="U1779" t="str">
        <f t="shared" si="400"/>
        <v>Tremont St</v>
      </c>
      <c r="W1779" t="str">
        <f t="shared" si="401"/>
        <v/>
      </c>
      <c r="X1779" t="str">
        <f>IF(ISBLANK(S1779),"Intersection","Non-Intersection")</f>
        <v>Non-Intersection</v>
      </c>
      <c r="Y1779" t="s">
        <v>2795</v>
      </c>
      <c r="Z1779" t="str">
        <f t="shared" si="402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03"/>
        <v>40544</v>
      </c>
      <c r="D1780" s="4">
        <f t="shared" si="404"/>
        <v>0.10684931506849316</v>
      </c>
      <c r="E1780" s="3">
        <f t="shared" si="405"/>
        <v>2011</v>
      </c>
      <c r="F1780" s="3">
        <f t="shared" si="406"/>
        <v>2</v>
      </c>
      <c r="G1780" s="3">
        <f t="shared" si="407"/>
        <v>9</v>
      </c>
      <c r="H1780" s="3">
        <f t="shared" si="408"/>
        <v>20</v>
      </c>
      <c r="I1780" s="3">
        <f t="shared" si="409"/>
        <v>35</v>
      </c>
      <c r="J1780" s="3">
        <f t="shared" si="410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11"/>
        <v>YES</v>
      </c>
      <c r="Q1780" t="str">
        <f t="shared" si="412"/>
        <v>NO</v>
      </c>
      <c r="R1780" t="str">
        <f t="shared" si="413"/>
        <v>NO</v>
      </c>
      <c r="S1780">
        <v>28</v>
      </c>
      <c r="T1780" t="s">
        <v>667</v>
      </c>
      <c r="U1780" t="str">
        <f t="shared" si="400"/>
        <v>Tremont St</v>
      </c>
      <c r="W1780" t="str">
        <f t="shared" si="401"/>
        <v/>
      </c>
      <c r="X1780" t="str">
        <f>IF(ISBLANK(S1780),"Intersection","Non-Intersection")</f>
        <v>Non-Intersection</v>
      </c>
      <c r="Y1780" t="s">
        <v>2795</v>
      </c>
      <c r="Z1780" t="str">
        <f t="shared" si="402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03"/>
        <v>40544</v>
      </c>
      <c r="D1781" s="4">
        <f t="shared" si="404"/>
        <v>0.10684931506849316</v>
      </c>
      <c r="E1781" s="3">
        <f t="shared" si="405"/>
        <v>2011</v>
      </c>
      <c r="F1781" s="3">
        <f t="shared" si="406"/>
        <v>2</v>
      </c>
      <c r="G1781" s="3">
        <f t="shared" si="407"/>
        <v>9</v>
      </c>
      <c r="H1781" s="3">
        <f t="shared" si="408"/>
        <v>21</v>
      </c>
      <c r="I1781" s="3">
        <f t="shared" si="409"/>
        <v>58</v>
      </c>
      <c r="J1781" s="3">
        <f t="shared" si="410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11"/>
        <v>YES</v>
      </c>
      <c r="Q1781" t="str">
        <f t="shared" si="412"/>
        <v>NO</v>
      </c>
      <c r="R1781" t="str">
        <f t="shared" si="413"/>
        <v>NO</v>
      </c>
      <c r="T1781" t="s">
        <v>198</v>
      </c>
      <c r="U1781" t="str">
        <f t="shared" si="400"/>
        <v>Mount Auburn St</v>
      </c>
      <c r="V1781" t="s">
        <v>1438</v>
      </c>
      <c r="W1781" t="str">
        <f t="shared" si="401"/>
        <v>Dunster St</v>
      </c>
      <c r="X1781" t="str">
        <f>IF(ISBLANK(S1781),"Intersection","Non-Intersection")</f>
        <v>Intersection</v>
      </c>
      <c r="Y1781" t="s">
        <v>2797</v>
      </c>
      <c r="Z1781" t="str">
        <f t="shared" si="402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03"/>
        <v>40544</v>
      </c>
      <c r="D1782" s="4">
        <f t="shared" si="404"/>
        <v>0.10684931506849316</v>
      </c>
      <c r="E1782" s="3">
        <f t="shared" si="405"/>
        <v>2011</v>
      </c>
      <c r="F1782" s="3">
        <f t="shared" si="406"/>
        <v>2</v>
      </c>
      <c r="G1782" s="3">
        <f t="shared" si="407"/>
        <v>9</v>
      </c>
      <c r="H1782" s="3">
        <f t="shared" si="408"/>
        <v>23</v>
      </c>
      <c r="I1782" s="3">
        <f t="shared" si="409"/>
        <v>15</v>
      </c>
      <c r="J1782" s="3">
        <f t="shared" si="410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11"/>
        <v>YES</v>
      </c>
      <c r="Q1782" t="str">
        <f t="shared" si="412"/>
        <v>NO</v>
      </c>
      <c r="R1782" t="str">
        <f t="shared" si="413"/>
        <v>NO</v>
      </c>
      <c r="T1782" t="s">
        <v>105</v>
      </c>
      <c r="U1782" t="str">
        <f t="shared" si="400"/>
        <v>Broadway</v>
      </c>
      <c r="V1782" t="s">
        <v>189</v>
      </c>
      <c r="W1782" t="str">
        <f t="shared" si="401"/>
        <v>Windsor St</v>
      </c>
      <c r="X1782" t="str">
        <f>IF(ISBLANK(S1782),"Intersection","Non-Intersection")</f>
        <v>Intersection</v>
      </c>
      <c r="Y1782" t="s">
        <v>477</v>
      </c>
      <c r="Z1782" t="str">
        <f t="shared" si="402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03"/>
        <v>40544</v>
      </c>
      <c r="D1783" s="4">
        <f t="shared" si="404"/>
        <v>0.10684931506849316</v>
      </c>
      <c r="E1783" s="3">
        <f t="shared" si="405"/>
        <v>2011</v>
      </c>
      <c r="F1783" s="3">
        <f t="shared" si="406"/>
        <v>2</v>
      </c>
      <c r="G1783" s="3">
        <f t="shared" si="407"/>
        <v>9</v>
      </c>
      <c r="H1783" s="3">
        <f t="shared" si="408"/>
        <v>6</v>
      </c>
      <c r="I1783" s="3">
        <f t="shared" si="409"/>
        <v>0</v>
      </c>
      <c r="J1783" s="3">
        <f t="shared" si="410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11"/>
        <v>YES</v>
      </c>
      <c r="Q1783" t="str">
        <f t="shared" si="412"/>
        <v>NO</v>
      </c>
      <c r="R1783" t="str">
        <f t="shared" si="413"/>
        <v>NO</v>
      </c>
      <c r="T1783" t="s">
        <v>155</v>
      </c>
      <c r="U1783" t="str">
        <f t="shared" si="400"/>
        <v>Richdale Ave</v>
      </c>
      <c r="V1783" t="s">
        <v>252</v>
      </c>
      <c r="W1783" t="str">
        <f t="shared" si="401"/>
        <v>Walden St</v>
      </c>
      <c r="X1783" t="str">
        <f>IF(ISBLANK(S1783),"Intersection","Non-Intersection")</f>
        <v>Intersection</v>
      </c>
      <c r="Y1783" t="s">
        <v>2798</v>
      </c>
      <c r="Z1783" t="str">
        <f t="shared" si="402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03"/>
        <v>40544</v>
      </c>
      <c r="D1784" s="4">
        <f t="shared" si="404"/>
        <v>0.10684931506849316</v>
      </c>
      <c r="E1784" s="3">
        <f t="shared" si="405"/>
        <v>2011</v>
      </c>
      <c r="F1784" s="3">
        <f t="shared" si="406"/>
        <v>2</v>
      </c>
      <c r="G1784" s="3">
        <f t="shared" si="407"/>
        <v>9</v>
      </c>
      <c r="H1784" s="3">
        <f t="shared" si="408"/>
        <v>11</v>
      </c>
      <c r="I1784" s="3">
        <f t="shared" si="409"/>
        <v>0</v>
      </c>
      <c r="J1784" s="3">
        <f t="shared" si="410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11"/>
        <v>YES</v>
      </c>
      <c r="Q1784" t="str">
        <f t="shared" si="412"/>
        <v>NO</v>
      </c>
      <c r="R1784" t="str">
        <f t="shared" si="413"/>
        <v>NO</v>
      </c>
      <c r="S1784">
        <v>100</v>
      </c>
      <c r="T1784" t="s">
        <v>1062</v>
      </c>
      <c r="U1784" t="str">
        <f t="shared" si="400"/>
        <v>Cambridgeside Pl</v>
      </c>
      <c r="W1784" t="str">
        <f t="shared" si="401"/>
        <v/>
      </c>
      <c r="X1784" t="str">
        <f>IF(ISBLANK(S1784),"Intersection","Non-Intersection")</f>
        <v>Non-Intersection</v>
      </c>
      <c r="Y1784" t="s">
        <v>1143</v>
      </c>
      <c r="Z1784" t="str">
        <f t="shared" si="402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03"/>
        <v>40544</v>
      </c>
      <c r="D1785" s="4">
        <f t="shared" si="404"/>
        <v>0.10684931506849316</v>
      </c>
      <c r="E1785" s="3">
        <f t="shared" si="405"/>
        <v>2011</v>
      </c>
      <c r="F1785" s="3">
        <f t="shared" si="406"/>
        <v>2</v>
      </c>
      <c r="G1785" s="3">
        <f t="shared" si="407"/>
        <v>9</v>
      </c>
      <c r="H1785" s="3">
        <f t="shared" si="408"/>
        <v>17</v>
      </c>
      <c r="I1785" s="3">
        <f t="shared" si="409"/>
        <v>29</v>
      </c>
      <c r="J1785" s="3">
        <f t="shared" si="410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11"/>
        <v>YES</v>
      </c>
      <c r="Q1785" t="str">
        <f t="shared" si="412"/>
        <v>NO</v>
      </c>
      <c r="R1785" t="str">
        <f t="shared" si="413"/>
        <v>NO</v>
      </c>
      <c r="S1785">
        <v>40</v>
      </c>
      <c r="T1785" t="s">
        <v>1158</v>
      </c>
      <c r="U1785" t="str">
        <f t="shared" si="400"/>
        <v>Clifton St</v>
      </c>
      <c r="W1785" t="str">
        <f t="shared" si="401"/>
        <v/>
      </c>
      <c r="X1785" t="str">
        <f>IF(ISBLANK(S1785),"Intersection","Non-Intersection")</f>
        <v>Non-Intersection</v>
      </c>
      <c r="Y1785" t="s">
        <v>2799</v>
      </c>
      <c r="Z1785" t="str">
        <f t="shared" si="402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03"/>
        <v>40544</v>
      </c>
      <c r="D1786" s="4">
        <f t="shared" si="404"/>
        <v>0.1095890410958904</v>
      </c>
      <c r="E1786" s="3">
        <f t="shared" si="405"/>
        <v>2011</v>
      </c>
      <c r="F1786" s="3">
        <f t="shared" si="406"/>
        <v>2</v>
      </c>
      <c r="G1786" s="3">
        <f t="shared" si="407"/>
        <v>10</v>
      </c>
      <c r="H1786" s="3">
        <f t="shared" si="408"/>
        <v>10</v>
      </c>
      <c r="I1786" s="3">
        <f t="shared" si="409"/>
        <v>30</v>
      </c>
      <c r="J1786" s="3">
        <f t="shared" si="410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11"/>
        <v>YES</v>
      </c>
      <c r="Q1786" t="str">
        <f t="shared" si="412"/>
        <v>NO</v>
      </c>
      <c r="R1786" t="str">
        <f t="shared" si="413"/>
        <v>YES</v>
      </c>
      <c r="T1786" t="s">
        <v>14</v>
      </c>
      <c r="U1786" t="str">
        <f t="shared" si="400"/>
        <v>Massachusetts Ave</v>
      </c>
      <c r="V1786" t="s">
        <v>178</v>
      </c>
      <c r="W1786" t="str">
        <f t="shared" si="401"/>
        <v>Pleasant St</v>
      </c>
      <c r="X1786" t="str">
        <f>IF(ISBLANK(S1786),"Intersection","Non-Intersection")</f>
        <v>Intersection</v>
      </c>
      <c r="Y1786" t="s">
        <v>1866</v>
      </c>
      <c r="Z1786" t="str">
        <f t="shared" si="402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03"/>
        <v>40544</v>
      </c>
      <c r="D1787" s="4">
        <f t="shared" si="404"/>
        <v>0.1095890410958904</v>
      </c>
      <c r="E1787" s="3">
        <f t="shared" si="405"/>
        <v>2011</v>
      </c>
      <c r="F1787" s="3">
        <f t="shared" si="406"/>
        <v>2</v>
      </c>
      <c r="G1787" s="3">
        <f t="shared" si="407"/>
        <v>10</v>
      </c>
      <c r="H1787" s="3">
        <f t="shared" si="408"/>
        <v>11</v>
      </c>
      <c r="I1787" s="3">
        <f t="shared" si="409"/>
        <v>0</v>
      </c>
      <c r="J1787" s="3">
        <f t="shared" si="410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11"/>
        <v>YES</v>
      </c>
      <c r="Q1787" t="str">
        <f t="shared" si="412"/>
        <v>NO</v>
      </c>
      <c r="R1787" t="str">
        <f t="shared" si="413"/>
        <v>NO</v>
      </c>
      <c r="S1787">
        <v>120</v>
      </c>
      <c r="T1787" t="s">
        <v>202</v>
      </c>
      <c r="U1787" t="str">
        <f t="shared" si="400"/>
        <v>Vassar St</v>
      </c>
      <c r="W1787" t="str">
        <f t="shared" si="401"/>
        <v/>
      </c>
      <c r="X1787" t="str">
        <f>IF(ISBLANK(S1787),"Intersection","Non-Intersection")</f>
        <v>Non-Intersection</v>
      </c>
      <c r="Y1787" t="s">
        <v>1413</v>
      </c>
      <c r="Z1787" t="str">
        <f t="shared" si="402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03"/>
        <v>40544</v>
      </c>
      <c r="D1788" s="4">
        <f t="shared" si="404"/>
        <v>0.1095890410958904</v>
      </c>
      <c r="E1788" s="3">
        <f t="shared" si="405"/>
        <v>2011</v>
      </c>
      <c r="F1788" s="3">
        <f t="shared" si="406"/>
        <v>2</v>
      </c>
      <c r="G1788" s="3">
        <f t="shared" si="407"/>
        <v>10</v>
      </c>
      <c r="H1788" s="3">
        <f t="shared" si="408"/>
        <v>12</v>
      </c>
      <c r="I1788" s="3">
        <f t="shared" si="409"/>
        <v>59</v>
      </c>
      <c r="J1788" s="3">
        <f t="shared" si="410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11"/>
        <v>YES</v>
      </c>
      <c r="Q1788" t="str">
        <f t="shared" si="412"/>
        <v>NO</v>
      </c>
      <c r="R1788" t="str">
        <f t="shared" si="413"/>
        <v>NO</v>
      </c>
      <c r="T1788" t="s">
        <v>178</v>
      </c>
      <c r="U1788" t="str">
        <f t="shared" si="400"/>
        <v>Pleasant St</v>
      </c>
      <c r="V1788" t="s">
        <v>509</v>
      </c>
      <c r="W1788" t="str">
        <f t="shared" si="401"/>
        <v>Green St</v>
      </c>
      <c r="X1788" t="str">
        <f>IF(ISBLANK(S1788),"Intersection","Non-Intersection")</f>
        <v>Intersection</v>
      </c>
      <c r="Y1788" t="s">
        <v>1008</v>
      </c>
      <c r="Z1788" t="str">
        <f t="shared" si="402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03"/>
        <v>40544</v>
      </c>
      <c r="D1789" s="4">
        <f t="shared" si="404"/>
        <v>0.1095890410958904</v>
      </c>
      <c r="E1789" s="3">
        <f t="shared" si="405"/>
        <v>2011</v>
      </c>
      <c r="F1789" s="3">
        <f t="shared" si="406"/>
        <v>2</v>
      </c>
      <c r="G1789" s="3">
        <f t="shared" si="407"/>
        <v>10</v>
      </c>
      <c r="H1789" s="3">
        <f t="shared" si="408"/>
        <v>6</v>
      </c>
      <c r="I1789" s="3">
        <f t="shared" si="409"/>
        <v>30</v>
      </c>
      <c r="J1789" s="3">
        <f t="shared" si="410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11"/>
        <v>YES</v>
      </c>
      <c r="Q1789" t="str">
        <f t="shared" si="412"/>
        <v>NO</v>
      </c>
      <c r="R1789" t="str">
        <f t="shared" si="413"/>
        <v>NO</v>
      </c>
      <c r="S1789">
        <v>187</v>
      </c>
      <c r="T1789" t="s">
        <v>587</v>
      </c>
      <c r="U1789" t="str">
        <f t="shared" si="400"/>
        <v>Webster Ave</v>
      </c>
      <c r="W1789" t="str">
        <f t="shared" si="401"/>
        <v/>
      </c>
      <c r="X1789" t="str">
        <f>IF(ISBLANK(S1789),"Intersection","Non-Intersection")</f>
        <v>Non-Intersection</v>
      </c>
      <c r="Y1789" t="s">
        <v>2801</v>
      </c>
      <c r="Z1789" t="str">
        <f t="shared" si="402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03"/>
        <v>40544</v>
      </c>
      <c r="D1790" s="4">
        <f t="shared" si="404"/>
        <v>0.1095890410958904</v>
      </c>
      <c r="E1790" s="3">
        <f t="shared" si="405"/>
        <v>2011</v>
      </c>
      <c r="F1790" s="3">
        <f t="shared" si="406"/>
        <v>2</v>
      </c>
      <c r="G1790" s="3">
        <f t="shared" si="407"/>
        <v>10</v>
      </c>
      <c r="H1790" s="3">
        <f t="shared" si="408"/>
        <v>8</v>
      </c>
      <c r="I1790" s="3">
        <f t="shared" si="409"/>
        <v>49</v>
      </c>
      <c r="J1790" s="3">
        <f t="shared" si="410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11"/>
        <v>YES</v>
      </c>
      <c r="Q1790" t="str">
        <f t="shared" si="412"/>
        <v>NO</v>
      </c>
      <c r="R1790" t="str">
        <f t="shared" si="413"/>
        <v>YES</v>
      </c>
      <c r="S1790">
        <v>2440</v>
      </c>
      <c r="T1790" t="s">
        <v>14</v>
      </c>
      <c r="U1790" t="str">
        <f t="shared" si="400"/>
        <v>Massachusetts Ave</v>
      </c>
      <c r="W1790" t="str">
        <f t="shared" si="401"/>
        <v/>
      </c>
      <c r="X1790" t="str">
        <f>IF(ISBLANK(S1790),"Intersection","Non-Intersection")</f>
        <v>Non-Intersection</v>
      </c>
      <c r="Y1790" t="s">
        <v>2803</v>
      </c>
      <c r="Z1790" t="str">
        <f t="shared" si="402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03"/>
        <v>40544</v>
      </c>
      <c r="D1791" s="4">
        <f t="shared" si="404"/>
        <v>0.1095890410958904</v>
      </c>
      <c r="E1791" s="3">
        <f t="shared" si="405"/>
        <v>2011</v>
      </c>
      <c r="F1791" s="3">
        <f t="shared" si="406"/>
        <v>2</v>
      </c>
      <c r="G1791" s="3">
        <f t="shared" si="407"/>
        <v>10</v>
      </c>
      <c r="H1791" s="3">
        <f t="shared" si="408"/>
        <v>8</v>
      </c>
      <c r="I1791" s="3">
        <f t="shared" si="409"/>
        <v>55</v>
      </c>
      <c r="J1791" s="3">
        <f t="shared" si="410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11"/>
        <v>YES</v>
      </c>
      <c r="Q1791" t="str">
        <f t="shared" si="412"/>
        <v>NO</v>
      </c>
      <c r="R1791" t="str">
        <f t="shared" si="413"/>
        <v>NO</v>
      </c>
      <c r="T1791" t="s">
        <v>15</v>
      </c>
      <c r="U1791" t="str">
        <f t="shared" si="400"/>
        <v>Rindge Ave</v>
      </c>
      <c r="V1791" t="s">
        <v>170</v>
      </c>
      <c r="W1791" t="str">
        <f t="shared" si="401"/>
        <v>Alewife Brook Pky</v>
      </c>
      <c r="X1791" t="str">
        <f>IF(ISBLANK(S1791),"Intersection","Non-Intersection")</f>
        <v>Intersection</v>
      </c>
      <c r="Y1791" t="s">
        <v>2805</v>
      </c>
      <c r="Z1791" t="str">
        <f t="shared" si="402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03"/>
        <v>40544</v>
      </c>
      <c r="D1792" s="4">
        <f t="shared" si="404"/>
        <v>0.1095890410958904</v>
      </c>
      <c r="E1792" s="3">
        <f t="shared" si="405"/>
        <v>2011</v>
      </c>
      <c r="F1792" s="3">
        <f t="shared" si="406"/>
        <v>2</v>
      </c>
      <c r="G1792" s="3">
        <f t="shared" si="407"/>
        <v>10</v>
      </c>
      <c r="H1792" s="3">
        <f t="shared" si="408"/>
        <v>15</v>
      </c>
      <c r="I1792" s="3">
        <f t="shared" si="409"/>
        <v>14</v>
      </c>
      <c r="J1792" s="3">
        <f t="shared" si="410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11"/>
        <v>YES</v>
      </c>
      <c r="Q1792" t="str">
        <f t="shared" si="412"/>
        <v>NO</v>
      </c>
      <c r="R1792" t="str">
        <f t="shared" si="413"/>
        <v>NO</v>
      </c>
      <c r="T1792" t="s">
        <v>19</v>
      </c>
      <c r="U1792" t="str">
        <f t="shared" si="400"/>
        <v>Cambridge St</v>
      </c>
      <c r="V1792" t="s">
        <v>14</v>
      </c>
      <c r="W1792" t="str">
        <f t="shared" si="401"/>
        <v>Massachusetts Ave</v>
      </c>
      <c r="X1792" t="str">
        <f>IF(ISBLANK(S1792),"Intersection","Non-Intersection")</f>
        <v>Intersection</v>
      </c>
      <c r="Y1792" t="s">
        <v>945</v>
      </c>
      <c r="Z1792" t="str">
        <f t="shared" si="402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03"/>
        <v>40544</v>
      </c>
      <c r="D1793" s="4">
        <f t="shared" si="404"/>
        <v>0.1095890410958904</v>
      </c>
      <c r="E1793" s="3">
        <f t="shared" si="405"/>
        <v>2011</v>
      </c>
      <c r="F1793" s="3">
        <f t="shared" si="406"/>
        <v>2</v>
      </c>
      <c r="G1793" s="3">
        <f t="shared" si="407"/>
        <v>10</v>
      </c>
      <c r="H1793" s="3">
        <f t="shared" si="408"/>
        <v>7</v>
      </c>
      <c r="I1793" s="3">
        <f t="shared" si="409"/>
        <v>40</v>
      </c>
      <c r="J1793" s="3">
        <f t="shared" si="410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11"/>
        <v>YES</v>
      </c>
      <c r="Q1793" t="str">
        <f t="shared" si="412"/>
        <v>NO</v>
      </c>
      <c r="R1793" t="str">
        <f t="shared" si="413"/>
        <v>NO</v>
      </c>
      <c r="T1793" t="s">
        <v>177</v>
      </c>
      <c r="U1793" t="str">
        <f t="shared" si="400"/>
        <v>Holworthy St</v>
      </c>
      <c r="V1793" t="s">
        <v>2807</v>
      </c>
      <c r="W1793" t="str">
        <f t="shared" si="401"/>
        <v>Locust St</v>
      </c>
      <c r="X1793" t="str">
        <f>IF(ISBLANK(S1793),"Intersection","Non-Intersection")</f>
        <v>Intersection</v>
      </c>
      <c r="Y1793" t="s">
        <v>2808</v>
      </c>
      <c r="Z1793" t="str">
        <f t="shared" si="402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03"/>
        <v>40544</v>
      </c>
      <c r="D1794" s="4">
        <f t="shared" si="404"/>
        <v>0.1095890410958904</v>
      </c>
      <c r="E1794" s="3">
        <f t="shared" si="405"/>
        <v>2011</v>
      </c>
      <c r="F1794" s="3">
        <f t="shared" si="406"/>
        <v>2</v>
      </c>
      <c r="G1794" s="3">
        <f t="shared" si="407"/>
        <v>10</v>
      </c>
      <c r="H1794" s="3">
        <f t="shared" si="408"/>
        <v>8</v>
      </c>
      <c r="I1794" s="3">
        <f t="shared" si="409"/>
        <v>25</v>
      </c>
      <c r="J1794" s="3">
        <f t="shared" si="410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11"/>
        <v>YES</v>
      </c>
      <c r="Q1794" t="str">
        <f t="shared" si="412"/>
        <v>NO</v>
      </c>
      <c r="R1794" t="str">
        <f t="shared" si="413"/>
        <v>NO</v>
      </c>
      <c r="T1794" t="s">
        <v>42</v>
      </c>
      <c r="U1794" t="str">
        <f t="shared" si="400"/>
        <v>Putnam Ave</v>
      </c>
      <c r="W1794" t="str">
        <f t="shared" si="401"/>
        <v/>
      </c>
      <c r="X1794" t="str">
        <f>IF(ISBLANK(S1794),"Intersection","Non-Intersection")</f>
        <v>Intersection</v>
      </c>
      <c r="Y1794" t="s">
        <v>2810</v>
      </c>
      <c r="Z1794" t="str">
        <f t="shared" si="402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03"/>
        <v>40544</v>
      </c>
      <c r="D1795" s="4">
        <f t="shared" si="404"/>
        <v>0.11232876712328767</v>
      </c>
      <c r="E1795" s="3">
        <f t="shared" si="405"/>
        <v>2011</v>
      </c>
      <c r="F1795" s="3">
        <f t="shared" si="406"/>
        <v>2</v>
      </c>
      <c r="G1795" s="3">
        <f t="shared" si="407"/>
        <v>11</v>
      </c>
      <c r="H1795" s="3">
        <f t="shared" si="408"/>
        <v>6</v>
      </c>
      <c r="I1795" s="3">
        <f t="shared" si="409"/>
        <v>20</v>
      </c>
      <c r="J1795" s="3">
        <f t="shared" si="410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11"/>
        <v>YES</v>
      </c>
      <c r="Q1795" t="str">
        <f t="shared" si="412"/>
        <v>NO</v>
      </c>
      <c r="R1795" t="str">
        <f t="shared" si="413"/>
        <v>NO</v>
      </c>
      <c r="T1795" t="s">
        <v>14</v>
      </c>
      <c r="U1795" t="str">
        <f t="shared" ref="U1795:U1858" si="414">TRIM(PROPER(T1795))</f>
        <v>Massachusetts Ave</v>
      </c>
      <c r="V1795" t="s">
        <v>1275</v>
      </c>
      <c r="W1795" t="str">
        <f t="shared" ref="W1795:W1858" si="415">TRIM(PROPER(V1795))</f>
        <v>Richard Ave</v>
      </c>
      <c r="X1795" t="str">
        <f>IF(ISBLANK(S1795),"Intersection","Non-Intersection")</f>
        <v>Intersection</v>
      </c>
      <c r="Y1795" t="s">
        <v>2495</v>
      </c>
      <c r="Z1795" t="str">
        <f t="shared" ref="Z1795:Z1858" si="416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03"/>
        <v>40544</v>
      </c>
      <c r="D1796" s="4">
        <f t="shared" si="404"/>
        <v>0.11232876712328767</v>
      </c>
      <c r="E1796" s="3">
        <f t="shared" si="405"/>
        <v>2011</v>
      </c>
      <c r="F1796" s="3">
        <f t="shared" si="406"/>
        <v>2</v>
      </c>
      <c r="G1796" s="3">
        <f t="shared" si="407"/>
        <v>11</v>
      </c>
      <c r="H1796" s="3">
        <f t="shared" si="408"/>
        <v>6</v>
      </c>
      <c r="I1796" s="3">
        <f t="shared" si="409"/>
        <v>31</v>
      </c>
      <c r="J1796" s="3">
        <f t="shared" si="410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11"/>
        <v>NO</v>
      </c>
      <c r="Q1796" t="str">
        <f t="shared" si="412"/>
        <v>YES</v>
      </c>
      <c r="R1796" t="str">
        <f t="shared" si="413"/>
        <v>NO</v>
      </c>
      <c r="T1796" t="s">
        <v>805</v>
      </c>
      <c r="U1796" t="str">
        <f t="shared" si="414"/>
        <v>Trowbridge St</v>
      </c>
      <c r="V1796" t="s">
        <v>203</v>
      </c>
      <c r="W1796" t="str">
        <f t="shared" si="415"/>
        <v>Memorial Dr</v>
      </c>
      <c r="X1796" t="str">
        <f>IF(ISBLANK(S1796),"Intersection","Non-Intersection")</f>
        <v>Intersection</v>
      </c>
      <c r="Y1796" t="s">
        <v>2811</v>
      </c>
      <c r="Z1796" t="str">
        <f t="shared" si="416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03"/>
        <v>40544</v>
      </c>
      <c r="D1797" s="4">
        <f t="shared" si="404"/>
        <v>0.11232876712328767</v>
      </c>
      <c r="E1797" s="3">
        <f t="shared" si="405"/>
        <v>2011</v>
      </c>
      <c r="F1797" s="3">
        <f t="shared" si="406"/>
        <v>2</v>
      </c>
      <c r="G1797" s="3">
        <f t="shared" si="407"/>
        <v>11</v>
      </c>
      <c r="H1797" s="3">
        <f t="shared" si="408"/>
        <v>7</v>
      </c>
      <c r="I1797" s="3">
        <f t="shared" si="409"/>
        <v>30</v>
      </c>
      <c r="J1797" s="3">
        <f t="shared" si="410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11"/>
        <v>YES</v>
      </c>
      <c r="Q1797" t="str">
        <f t="shared" si="412"/>
        <v>NO</v>
      </c>
      <c r="R1797" t="str">
        <f t="shared" si="413"/>
        <v>NO</v>
      </c>
      <c r="S1797">
        <v>21</v>
      </c>
      <c r="T1797" t="s">
        <v>1324</v>
      </c>
      <c r="U1797" t="str">
        <f t="shared" si="414"/>
        <v>Flagg St</v>
      </c>
      <c r="W1797" t="str">
        <f t="shared" si="415"/>
        <v/>
      </c>
      <c r="X1797" t="str">
        <f>IF(ISBLANK(S1797),"Intersection","Non-Intersection")</f>
        <v>Non-Intersection</v>
      </c>
      <c r="Y1797" t="s">
        <v>2770</v>
      </c>
      <c r="Z1797" t="str">
        <f t="shared" si="416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03"/>
        <v>40544</v>
      </c>
      <c r="D1798" s="4">
        <f t="shared" si="404"/>
        <v>0.11232876712328767</v>
      </c>
      <c r="E1798" s="3">
        <f t="shared" si="405"/>
        <v>2011</v>
      </c>
      <c r="F1798" s="3">
        <f t="shared" si="406"/>
        <v>2</v>
      </c>
      <c r="G1798" s="3">
        <f t="shared" si="407"/>
        <v>11</v>
      </c>
      <c r="H1798" s="3">
        <f t="shared" si="408"/>
        <v>8</v>
      </c>
      <c r="I1798" s="3">
        <f t="shared" si="409"/>
        <v>29</v>
      </c>
      <c r="J1798" s="3">
        <f t="shared" si="410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11"/>
        <v>YES</v>
      </c>
      <c r="Q1798" t="str">
        <f t="shared" si="412"/>
        <v>NO</v>
      </c>
      <c r="R1798" t="str">
        <f t="shared" si="413"/>
        <v>NO</v>
      </c>
      <c r="S1798">
        <v>389</v>
      </c>
      <c r="T1798" t="s">
        <v>105</v>
      </c>
      <c r="U1798" t="str">
        <f t="shared" si="414"/>
        <v>Broadway</v>
      </c>
      <c r="W1798" t="str">
        <f t="shared" si="415"/>
        <v/>
      </c>
      <c r="X1798" t="str">
        <f>IF(ISBLANK(S1798),"Intersection","Non-Intersection")</f>
        <v>Non-Intersection</v>
      </c>
      <c r="Y1798" t="s">
        <v>2812</v>
      </c>
      <c r="Z1798" t="str">
        <f t="shared" si="416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03"/>
        <v>40544</v>
      </c>
      <c r="D1799" s="4">
        <f t="shared" si="404"/>
        <v>0.11232876712328767</v>
      </c>
      <c r="E1799" s="3">
        <f t="shared" si="405"/>
        <v>2011</v>
      </c>
      <c r="F1799" s="3">
        <f t="shared" si="406"/>
        <v>2</v>
      </c>
      <c r="G1799" s="3">
        <f t="shared" si="407"/>
        <v>11</v>
      </c>
      <c r="H1799" s="3">
        <f t="shared" si="408"/>
        <v>9</v>
      </c>
      <c r="I1799" s="3">
        <f t="shared" si="409"/>
        <v>56</v>
      </c>
      <c r="J1799" s="3">
        <f t="shared" si="410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11"/>
        <v>YES</v>
      </c>
      <c r="Q1799" t="str">
        <f t="shared" si="412"/>
        <v>YES</v>
      </c>
      <c r="R1799" t="str">
        <f t="shared" si="413"/>
        <v>NO</v>
      </c>
      <c r="T1799" t="s">
        <v>105</v>
      </c>
      <c r="U1799" t="str">
        <f t="shared" si="414"/>
        <v>Broadway</v>
      </c>
      <c r="V1799" t="s">
        <v>79</v>
      </c>
      <c r="W1799" t="str">
        <f t="shared" si="415"/>
        <v>Ames St</v>
      </c>
      <c r="X1799" t="str">
        <f>IF(ISBLANK(S1799),"Intersection","Non-Intersection")</f>
        <v>Intersection</v>
      </c>
      <c r="Y1799" t="s">
        <v>1346</v>
      </c>
      <c r="Z1799" t="str">
        <f t="shared" si="416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03"/>
        <v>40544</v>
      </c>
      <c r="D1800" s="4">
        <f t="shared" si="404"/>
        <v>0.11232876712328767</v>
      </c>
      <c r="E1800" s="3">
        <f t="shared" si="405"/>
        <v>2011</v>
      </c>
      <c r="F1800" s="3">
        <f t="shared" si="406"/>
        <v>2</v>
      </c>
      <c r="G1800" s="3">
        <f t="shared" si="407"/>
        <v>11</v>
      </c>
      <c r="H1800" s="3">
        <f t="shared" si="408"/>
        <v>10</v>
      </c>
      <c r="I1800" s="3">
        <f t="shared" si="409"/>
        <v>15</v>
      </c>
      <c r="J1800" s="3">
        <f t="shared" si="410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11"/>
        <v>YES</v>
      </c>
      <c r="Q1800" t="str">
        <f t="shared" si="412"/>
        <v>NO</v>
      </c>
      <c r="R1800" t="str">
        <f t="shared" si="413"/>
        <v>NO</v>
      </c>
      <c r="T1800" t="s">
        <v>185</v>
      </c>
      <c r="U1800" t="str">
        <f t="shared" si="414"/>
        <v>Garden St</v>
      </c>
      <c r="V1800" t="s">
        <v>296</v>
      </c>
      <c r="W1800" t="str">
        <f t="shared" si="415"/>
        <v>Mason St</v>
      </c>
      <c r="X1800" t="str">
        <f>IF(ISBLANK(S1800),"Intersection","Non-Intersection")</f>
        <v>Intersection</v>
      </c>
      <c r="Y1800" t="s">
        <v>594</v>
      </c>
      <c r="Z1800" t="str">
        <f t="shared" si="416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03"/>
        <v>40544</v>
      </c>
      <c r="D1801" s="4">
        <f t="shared" si="404"/>
        <v>0.11232876712328767</v>
      </c>
      <c r="E1801" s="3">
        <f t="shared" si="405"/>
        <v>2011</v>
      </c>
      <c r="F1801" s="3">
        <f t="shared" si="406"/>
        <v>2</v>
      </c>
      <c r="G1801" s="3">
        <f t="shared" si="407"/>
        <v>11</v>
      </c>
      <c r="H1801" s="3">
        <f t="shared" si="408"/>
        <v>13</v>
      </c>
      <c r="I1801" s="3">
        <f t="shared" si="409"/>
        <v>54</v>
      </c>
      <c r="J1801" s="3">
        <f t="shared" si="410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11"/>
        <v>YES</v>
      </c>
      <c r="Q1801" t="str">
        <f t="shared" si="412"/>
        <v>NO</v>
      </c>
      <c r="R1801" t="str">
        <f t="shared" si="413"/>
        <v>NO</v>
      </c>
      <c r="S1801">
        <v>795</v>
      </c>
      <c r="T1801" t="s">
        <v>32</v>
      </c>
      <c r="U1801" t="str">
        <f t="shared" si="414"/>
        <v>Main St</v>
      </c>
      <c r="W1801" t="str">
        <f t="shared" si="415"/>
        <v/>
      </c>
      <c r="X1801" t="str">
        <f>IF(ISBLANK(S1801),"Intersection","Non-Intersection")</f>
        <v>Non-Intersection</v>
      </c>
      <c r="Y1801" t="s">
        <v>2814</v>
      </c>
      <c r="Z1801" t="str">
        <f t="shared" si="416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03"/>
        <v>40544</v>
      </c>
      <c r="D1802" s="4">
        <f t="shared" si="404"/>
        <v>0.11232876712328767</v>
      </c>
      <c r="E1802" s="3">
        <f t="shared" si="405"/>
        <v>2011</v>
      </c>
      <c r="F1802" s="3">
        <f t="shared" si="406"/>
        <v>2</v>
      </c>
      <c r="G1802" s="3">
        <f t="shared" si="407"/>
        <v>11</v>
      </c>
      <c r="H1802" s="3">
        <f t="shared" si="408"/>
        <v>14</v>
      </c>
      <c r="I1802" s="3">
        <f t="shared" si="409"/>
        <v>0</v>
      </c>
      <c r="J1802" s="3">
        <f t="shared" si="410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11"/>
        <v>YES</v>
      </c>
      <c r="Q1802" t="str">
        <f t="shared" si="412"/>
        <v>NO</v>
      </c>
      <c r="R1802" t="str">
        <f t="shared" si="413"/>
        <v>NO</v>
      </c>
      <c r="S1802" t="s">
        <v>2816</v>
      </c>
      <c r="T1802" t="s">
        <v>453</v>
      </c>
      <c r="U1802" t="str">
        <f t="shared" si="414"/>
        <v>Brookline St</v>
      </c>
      <c r="W1802" t="str">
        <f t="shared" si="415"/>
        <v/>
      </c>
      <c r="X1802" t="str">
        <f>IF(ISBLANK(S1802),"Intersection","Non-Intersection")</f>
        <v>Non-Intersection</v>
      </c>
      <c r="Y1802" t="s">
        <v>2817</v>
      </c>
      <c r="Z1802" t="str">
        <f t="shared" si="416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03"/>
        <v>40544</v>
      </c>
      <c r="D1803" s="4">
        <f t="shared" si="404"/>
        <v>0.11232876712328767</v>
      </c>
      <c r="E1803" s="3">
        <f t="shared" si="405"/>
        <v>2011</v>
      </c>
      <c r="F1803" s="3">
        <f t="shared" si="406"/>
        <v>2</v>
      </c>
      <c r="G1803" s="3">
        <f t="shared" si="407"/>
        <v>11</v>
      </c>
      <c r="H1803" s="3">
        <f t="shared" si="408"/>
        <v>14</v>
      </c>
      <c r="I1803" s="3">
        <f t="shared" si="409"/>
        <v>54</v>
      </c>
      <c r="J1803" s="3">
        <f t="shared" si="410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11"/>
        <v>YES</v>
      </c>
      <c r="Q1803" t="str">
        <f t="shared" si="412"/>
        <v>NO</v>
      </c>
      <c r="R1803" t="str">
        <f t="shared" si="413"/>
        <v>YES</v>
      </c>
      <c r="S1803">
        <v>1742</v>
      </c>
      <c r="T1803" t="s">
        <v>14</v>
      </c>
      <c r="U1803" t="str">
        <f t="shared" si="414"/>
        <v>Massachusetts Ave</v>
      </c>
      <c r="W1803" t="str">
        <f t="shared" si="415"/>
        <v/>
      </c>
      <c r="X1803" t="str">
        <f>IF(ISBLANK(S1803),"Intersection","Non-Intersection")</f>
        <v>Non-Intersection</v>
      </c>
      <c r="Y1803" t="s">
        <v>2819</v>
      </c>
      <c r="Z1803" t="str">
        <f t="shared" si="416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03"/>
        <v>40544</v>
      </c>
      <c r="D1804" s="4">
        <f t="shared" si="404"/>
        <v>0.11232876712328767</v>
      </c>
      <c r="E1804" s="3">
        <f t="shared" si="405"/>
        <v>2011</v>
      </c>
      <c r="F1804" s="3">
        <f t="shared" si="406"/>
        <v>2</v>
      </c>
      <c r="G1804" s="3">
        <f t="shared" si="407"/>
        <v>11</v>
      </c>
      <c r="H1804" s="3">
        <f t="shared" si="408"/>
        <v>12</v>
      </c>
      <c r="I1804" s="3">
        <f t="shared" si="409"/>
        <v>30</v>
      </c>
      <c r="J1804" s="3">
        <f t="shared" si="410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11"/>
        <v>YES</v>
      </c>
      <c r="Q1804" t="str">
        <f t="shared" si="412"/>
        <v>NO</v>
      </c>
      <c r="R1804" t="str">
        <f t="shared" si="413"/>
        <v>NO</v>
      </c>
      <c r="T1804" t="s">
        <v>2820</v>
      </c>
      <c r="U1804" t="str">
        <f t="shared" si="414"/>
        <v>Hunting St</v>
      </c>
      <c r="V1804" t="s">
        <v>19</v>
      </c>
      <c r="W1804" t="str">
        <f t="shared" si="415"/>
        <v>Cambridge St</v>
      </c>
      <c r="X1804" t="str">
        <f>IF(ISBLANK(S1804),"Intersection","Non-Intersection")</f>
        <v>Intersection</v>
      </c>
      <c r="Y1804" t="s">
        <v>2821</v>
      </c>
      <c r="Z1804" t="str">
        <f t="shared" si="416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03"/>
        <v>40544</v>
      </c>
      <c r="D1805" s="4">
        <f t="shared" si="404"/>
        <v>0.11506849315068493</v>
      </c>
      <c r="E1805" s="3">
        <f t="shared" si="405"/>
        <v>2011</v>
      </c>
      <c r="F1805" s="3">
        <f t="shared" si="406"/>
        <v>2</v>
      </c>
      <c r="G1805" s="3">
        <f t="shared" si="407"/>
        <v>12</v>
      </c>
      <c r="H1805" s="3">
        <f t="shared" si="408"/>
        <v>0</v>
      </c>
      <c r="I1805" s="3">
        <f t="shared" si="409"/>
        <v>4</v>
      </c>
      <c r="J1805" s="3">
        <f t="shared" si="410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11"/>
        <v>YES</v>
      </c>
      <c r="Q1805" t="str">
        <f t="shared" si="412"/>
        <v>NO</v>
      </c>
      <c r="R1805" t="str">
        <f t="shared" si="413"/>
        <v>NO</v>
      </c>
      <c r="T1805" t="s">
        <v>342</v>
      </c>
      <c r="U1805" t="str">
        <f t="shared" si="414"/>
        <v>Prospect St</v>
      </c>
      <c r="V1805" t="s">
        <v>74</v>
      </c>
      <c r="W1805" t="str">
        <f t="shared" si="415"/>
        <v>Hampshire St</v>
      </c>
      <c r="X1805" t="str">
        <f>IF(ISBLANK(S1805),"Intersection","Non-Intersection")</f>
        <v>Intersection</v>
      </c>
      <c r="Y1805" t="s">
        <v>964</v>
      </c>
      <c r="Z1805" t="str">
        <f t="shared" si="416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03"/>
        <v>40544</v>
      </c>
      <c r="D1806" s="4">
        <f t="shared" si="404"/>
        <v>0.11506849315068493</v>
      </c>
      <c r="E1806" s="3">
        <f t="shared" si="405"/>
        <v>2011</v>
      </c>
      <c r="F1806" s="3">
        <f t="shared" si="406"/>
        <v>2</v>
      </c>
      <c r="G1806" s="3">
        <f t="shared" si="407"/>
        <v>12</v>
      </c>
      <c r="H1806" s="3">
        <f t="shared" si="408"/>
        <v>0</v>
      </c>
      <c r="I1806" s="3">
        <f t="shared" si="409"/>
        <v>10</v>
      </c>
      <c r="J1806" s="3">
        <f t="shared" si="410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11"/>
        <v>YES</v>
      </c>
      <c r="Q1806" t="str">
        <f t="shared" si="412"/>
        <v>NO</v>
      </c>
      <c r="R1806" t="str">
        <f t="shared" si="413"/>
        <v>NO</v>
      </c>
      <c r="S1806">
        <v>60</v>
      </c>
      <c r="T1806" t="s">
        <v>185</v>
      </c>
      <c r="U1806" t="str">
        <f t="shared" si="414"/>
        <v>Garden St</v>
      </c>
      <c r="W1806" t="str">
        <f t="shared" si="415"/>
        <v/>
      </c>
      <c r="X1806" t="str">
        <f>IF(ISBLANK(S1806),"Intersection","Non-Intersection")</f>
        <v>Non-Intersection</v>
      </c>
      <c r="Y1806" t="s">
        <v>2823</v>
      </c>
      <c r="Z1806" t="str">
        <f t="shared" si="416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03"/>
        <v>40544</v>
      </c>
      <c r="D1807" s="4">
        <f t="shared" si="404"/>
        <v>0.11506849315068493</v>
      </c>
      <c r="E1807" s="3">
        <f t="shared" si="405"/>
        <v>2011</v>
      </c>
      <c r="F1807" s="3">
        <f t="shared" si="406"/>
        <v>2</v>
      </c>
      <c r="G1807" s="3">
        <f t="shared" si="407"/>
        <v>12</v>
      </c>
      <c r="H1807" s="3">
        <f t="shared" si="408"/>
        <v>11</v>
      </c>
      <c r="I1807" s="3">
        <f t="shared" si="409"/>
        <v>45</v>
      </c>
      <c r="J1807" s="3">
        <f t="shared" si="410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11"/>
        <v>YES</v>
      </c>
      <c r="Q1807" t="str">
        <f t="shared" si="412"/>
        <v>NO</v>
      </c>
      <c r="R1807" t="str">
        <f t="shared" si="413"/>
        <v>NO</v>
      </c>
      <c r="T1807" t="s">
        <v>185</v>
      </c>
      <c r="U1807" t="str">
        <f t="shared" si="414"/>
        <v>Garden St</v>
      </c>
      <c r="V1807" t="s">
        <v>449</v>
      </c>
      <c r="W1807" t="str">
        <f t="shared" si="415"/>
        <v>Appian Way</v>
      </c>
      <c r="X1807" t="str">
        <f>IF(ISBLANK(S1807),"Intersection","Non-Intersection")</f>
        <v>Intersection</v>
      </c>
      <c r="Y1807" t="s">
        <v>729</v>
      </c>
      <c r="Z1807" t="str">
        <f t="shared" si="416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03"/>
        <v>40544</v>
      </c>
      <c r="D1808" s="4">
        <f t="shared" si="404"/>
        <v>0.11506849315068493</v>
      </c>
      <c r="E1808" s="3">
        <f t="shared" si="405"/>
        <v>2011</v>
      </c>
      <c r="F1808" s="3">
        <f t="shared" si="406"/>
        <v>2</v>
      </c>
      <c r="G1808" s="3">
        <f t="shared" si="407"/>
        <v>12</v>
      </c>
      <c r="H1808" s="3">
        <f t="shared" si="408"/>
        <v>20</v>
      </c>
      <c r="I1808" s="3">
        <f t="shared" si="409"/>
        <v>29</v>
      </c>
      <c r="J1808" s="3">
        <f t="shared" si="410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11"/>
        <v>YES</v>
      </c>
      <c r="Q1808" t="str">
        <f t="shared" si="412"/>
        <v>NO</v>
      </c>
      <c r="R1808" t="str">
        <f t="shared" si="413"/>
        <v>NO</v>
      </c>
      <c r="S1808">
        <v>135</v>
      </c>
      <c r="T1808" t="s">
        <v>387</v>
      </c>
      <c r="U1808" t="str">
        <f t="shared" si="414"/>
        <v>Antrim St</v>
      </c>
      <c r="W1808" t="str">
        <f t="shared" si="415"/>
        <v/>
      </c>
      <c r="X1808" t="str">
        <f>IF(ISBLANK(S1808),"Intersection","Non-Intersection")</f>
        <v>Non-Intersection</v>
      </c>
      <c r="Y1808" t="s">
        <v>2825</v>
      </c>
      <c r="Z1808" t="str">
        <f t="shared" si="416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03"/>
        <v>40544</v>
      </c>
      <c r="D1809" s="4">
        <f t="shared" si="404"/>
        <v>0.11506849315068493</v>
      </c>
      <c r="E1809" s="3">
        <f t="shared" si="405"/>
        <v>2011</v>
      </c>
      <c r="F1809" s="3">
        <f t="shared" si="406"/>
        <v>2</v>
      </c>
      <c r="G1809" s="3">
        <f t="shared" si="407"/>
        <v>12</v>
      </c>
      <c r="H1809" s="3">
        <f t="shared" si="408"/>
        <v>23</v>
      </c>
      <c r="I1809" s="3">
        <f t="shared" si="409"/>
        <v>0</v>
      </c>
      <c r="J1809" s="3">
        <f t="shared" si="410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11"/>
        <v>YES</v>
      </c>
      <c r="Q1809" t="str">
        <f t="shared" si="412"/>
        <v>NO</v>
      </c>
      <c r="R1809" t="str">
        <f t="shared" si="413"/>
        <v>NO</v>
      </c>
      <c r="T1809" t="s">
        <v>326</v>
      </c>
      <c r="U1809" t="str">
        <f t="shared" si="414"/>
        <v>Jfk St</v>
      </c>
      <c r="V1809" t="s">
        <v>203</v>
      </c>
      <c r="W1809" t="str">
        <f t="shared" si="415"/>
        <v>Memorial Dr</v>
      </c>
      <c r="X1809" t="str">
        <f>IF(ISBLANK(S1809),"Intersection","Non-Intersection")</f>
        <v>Intersection</v>
      </c>
      <c r="Y1809" t="s">
        <v>2827</v>
      </c>
      <c r="Z1809" t="str">
        <f t="shared" si="416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03"/>
        <v>40544</v>
      </c>
      <c r="D1810" s="4">
        <f t="shared" si="404"/>
        <v>0.11506849315068493</v>
      </c>
      <c r="E1810" s="3">
        <f t="shared" si="405"/>
        <v>2011</v>
      </c>
      <c r="F1810" s="3">
        <f t="shared" si="406"/>
        <v>2</v>
      </c>
      <c r="G1810" s="3">
        <f t="shared" si="407"/>
        <v>12</v>
      </c>
      <c r="H1810" s="3">
        <f t="shared" si="408"/>
        <v>11</v>
      </c>
      <c r="I1810" s="3">
        <f t="shared" si="409"/>
        <v>0</v>
      </c>
      <c r="J1810" s="3">
        <f t="shared" si="410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11"/>
        <v>YES</v>
      </c>
      <c r="Q1810" t="str">
        <f t="shared" si="412"/>
        <v>NO</v>
      </c>
      <c r="R1810" t="str">
        <f t="shared" si="413"/>
        <v>NO</v>
      </c>
      <c r="T1810" t="s">
        <v>252</v>
      </c>
      <c r="U1810" t="str">
        <f t="shared" si="414"/>
        <v>Walden St</v>
      </c>
      <c r="W1810" t="str">
        <f t="shared" si="415"/>
        <v/>
      </c>
      <c r="X1810" t="str">
        <f>IF(ISBLANK(S1810),"Intersection","Non-Intersection")</f>
        <v>Intersection</v>
      </c>
      <c r="Y1810" t="s">
        <v>2829</v>
      </c>
      <c r="Z1810" t="str">
        <f t="shared" si="416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03"/>
        <v>40544</v>
      </c>
      <c r="D1811" s="4">
        <f t="shared" si="404"/>
        <v>0.11506849315068493</v>
      </c>
      <c r="E1811" s="3">
        <f t="shared" si="405"/>
        <v>2011</v>
      </c>
      <c r="F1811" s="3">
        <f t="shared" si="406"/>
        <v>2</v>
      </c>
      <c r="G1811" s="3">
        <f t="shared" si="407"/>
        <v>12</v>
      </c>
      <c r="H1811" s="3">
        <f t="shared" si="408"/>
        <v>15</v>
      </c>
      <c r="I1811" s="3">
        <f t="shared" si="409"/>
        <v>14</v>
      </c>
      <c r="J1811" s="3">
        <f t="shared" si="410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11"/>
        <v>YES</v>
      </c>
      <c r="Q1811" t="str">
        <f t="shared" si="412"/>
        <v>NO</v>
      </c>
      <c r="R1811" t="str">
        <f t="shared" si="413"/>
        <v>NO</v>
      </c>
      <c r="S1811">
        <v>125</v>
      </c>
      <c r="T1811" t="s">
        <v>147</v>
      </c>
      <c r="U1811" t="str">
        <f t="shared" si="414"/>
        <v>Sixth St</v>
      </c>
      <c r="W1811" t="str">
        <f t="shared" si="415"/>
        <v/>
      </c>
      <c r="X1811" t="str">
        <f>IF(ISBLANK(S1811),"Intersection","Non-Intersection")</f>
        <v>Non-Intersection</v>
      </c>
      <c r="Y1811" t="s">
        <v>592</v>
      </c>
      <c r="Z1811" t="str">
        <f t="shared" si="416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03"/>
        <v>40544</v>
      </c>
      <c r="D1812" s="4">
        <f t="shared" si="404"/>
        <v>0.11780821917808219</v>
      </c>
      <c r="E1812" s="3">
        <f t="shared" si="405"/>
        <v>2011</v>
      </c>
      <c r="F1812" s="3">
        <f t="shared" si="406"/>
        <v>2</v>
      </c>
      <c r="G1812" s="3">
        <f t="shared" si="407"/>
        <v>13</v>
      </c>
      <c r="H1812" s="3">
        <f t="shared" si="408"/>
        <v>5</v>
      </c>
      <c r="I1812" s="3">
        <f t="shared" si="409"/>
        <v>0</v>
      </c>
      <c r="J1812" s="3">
        <f t="shared" si="410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11"/>
        <v>YES</v>
      </c>
      <c r="Q1812" t="str">
        <f t="shared" si="412"/>
        <v>NO</v>
      </c>
      <c r="R1812" t="str">
        <f t="shared" si="413"/>
        <v>NO</v>
      </c>
      <c r="S1812">
        <v>77</v>
      </c>
      <c r="T1812" t="s">
        <v>14</v>
      </c>
      <c r="U1812" t="str">
        <f t="shared" si="414"/>
        <v>Massachusetts Ave</v>
      </c>
      <c r="V1812" t="s">
        <v>202</v>
      </c>
      <c r="W1812" t="str">
        <f t="shared" si="415"/>
        <v>Vassar St</v>
      </c>
      <c r="X1812" t="str">
        <f>IF(ISBLANK(S1812),"Intersection","Non-Intersection")</f>
        <v>Non-Intersection</v>
      </c>
      <c r="Y1812" t="s">
        <v>415</v>
      </c>
      <c r="Z1812" t="str">
        <f t="shared" si="416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03"/>
        <v>40544</v>
      </c>
      <c r="D1813" s="4">
        <f t="shared" si="404"/>
        <v>0.11780821917808219</v>
      </c>
      <c r="E1813" s="3">
        <f t="shared" si="405"/>
        <v>2011</v>
      </c>
      <c r="F1813" s="3">
        <f t="shared" si="406"/>
        <v>2</v>
      </c>
      <c r="G1813" s="3">
        <f t="shared" si="407"/>
        <v>13</v>
      </c>
      <c r="H1813" s="3">
        <f t="shared" si="408"/>
        <v>9</v>
      </c>
      <c r="I1813" s="3">
        <f t="shared" si="409"/>
        <v>30</v>
      </c>
      <c r="J1813" s="3">
        <f t="shared" si="410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11"/>
        <v>YES</v>
      </c>
      <c r="Q1813" t="str">
        <f t="shared" si="412"/>
        <v>NO</v>
      </c>
      <c r="R1813" t="str">
        <f t="shared" si="413"/>
        <v>NO</v>
      </c>
      <c r="S1813">
        <v>12</v>
      </c>
      <c r="T1813" t="s">
        <v>506</v>
      </c>
      <c r="U1813" t="str">
        <f t="shared" si="414"/>
        <v>Bigelow St</v>
      </c>
      <c r="W1813" t="str">
        <f t="shared" si="415"/>
        <v/>
      </c>
      <c r="X1813" t="str">
        <f>IF(ISBLANK(S1813),"Intersection","Non-Intersection")</f>
        <v>Non-Intersection</v>
      </c>
      <c r="Y1813" t="s">
        <v>2830</v>
      </c>
      <c r="Z1813" t="str">
        <f t="shared" si="416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03"/>
        <v>40544</v>
      </c>
      <c r="D1814" s="4">
        <f t="shared" si="404"/>
        <v>0.11780821917808219</v>
      </c>
      <c r="E1814" s="3">
        <f t="shared" si="405"/>
        <v>2011</v>
      </c>
      <c r="F1814" s="3">
        <f t="shared" si="406"/>
        <v>2</v>
      </c>
      <c r="G1814" s="3">
        <f t="shared" si="407"/>
        <v>13</v>
      </c>
      <c r="H1814" s="3">
        <f t="shared" si="408"/>
        <v>13</v>
      </c>
      <c r="I1814" s="3">
        <f t="shared" si="409"/>
        <v>22</v>
      </c>
      <c r="J1814" s="3">
        <f t="shared" si="410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11"/>
        <v>YES</v>
      </c>
      <c r="Q1814" t="str">
        <f t="shared" si="412"/>
        <v>NO</v>
      </c>
      <c r="R1814" t="str">
        <f t="shared" si="413"/>
        <v>NO</v>
      </c>
      <c r="T1814" t="s">
        <v>509</v>
      </c>
      <c r="U1814" t="str">
        <f t="shared" si="414"/>
        <v>Green St</v>
      </c>
      <c r="V1814" t="s">
        <v>249</v>
      </c>
      <c r="W1814" t="str">
        <f t="shared" si="415"/>
        <v>Landsdowne St</v>
      </c>
      <c r="X1814" t="str">
        <f>IF(ISBLANK(S1814),"Intersection","Non-Intersection")</f>
        <v>Intersection</v>
      </c>
      <c r="Y1814" t="s">
        <v>2832</v>
      </c>
      <c r="Z1814" t="str">
        <f t="shared" si="416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03"/>
        <v>40544</v>
      </c>
      <c r="D1815" s="4">
        <f t="shared" si="404"/>
        <v>0.11780821917808219</v>
      </c>
      <c r="E1815" s="3">
        <f t="shared" si="405"/>
        <v>2011</v>
      </c>
      <c r="F1815" s="3">
        <f t="shared" si="406"/>
        <v>2</v>
      </c>
      <c r="G1815" s="3">
        <f t="shared" si="407"/>
        <v>13</v>
      </c>
      <c r="H1815" s="3">
        <f t="shared" si="408"/>
        <v>14</v>
      </c>
      <c r="I1815" s="3">
        <f t="shared" si="409"/>
        <v>29</v>
      </c>
      <c r="J1815" s="3">
        <f t="shared" si="410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11"/>
        <v>YES</v>
      </c>
      <c r="Q1815" t="str">
        <f t="shared" si="412"/>
        <v>NO</v>
      </c>
      <c r="R1815" t="str">
        <f t="shared" si="413"/>
        <v>NO</v>
      </c>
      <c r="S1815">
        <v>1815</v>
      </c>
      <c r="T1815" t="s">
        <v>14</v>
      </c>
      <c r="U1815" t="str">
        <f t="shared" si="414"/>
        <v>Massachusetts Ave</v>
      </c>
      <c r="W1815" t="str">
        <f t="shared" si="415"/>
        <v/>
      </c>
      <c r="X1815" t="str">
        <f>IF(ISBLANK(S1815),"Intersection","Non-Intersection")</f>
        <v>Non-Intersection</v>
      </c>
      <c r="Y1815" t="s">
        <v>2783</v>
      </c>
      <c r="Z1815" t="str">
        <f t="shared" si="416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03"/>
        <v>40544</v>
      </c>
      <c r="D1816" s="4">
        <f t="shared" si="404"/>
        <v>0.12054794520547946</v>
      </c>
      <c r="E1816" s="3">
        <f t="shared" si="405"/>
        <v>2011</v>
      </c>
      <c r="F1816" s="3">
        <f t="shared" si="406"/>
        <v>2</v>
      </c>
      <c r="G1816" s="3">
        <f t="shared" si="407"/>
        <v>14</v>
      </c>
      <c r="H1816" s="3">
        <f t="shared" si="408"/>
        <v>9</v>
      </c>
      <c r="I1816" s="3">
        <f t="shared" si="409"/>
        <v>14</v>
      </c>
      <c r="J1816" s="3">
        <f t="shared" si="410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11"/>
        <v>YES</v>
      </c>
      <c r="Q1816" t="str">
        <f t="shared" si="412"/>
        <v>NO</v>
      </c>
      <c r="R1816" t="str">
        <f t="shared" si="413"/>
        <v>NO</v>
      </c>
      <c r="T1816" t="s">
        <v>166</v>
      </c>
      <c r="U1816" t="str">
        <f t="shared" si="414"/>
        <v>Oxford Ave</v>
      </c>
      <c r="V1816" t="s">
        <v>1272</v>
      </c>
      <c r="W1816" t="str">
        <f t="shared" si="415"/>
        <v>Forest St</v>
      </c>
      <c r="X1816" t="str">
        <f>IF(ISBLANK(S1816),"Intersection","Non-Intersection")</f>
        <v>Intersection</v>
      </c>
      <c r="Y1816" t="s">
        <v>2834</v>
      </c>
      <c r="Z1816" t="str">
        <f t="shared" si="416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03"/>
        <v>40544</v>
      </c>
      <c r="D1817" s="4">
        <f t="shared" si="404"/>
        <v>0.12054794520547946</v>
      </c>
      <c r="E1817" s="3">
        <f t="shared" si="405"/>
        <v>2011</v>
      </c>
      <c r="F1817" s="3">
        <f t="shared" si="406"/>
        <v>2</v>
      </c>
      <c r="G1817" s="3">
        <f t="shared" si="407"/>
        <v>14</v>
      </c>
      <c r="H1817" s="3">
        <f t="shared" si="408"/>
        <v>13</v>
      </c>
      <c r="I1817" s="3">
        <f t="shared" si="409"/>
        <v>25</v>
      </c>
      <c r="J1817" s="3">
        <f t="shared" si="410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11"/>
        <v>YES</v>
      </c>
      <c r="Q1817" t="str">
        <f t="shared" si="412"/>
        <v>NO</v>
      </c>
      <c r="R1817" t="str">
        <f t="shared" si="413"/>
        <v>NO</v>
      </c>
      <c r="T1817" t="s">
        <v>167</v>
      </c>
      <c r="U1817" t="str">
        <f t="shared" si="414"/>
        <v>Wendell St</v>
      </c>
      <c r="V1817" t="s">
        <v>14</v>
      </c>
      <c r="W1817" t="str">
        <f t="shared" si="415"/>
        <v>Massachusetts Ave</v>
      </c>
      <c r="X1817" t="str">
        <f>IF(ISBLANK(S1817),"Intersection","Non-Intersection")</f>
        <v>Intersection</v>
      </c>
      <c r="Y1817" t="s">
        <v>2836</v>
      </c>
      <c r="Z1817" t="str">
        <f t="shared" si="416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03"/>
        <v>40544</v>
      </c>
      <c r="D1818" s="4">
        <f t="shared" si="404"/>
        <v>0.12054794520547946</v>
      </c>
      <c r="E1818" s="3">
        <f t="shared" si="405"/>
        <v>2011</v>
      </c>
      <c r="F1818" s="3">
        <f t="shared" si="406"/>
        <v>2</v>
      </c>
      <c r="G1818" s="3">
        <f t="shared" si="407"/>
        <v>14</v>
      </c>
      <c r="H1818" s="3">
        <f t="shared" si="408"/>
        <v>18</v>
      </c>
      <c r="I1818" s="3">
        <f t="shared" si="409"/>
        <v>30</v>
      </c>
      <c r="J1818" s="3">
        <f t="shared" si="410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11"/>
        <v>YES</v>
      </c>
      <c r="Q1818" t="str">
        <f t="shared" si="412"/>
        <v>YES</v>
      </c>
      <c r="R1818" t="str">
        <f t="shared" si="413"/>
        <v>NO</v>
      </c>
      <c r="T1818" t="s">
        <v>14</v>
      </c>
      <c r="U1818" t="str">
        <f t="shared" si="414"/>
        <v>Massachusetts Ave</v>
      </c>
      <c r="V1818" t="s">
        <v>189</v>
      </c>
      <c r="W1818" t="str">
        <f t="shared" si="415"/>
        <v>Windsor St</v>
      </c>
      <c r="X1818" t="str">
        <f>IF(ISBLANK(S1818),"Intersection","Non-Intersection")</f>
        <v>Intersection</v>
      </c>
      <c r="Y1818" t="s">
        <v>595</v>
      </c>
      <c r="Z1818" t="str">
        <f t="shared" si="416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03"/>
        <v>40544</v>
      </c>
      <c r="D1819" s="4">
        <f t="shared" si="404"/>
        <v>0.12328767123287671</v>
      </c>
      <c r="E1819" s="3">
        <f t="shared" si="405"/>
        <v>2011</v>
      </c>
      <c r="F1819" s="3">
        <f t="shared" si="406"/>
        <v>2</v>
      </c>
      <c r="G1819" s="3">
        <f t="shared" si="407"/>
        <v>15</v>
      </c>
      <c r="H1819" s="3">
        <f t="shared" si="408"/>
        <v>8</v>
      </c>
      <c r="I1819" s="3">
        <f t="shared" si="409"/>
        <v>10</v>
      </c>
      <c r="J1819" s="3">
        <f t="shared" si="410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11"/>
        <v>YES</v>
      </c>
      <c r="Q1819" t="str">
        <f t="shared" si="412"/>
        <v>NO</v>
      </c>
      <c r="R1819" t="str">
        <f t="shared" si="413"/>
        <v>NO</v>
      </c>
      <c r="S1819">
        <v>2</v>
      </c>
      <c r="T1819" t="s">
        <v>2437</v>
      </c>
      <c r="U1819" t="str">
        <f t="shared" si="414"/>
        <v>Gerrys Landing Rd</v>
      </c>
      <c r="W1819" t="str">
        <f t="shared" si="415"/>
        <v/>
      </c>
      <c r="X1819" t="str">
        <f>IF(ISBLANK(S1819),"Intersection","Non-Intersection")</f>
        <v>Non-Intersection</v>
      </c>
      <c r="Y1819" t="s">
        <v>2837</v>
      </c>
      <c r="Z1819" t="str">
        <f t="shared" si="416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03"/>
        <v>40544</v>
      </c>
      <c r="D1820" s="4">
        <f t="shared" si="404"/>
        <v>0.12328767123287671</v>
      </c>
      <c r="E1820" s="3">
        <f t="shared" si="405"/>
        <v>2011</v>
      </c>
      <c r="F1820" s="3">
        <f t="shared" si="406"/>
        <v>2</v>
      </c>
      <c r="G1820" s="3">
        <f t="shared" si="407"/>
        <v>15</v>
      </c>
      <c r="H1820" s="3">
        <f t="shared" si="408"/>
        <v>18</v>
      </c>
      <c r="I1820" s="3">
        <f t="shared" si="409"/>
        <v>30</v>
      </c>
      <c r="J1820" s="3">
        <f t="shared" si="410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11"/>
        <v>YES</v>
      </c>
      <c r="Q1820" t="str">
        <f t="shared" si="412"/>
        <v>NO</v>
      </c>
      <c r="R1820" t="str">
        <f t="shared" si="413"/>
        <v>YES</v>
      </c>
      <c r="T1820" t="s">
        <v>316</v>
      </c>
      <c r="U1820" t="str">
        <f t="shared" si="414"/>
        <v>Bishop Allen Dr</v>
      </c>
      <c r="V1820" t="s">
        <v>104</v>
      </c>
      <c r="W1820" t="str">
        <f t="shared" si="415"/>
        <v>Inman St</v>
      </c>
      <c r="X1820" t="str">
        <f>IF(ISBLANK(S1820),"Intersection","Non-Intersection")</f>
        <v>Intersection</v>
      </c>
      <c r="Y1820" t="s">
        <v>2839</v>
      </c>
      <c r="Z1820" t="str">
        <f t="shared" si="416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03"/>
        <v>40544</v>
      </c>
      <c r="D1821" s="4">
        <f t="shared" si="404"/>
        <v>0.12328767123287671</v>
      </c>
      <c r="E1821" s="3">
        <f t="shared" si="405"/>
        <v>2011</v>
      </c>
      <c r="F1821" s="3">
        <f t="shared" si="406"/>
        <v>2</v>
      </c>
      <c r="G1821" s="3">
        <f t="shared" si="407"/>
        <v>15</v>
      </c>
      <c r="H1821" s="3">
        <f t="shared" si="408"/>
        <v>23</v>
      </c>
      <c r="I1821" s="3">
        <f t="shared" si="409"/>
        <v>0</v>
      </c>
      <c r="J1821" s="3">
        <f t="shared" si="410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11"/>
        <v>YES</v>
      </c>
      <c r="Q1821" t="str">
        <f t="shared" si="412"/>
        <v>NO</v>
      </c>
      <c r="R1821" t="str">
        <f t="shared" si="413"/>
        <v>NO</v>
      </c>
      <c r="T1821" t="s">
        <v>185</v>
      </c>
      <c r="U1821" t="str">
        <f t="shared" si="414"/>
        <v>Garden St</v>
      </c>
      <c r="V1821" t="s">
        <v>296</v>
      </c>
      <c r="W1821" t="str">
        <f t="shared" si="415"/>
        <v>Mason St</v>
      </c>
      <c r="X1821" t="str">
        <f>IF(ISBLANK(S1821),"Intersection","Non-Intersection")</f>
        <v>Intersection</v>
      </c>
      <c r="Y1821" t="s">
        <v>594</v>
      </c>
      <c r="Z1821" t="str">
        <f t="shared" si="416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03"/>
        <v>40544</v>
      </c>
      <c r="D1822" s="4">
        <f t="shared" si="404"/>
        <v>0.12328767123287671</v>
      </c>
      <c r="E1822" s="3">
        <f t="shared" si="405"/>
        <v>2011</v>
      </c>
      <c r="F1822" s="3">
        <f t="shared" si="406"/>
        <v>2</v>
      </c>
      <c r="G1822" s="3">
        <f t="shared" si="407"/>
        <v>15</v>
      </c>
      <c r="H1822" s="3">
        <f t="shared" si="408"/>
        <v>18</v>
      </c>
      <c r="I1822" s="3">
        <f t="shared" si="409"/>
        <v>30</v>
      </c>
      <c r="J1822" s="3">
        <f t="shared" si="410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11"/>
        <v>YES</v>
      </c>
      <c r="Q1822" t="str">
        <f t="shared" si="412"/>
        <v>NO</v>
      </c>
      <c r="R1822" t="str">
        <f t="shared" si="413"/>
        <v>NO</v>
      </c>
      <c r="S1822">
        <v>25</v>
      </c>
      <c r="T1822" t="s">
        <v>1226</v>
      </c>
      <c r="U1822" t="str">
        <f t="shared" si="414"/>
        <v>Dana St</v>
      </c>
      <c r="W1822" t="str">
        <f t="shared" si="415"/>
        <v/>
      </c>
      <c r="X1822" t="str">
        <f>IF(ISBLANK(S1822),"Intersection","Non-Intersection")</f>
        <v>Non-Intersection</v>
      </c>
      <c r="Y1822" t="s">
        <v>2840</v>
      </c>
      <c r="Z1822" t="str">
        <f t="shared" si="416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03"/>
        <v>40544</v>
      </c>
      <c r="D1823" s="4">
        <f t="shared" si="404"/>
        <v>0.12602739726027398</v>
      </c>
      <c r="E1823" s="3">
        <f t="shared" si="405"/>
        <v>2011</v>
      </c>
      <c r="F1823" s="3">
        <f t="shared" si="406"/>
        <v>2</v>
      </c>
      <c r="G1823" s="3">
        <f t="shared" si="407"/>
        <v>16</v>
      </c>
      <c r="H1823" s="3">
        <f t="shared" si="408"/>
        <v>21</v>
      </c>
      <c r="I1823" s="3">
        <f t="shared" si="409"/>
        <v>40</v>
      </c>
      <c r="J1823" s="3">
        <f t="shared" si="410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11"/>
        <v>YES</v>
      </c>
      <c r="Q1823" t="str">
        <f t="shared" si="412"/>
        <v>NO</v>
      </c>
      <c r="R1823" t="str">
        <f t="shared" si="413"/>
        <v>NO</v>
      </c>
      <c r="S1823">
        <v>27</v>
      </c>
      <c r="T1823" t="s">
        <v>1016</v>
      </c>
      <c r="U1823" t="str">
        <f t="shared" si="414"/>
        <v>Maple Ave</v>
      </c>
      <c r="W1823" t="str">
        <f t="shared" si="415"/>
        <v/>
      </c>
      <c r="X1823" t="str">
        <f>IF(ISBLANK(S1823),"Intersection","Non-Intersection")</f>
        <v>Non-Intersection</v>
      </c>
      <c r="Y1823" t="s">
        <v>2842</v>
      </c>
      <c r="Z1823" t="str">
        <f t="shared" si="416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03"/>
        <v>40544</v>
      </c>
      <c r="D1824" s="4">
        <f t="shared" si="404"/>
        <v>0.12602739726027398</v>
      </c>
      <c r="E1824" s="3">
        <f t="shared" si="405"/>
        <v>2011</v>
      </c>
      <c r="F1824" s="3">
        <f t="shared" si="406"/>
        <v>2</v>
      </c>
      <c r="G1824" s="3">
        <f t="shared" si="407"/>
        <v>16</v>
      </c>
      <c r="H1824" s="3">
        <f t="shared" si="408"/>
        <v>12</v>
      </c>
      <c r="I1824" s="3">
        <f t="shared" si="409"/>
        <v>45</v>
      </c>
      <c r="J1824" s="3">
        <f t="shared" si="410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11"/>
        <v>YES</v>
      </c>
      <c r="Q1824" t="str">
        <f t="shared" si="412"/>
        <v>NO</v>
      </c>
      <c r="R1824" t="str">
        <f t="shared" si="413"/>
        <v>NO</v>
      </c>
      <c r="S1824">
        <v>110</v>
      </c>
      <c r="T1824" t="s">
        <v>19</v>
      </c>
      <c r="U1824" t="str">
        <f t="shared" si="414"/>
        <v>Cambridge St</v>
      </c>
      <c r="W1824" t="str">
        <f t="shared" si="415"/>
        <v/>
      </c>
      <c r="X1824" t="str">
        <f>IF(ISBLANK(S1824),"Intersection","Non-Intersection")</f>
        <v>Non-Intersection</v>
      </c>
      <c r="Y1824" t="s">
        <v>2844</v>
      </c>
      <c r="Z1824" t="str">
        <f t="shared" si="416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03"/>
        <v>40544</v>
      </c>
      <c r="D1825" s="4">
        <f t="shared" si="404"/>
        <v>0.12602739726027398</v>
      </c>
      <c r="E1825" s="3">
        <f t="shared" si="405"/>
        <v>2011</v>
      </c>
      <c r="F1825" s="3">
        <f t="shared" si="406"/>
        <v>2</v>
      </c>
      <c r="G1825" s="3">
        <f t="shared" si="407"/>
        <v>16</v>
      </c>
      <c r="H1825" s="3">
        <f t="shared" si="408"/>
        <v>14</v>
      </c>
      <c r="I1825" s="3">
        <f t="shared" si="409"/>
        <v>0</v>
      </c>
      <c r="J1825" s="3">
        <f t="shared" si="410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11"/>
        <v>YES</v>
      </c>
      <c r="Q1825" t="str">
        <f t="shared" si="412"/>
        <v>NO</v>
      </c>
      <c r="R1825" t="str">
        <f t="shared" si="413"/>
        <v>NO</v>
      </c>
      <c r="S1825">
        <v>130</v>
      </c>
      <c r="T1825" t="s">
        <v>2475</v>
      </c>
      <c r="U1825" t="str">
        <f t="shared" si="414"/>
        <v>Waverly St</v>
      </c>
      <c r="W1825" t="str">
        <f t="shared" si="415"/>
        <v/>
      </c>
      <c r="X1825" t="str">
        <f>IF(ISBLANK(S1825),"Intersection","Non-Intersection")</f>
        <v>Non-Intersection</v>
      </c>
      <c r="Y1825" t="s">
        <v>2846</v>
      </c>
      <c r="Z1825" t="str">
        <f t="shared" si="416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03"/>
        <v>40544</v>
      </c>
      <c r="D1826" s="4">
        <f t="shared" si="404"/>
        <v>0.12876712328767123</v>
      </c>
      <c r="E1826" s="3">
        <f t="shared" si="405"/>
        <v>2011</v>
      </c>
      <c r="F1826" s="3">
        <f t="shared" si="406"/>
        <v>2</v>
      </c>
      <c r="G1826" s="3">
        <f t="shared" si="407"/>
        <v>17</v>
      </c>
      <c r="H1826" s="3">
        <f t="shared" si="408"/>
        <v>11</v>
      </c>
      <c r="I1826" s="3">
        <f t="shared" si="409"/>
        <v>10</v>
      </c>
      <c r="J1826" s="3">
        <f t="shared" si="410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11"/>
        <v>YES</v>
      </c>
      <c r="Q1826" t="str">
        <f t="shared" si="412"/>
        <v>NO</v>
      </c>
      <c r="R1826" t="str">
        <f t="shared" si="413"/>
        <v>NO</v>
      </c>
      <c r="T1826" t="s">
        <v>601</v>
      </c>
      <c r="U1826" t="str">
        <f t="shared" si="414"/>
        <v>Cedar St</v>
      </c>
      <c r="V1826" t="s">
        <v>2848</v>
      </c>
      <c r="W1826" t="str">
        <f t="shared" si="415"/>
        <v>Norris St</v>
      </c>
      <c r="X1826" t="str">
        <f>IF(ISBLANK(S1826),"Intersection","Non-Intersection")</f>
        <v>Intersection</v>
      </c>
      <c r="Y1826" t="s">
        <v>2849</v>
      </c>
      <c r="Z1826" t="str">
        <f t="shared" si="416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03"/>
        <v>40544</v>
      </c>
      <c r="D1827" s="4">
        <f t="shared" si="404"/>
        <v>0.12876712328767123</v>
      </c>
      <c r="E1827" s="3">
        <f t="shared" si="405"/>
        <v>2011</v>
      </c>
      <c r="F1827" s="3">
        <f t="shared" si="406"/>
        <v>2</v>
      </c>
      <c r="G1827" s="3">
        <f t="shared" si="407"/>
        <v>17</v>
      </c>
      <c r="H1827" s="3">
        <f t="shared" si="408"/>
        <v>11</v>
      </c>
      <c r="I1827" s="3">
        <f t="shared" si="409"/>
        <v>48</v>
      </c>
      <c r="J1827" s="3">
        <f t="shared" si="410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11"/>
        <v>YES</v>
      </c>
      <c r="Q1827" t="str">
        <f t="shared" si="412"/>
        <v>NO</v>
      </c>
      <c r="R1827" t="str">
        <f t="shared" si="413"/>
        <v>NO</v>
      </c>
      <c r="S1827">
        <v>179</v>
      </c>
      <c r="T1827" t="s">
        <v>27</v>
      </c>
      <c r="U1827" t="str">
        <f t="shared" si="414"/>
        <v>Western Ave</v>
      </c>
      <c r="W1827" t="str">
        <f t="shared" si="415"/>
        <v/>
      </c>
      <c r="X1827" t="str">
        <f>IF(ISBLANK(S1827),"Intersection","Non-Intersection")</f>
        <v>Non-Intersection</v>
      </c>
      <c r="Y1827" t="s">
        <v>2851</v>
      </c>
      <c r="Z1827" t="str">
        <f t="shared" si="416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03"/>
        <v>40544</v>
      </c>
      <c r="D1828" s="4">
        <f t="shared" si="404"/>
        <v>0.12876712328767123</v>
      </c>
      <c r="E1828" s="3">
        <f t="shared" si="405"/>
        <v>2011</v>
      </c>
      <c r="F1828" s="3">
        <f t="shared" si="406"/>
        <v>2</v>
      </c>
      <c r="G1828" s="3">
        <f t="shared" si="407"/>
        <v>17</v>
      </c>
      <c r="H1828" s="3">
        <f t="shared" si="408"/>
        <v>18</v>
      </c>
      <c r="I1828" s="3">
        <f t="shared" si="409"/>
        <v>31</v>
      </c>
      <c r="J1828" s="3">
        <f t="shared" si="410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11"/>
        <v>YES</v>
      </c>
      <c r="Q1828" t="str">
        <f t="shared" si="412"/>
        <v>NO</v>
      </c>
      <c r="R1828" t="str">
        <f t="shared" si="413"/>
        <v>NO</v>
      </c>
      <c r="T1828" t="s">
        <v>14</v>
      </c>
      <c r="U1828" t="str">
        <f t="shared" si="414"/>
        <v>Massachusetts Ave</v>
      </c>
      <c r="V1828" t="s">
        <v>185</v>
      </c>
      <c r="W1828" t="str">
        <f t="shared" si="415"/>
        <v>Garden St</v>
      </c>
      <c r="X1828" t="str">
        <f>IF(ISBLANK(S1828),"Intersection","Non-Intersection")</f>
        <v>Intersection</v>
      </c>
      <c r="Y1828" t="s">
        <v>1247</v>
      </c>
      <c r="Z1828" t="str">
        <f t="shared" si="416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03"/>
        <v>40544</v>
      </c>
      <c r="D1829" s="4">
        <f t="shared" si="404"/>
        <v>0.12876712328767123</v>
      </c>
      <c r="E1829" s="3">
        <f t="shared" si="405"/>
        <v>2011</v>
      </c>
      <c r="F1829" s="3">
        <f t="shared" si="406"/>
        <v>2</v>
      </c>
      <c r="G1829" s="3">
        <f t="shared" si="407"/>
        <v>17</v>
      </c>
      <c r="H1829" s="3">
        <f t="shared" si="408"/>
        <v>18</v>
      </c>
      <c r="I1829" s="3">
        <f t="shared" si="409"/>
        <v>36</v>
      </c>
      <c r="J1829" s="3">
        <f t="shared" si="410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11"/>
        <v>YES</v>
      </c>
      <c r="Q1829" t="str">
        <f t="shared" si="412"/>
        <v>NO</v>
      </c>
      <c r="R1829" t="str">
        <f t="shared" si="413"/>
        <v>NO</v>
      </c>
      <c r="S1829">
        <v>266</v>
      </c>
      <c r="T1829" t="s">
        <v>14</v>
      </c>
      <c r="U1829" t="str">
        <f t="shared" si="414"/>
        <v>Massachusetts Ave</v>
      </c>
      <c r="W1829" t="str">
        <f t="shared" si="415"/>
        <v/>
      </c>
      <c r="X1829" t="str">
        <f>IF(ISBLANK(S1829),"Intersection","Non-Intersection")</f>
        <v>Non-Intersection</v>
      </c>
      <c r="Y1829" t="s">
        <v>2853</v>
      </c>
      <c r="Z1829" t="str">
        <f t="shared" si="416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03"/>
        <v>40544</v>
      </c>
      <c r="D1830" s="4">
        <f t="shared" si="404"/>
        <v>0.12876712328767123</v>
      </c>
      <c r="E1830" s="3">
        <f t="shared" si="405"/>
        <v>2011</v>
      </c>
      <c r="F1830" s="3">
        <f t="shared" si="406"/>
        <v>2</v>
      </c>
      <c r="G1830" s="3">
        <f t="shared" si="407"/>
        <v>17</v>
      </c>
      <c r="H1830" s="3">
        <f t="shared" si="408"/>
        <v>15</v>
      </c>
      <c r="I1830" s="3">
        <f t="shared" si="409"/>
        <v>50</v>
      </c>
      <c r="J1830" s="3">
        <f t="shared" si="410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11"/>
        <v>YES</v>
      </c>
      <c r="Q1830" t="str">
        <f t="shared" si="412"/>
        <v>NO</v>
      </c>
      <c r="R1830" t="str">
        <f t="shared" si="413"/>
        <v>NO</v>
      </c>
      <c r="T1830" t="s">
        <v>185</v>
      </c>
      <c r="U1830" t="str">
        <f t="shared" si="414"/>
        <v>Garden St</v>
      </c>
      <c r="V1830" t="s">
        <v>449</v>
      </c>
      <c r="W1830" t="str">
        <f t="shared" si="415"/>
        <v>Appian Way</v>
      </c>
      <c r="X1830" t="str">
        <f>IF(ISBLANK(S1830),"Intersection","Non-Intersection")</f>
        <v>Intersection</v>
      </c>
      <c r="Y1830" t="s">
        <v>729</v>
      </c>
      <c r="Z1830" t="str">
        <f t="shared" si="416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17">EOMONTH(B1831,MONTH(B1831)*-1)+1</f>
        <v>40544</v>
      </c>
      <c r="D1831" s="4">
        <f t="shared" ref="D1831:D1889" si="418">YEARFRAC(C1831,B1831,1)</f>
        <v>0.13150684931506848</v>
      </c>
      <c r="E1831" s="3">
        <f t="shared" ref="E1831:E1889" si="419">YEAR(B1831)</f>
        <v>2011</v>
      </c>
      <c r="F1831" s="3">
        <f t="shared" ref="F1831:F1889" si="420">MONTH(B1831)</f>
        <v>2</v>
      </c>
      <c r="G1831" s="3">
        <f t="shared" ref="G1831:G1889" si="421">DAY(B1831)</f>
        <v>18</v>
      </c>
      <c r="H1831" s="3">
        <f t="shared" ref="H1831:H1889" si="422">HOUR(B1831)</f>
        <v>8</v>
      </c>
      <c r="I1831" s="3">
        <f t="shared" ref="I1831:I1889" si="423">MINUTE(B1831)</f>
        <v>22</v>
      </c>
      <c r="J1831" s="3">
        <f t="shared" ref="J1831:J1889" si="424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25">IF(OR(N1831="Auto",O1831="Auto"),"YES",IF(OR(N1831="Taxi",O1831="Taxi"),"YES",IF(OR(N1831="Van",O1831="Van"),"YES",IF(OR(N1831="Truck",O1831="Truck"),"YES","NO"))))</f>
        <v>YES</v>
      </c>
      <c r="Q1831" t="str">
        <f t="shared" ref="Q1831:Q1889" si="426">IF(OR(N1831="Bicycle",O1831="Bicycle"),"YES","NO")</f>
        <v>NO</v>
      </c>
      <c r="R1831" t="str">
        <f t="shared" ref="R1831:R1889" si="427">IF(OR(N1831="Pedestrian",O1831="Pedestrian"),"YES","NO")</f>
        <v>NO</v>
      </c>
      <c r="T1831" t="s">
        <v>134</v>
      </c>
      <c r="U1831" t="str">
        <f t="shared" si="414"/>
        <v>Quincy St</v>
      </c>
      <c r="V1831" t="s">
        <v>19</v>
      </c>
      <c r="W1831" t="str">
        <f t="shared" si="415"/>
        <v>Cambridge St</v>
      </c>
      <c r="X1831" t="str">
        <f>IF(ISBLANK(S1831),"Intersection","Non-Intersection")</f>
        <v>Intersection</v>
      </c>
      <c r="Y1831" t="s">
        <v>426</v>
      </c>
      <c r="Z1831" t="str">
        <f t="shared" si="416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17"/>
        <v>40544</v>
      </c>
      <c r="D1832" s="4">
        <f t="shared" si="418"/>
        <v>0.13150684931506848</v>
      </c>
      <c r="E1832" s="3">
        <f t="shared" si="419"/>
        <v>2011</v>
      </c>
      <c r="F1832" s="3">
        <f t="shared" si="420"/>
        <v>2</v>
      </c>
      <c r="G1832" s="3">
        <f t="shared" si="421"/>
        <v>18</v>
      </c>
      <c r="H1832" s="3">
        <f t="shared" si="422"/>
        <v>14</v>
      </c>
      <c r="I1832" s="3">
        <f t="shared" si="423"/>
        <v>39</v>
      </c>
      <c r="J1832" s="3">
        <f t="shared" si="424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25"/>
        <v>YES</v>
      </c>
      <c r="Q1832" t="str">
        <f t="shared" si="426"/>
        <v>NO</v>
      </c>
      <c r="R1832" t="str">
        <f t="shared" si="427"/>
        <v>NO</v>
      </c>
      <c r="S1832">
        <v>100</v>
      </c>
      <c r="T1832" t="s">
        <v>1062</v>
      </c>
      <c r="U1832" t="str">
        <f t="shared" si="414"/>
        <v>Cambridgeside Pl</v>
      </c>
      <c r="W1832" t="str">
        <f t="shared" si="415"/>
        <v/>
      </c>
      <c r="X1832" t="str">
        <f>IF(ISBLANK(S1832),"Intersection","Non-Intersection")</f>
        <v>Non-Intersection</v>
      </c>
      <c r="Y1832" t="s">
        <v>1143</v>
      </c>
      <c r="Z1832" t="str">
        <f t="shared" si="416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17"/>
        <v>40544</v>
      </c>
      <c r="D1833" s="4">
        <f t="shared" si="418"/>
        <v>0.13150684931506848</v>
      </c>
      <c r="E1833" s="3">
        <f t="shared" si="419"/>
        <v>2011</v>
      </c>
      <c r="F1833" s="3">
        <f t="shared" si="420"/>
        <v>2</v>
      </c>
      <c r="G1833" s="3">
        <f t="shared" si="421"/>
        <v>18</v>
      </c>
      <c r="H1833" s="3">
        <f t="shared" si="422"/>
        <v>20</v>
      </c>
      <c r="I1833" s="3">
        <f t="shared" si="423"/>
        <v>4</v>
      </c>
      <c r="J1833" s="3">
        <f t="shared" si="424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25"/>
        <v>YES</v>
      </c>
      <c r="Q1833" t="str">
        <f t="shared" si="426"/>
        <v>NO</v>
      </c>
      <c r="R1833" t="str">
        <f t="shared" si="427"/>
        <v>YES</v>
      </c>
      <c r="T1833" t="s">
        <v>260</v>
      </c>
      <c r="U1833" t="str">
        <f t="shared" si="414"/>
        <v>Third St</v>
      </c>
      <c r="V1833" t="s">
        <v>105</v>
      </c>
      <c r="W1833" t="str">
        <f t="shared" si="415"/>
        <v>Broadway</v>
      </c>
      <c r="X1833" t="str">
        <f>IF(ISBLANK(S1833),"Intersection","Non-Intersection")</f>
        <v>Intersection</v>
      </c>
      <c r="Y1833" t="s">
        <v>2855</v>
      </c>
      <c r="Z1833" t="str">
        <f t="shared" si="416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17"/>
        <v>40544</v>
      </c>
      <c r="D1834" s="4">
        <f t="shared" si="418"/>
        <v>0.13150684931506848</v>
      </c>
      <c r="E1834" s="3">
        <f t="shared" si="419"/>
        <v>2011</v>
      </c>
      <c r="F1834" s="3">
        <f t="shared" si="420"/>
        <v>2</v>
      </c>
      <c r="G1834" s="3">
        <f t="shared" si="421"/>
        <v>18</v>
      </c>
      <c r="H1834" s="3">
        <f t="shared" si="422"/>
        <v>17</v>
      </c>
      <c r="I1834" s="3">
        <f t="shared" si="423"/>
        <v>0</v>
      </c>
      <c r="J1834" s="3">
        <f t="shared" si="424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25"/>
        <v>YES</v>
      </c>
      <c r="Q1834" t="str">
        <f t="shared" si="426"/>
        <v>NO</v>
      </c>
      <c r="R1834" t="str">
        <f t="shared" si="427"/>
        <v>NO</v>
      </c>
      <c r="S1834">
        <v>303</v>
      </c>
      <c r="T1834" t="s">
        <v>260</v>
      </c>
      <c r="U1834" t="str">
        <f t="shared" si="414"/>
        <v>Third St</v>
      </c>
      <c r="W1834" t="str">
        <f t="shared" si="415"/>
        <v/>
      </c>
      <c r="X1834" t="str">
        <f>IF(ISBLANK(S1834),"Intersection","Non-Intersection")</f>
        <v>Non-Intersection</v>
      </c>
      <c r="Y1834" t="s">
        <v>2856</v>
      </c>
      <c r="Z1834" t="str">
        <f t="shared" si="416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17"/>
        <v>40544</v>
      </c>
      <c r="D1835" s="4">
        <f t="shared" si="418"/>
        <v>0.13424657534246576</v>
      </c>
      <c r="E1835" s="3">
        <f t="shared" si="419"/>
        <v>2011</v>
      </c>
      <c r="F1835" s="3">
        <f t="shared" si="420"/>
        <v>2</v>
      </c>
      <c r="G1835" s="3">
        <f t="shared" si="421"/>
        <v>19</v>
      </c>
      <c r="H1835" s="3">
        <f t="shared" si="422"/>
        <v>16</v>
      </c>
      <c r="I1835" s="3">
        <f t="shared" si="423"/>
        <v>25</v>
      </c>
      <c r="J1835" s="3">
        <f t="shared" si="424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25"/>
        <v>YES</v>
      </c>
      <c r="Q1835" t="str">
        <f t="shared" si="426"/>
        <v>NO</v>
      </c>
      <c r="R1835" t="str">
        <f t="shared" si="427"/>
        <v>NO</v>
      </c>
      <c r="S1835">
        <v>200</v>
      </c>
      <c r="T1835" t="s">
        <v>101</v>
      </c>
      <c r="U1835" t="str">
        <f t="shared" si="414"/>
        <v>Columbia St</v>
      </c>
      <c r="V1835" t="s">
        <v>105</v>
      </c>
      <c r="W1835" t="str">
        <f t="shared" si="415"/>
        <v>Broadway</v>
      </c>
      <c r="X1835" t="str">
        <f>IF(ISBLANK(S1835),"Intersection","Non-Intersection")</f>
        <v>Non-Intersection</v>
      </c>
      <c r="Y1835" t="s">
        <v>2859</v>
      </c>
      <c r="Z1835" t="str">
        <f t="shared" si="416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17"/>
        <v>40544</v>
      </c>
      <c r="D1836" s="4">
        <f t="shared" si="418"/>
        <v>0.13424657534246576</v>
      </c>
      <c r="E1836" s="3">
        <f t="shared" si="419"/>
        <v>2011</v>
      </c>
      <c r="F1836" s="3">
        <f t="shared" si="420"/>
        <v>2</v>
      </c>
      <c r="G1836" s="3">
        <f t="shared" si="421"/>
        <v>19</v>
      </c>
      <c r="H1836" s="3">
        <f t="shared" si="422"/>
        <v>17</v>
      </c>
      <c r="I1836" s="3">
        <f t="shared" si="423"/>
        <v>9</v>
      </c>
      <c r="J1836" s="3">
        <f t="shared" si="424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25"/>
        <v>YES</v>
      </c>
      <c r="Q1836" t="str">
        <f t="shared" si="426"/>
        <v>NO</v>
      </c>
      <c r="R1836" t="str">
        <f t="shared" si="427"/>
        <v>NO</v>
      </c>
      <c r="T1836" t="s">
        <v>19</v>
      </c>
      <c r="U1836" t="str">
        <f t="shared" si="414"/>
        <v>Cambridge St</v>
      </c>
      <c r="V1836" t="s">
        <v>14</v>
      </c>
      <c r="W1836" t="str">
        <f t="shared" si="415"/>
        <v>Massachusetts Ave</v>
      </c>
      <c r="X1836" t="str">
        <f>IF(ISBLANK(S1836),"Intersection","Non-Intersection")</f>
        <v>Intersection</v>
      </c>
      <c r="Y1836" t="s">
        <v>945</v>
      </c>
      <c r="Z1836" t="str">
        <f t="shared" si="416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17"/>
        <v>40544</v>
      </c>
      <c r="D1837" s="4">
        <f t="shared" si="418"/>
        <v>0.13698630136986301</v>
      </c>
      <c r="E1837" s="3">
        <f t="shared" si="419"/>
        <v>2011</v>
      </c>
      <c r="F1837" s="3">
        <f t="shared" si="420"/>
        <v>2</v>
      </c>
      <c r="G1837" s="3">
        <f t="shared" si="421"/>
        <v>20</v>
      </c>
      <c r="H1837" s="3">
        <f t="shared" si="422"/>
        <v>0</v>
      </c>
      <c r="I1837" s="3">
        <f t="shared" si="423"/>
        <v>40</v>
      </c>
      <c r="J1837" s="3">
        <f t="shared" si="424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25"/>
        <v>YES</v>
      </c>
      <c r="Q1837" t="str">
        <f t="shared" si="426"/>
        <v>NO</v>
      </c>
      <c r="R1837" t="str">
        <f t="shared" si="427"/>
        <v>NO</v>
      </c>
      <c r="T1837" t="s">
        <v>14</v>
      </c>
      <c r="U1837" t="str">
        <f t="shared" si="414"/>
        <v>Massachusetts Ave</v>
      </c>
      <c r="V1837" t="s">
        <v>249</v>
      </c>
      <c r="W1837" t="str">
        <f t="shared" si="415"/>
        <v>Landsdowne St</v>
      </c>
      <c r="X1837" t="str">
        <f>IF(ISBLANK(S1837),"Intersection","Non-Intersection")</f>
        <v>Intersection</v>
      </c>
      <c r="Y1837" t="s">
        <v>250</v>
      </c>
      <c r="Z1837" t="str">
        <f t="shared" si="416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17"/>
        <v>40544</v>
      </c>
      <c r="D1838" s="4">
        <f t="shared" si="418"/>
        <v>0.13698630136986301</v>
      </c>
      <c r="E1838" s="3">
        <f t="shared" si="419"/>
        <v>2011</v>
      </c>
      <c r="F1838" s="3">
        <f t="shared" si="420"/>
        <v>2</v>
      </c>
      <c r="G1838" s="3">
        <f t="shared" si="421"/>
        <v>20</v>
      </c>
      <c r="H1838" s="3">
        <f t="shared" si="422"/>
        <v>7</v>
      </c>
      <c r="I1838" s="3">
        <f t="shared" si="423"/>
        <v>50</v>
      </c>
      <c r="J1838" s="3">
        <f t="shared" si="424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25"/>
        <v>YES</v>
      </c>
      <c r="Q1838" t="str">
        <f t="shared" si="426"/>
        <v>NO</v>
      </c>
      <c r="R1838" t="str">
        <f t="shared" si="427"/>
        <v>NO</v>
      </c>
      <c r="T1838" t="s">
        <v>199</v>
      </c>
      <c r="U1838" t="str">
        <f t="shared" si="414"/>
        <v>Brattle St</v>
      </c>
      <c r="V1838" t="s">
        <v>325</v>
      </c>
      <c r="W1838" t="str">
        <f t="shared" si="415"/>
        <v>Eliot St</v>
      </c>
      <c r="X1838" t="str">
        <f>IF(ISBLANK(S1838),"Intersection","Non-Intersection")</f>
        <v>Intersection</v>
      </c>
      <c r="Y1838" t="s">
        <v>1695</v>
      </c>
      <c r="Z1838" t="str">
        <f t="shared" si="416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17"/>
        <v>40544</v>
      </c>
      <c r="D1839" s="4">
        <f t="shared" si="418"/>
        <v>0.13698630136986301</v>
      </c>
      <c r="E1839" s="3">
        <f t="shared" si="419"/>
        <v>2011</v>
      </c>
      <c r="F1839" s="3">
        <f t="shared" si="420"/>
        <v>2</v>
      </c>
      <c r="G1839" s="3">
        <f t="shared" si="421"/>
        <v>20</v>
      </c>
      <c r="H1839" s="3">
        <f t="shared" si="422"/>
        <v>18</v>
      </c>
      <c r="I1839" s="3">
        <f t="shared" si="423"/>
        <v>40</v>
      </c>
      <c r="J1839" s="3">
        <f t="shared" si="424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25"/>
        <v>YES</v>
      </c>
      <c r="Q1839" t="str">
        <f t="shared" si="426"/>
        <v>NO</v>
      </c>
      <c r="R1839" t="str">
        <f t="shared" si="427"/>
        <v>NO</v>
      </c>
      <c r="T1839" t="s">
        <v>342</v>
      </c>
      <c r="U1839" t="str">
        <f t="shared" si="414"/>
        <v>Prospect St</v>
      </c>
      <c r="V1839" t="s">
        <v>133</v>
      </c>
      <c r="W1839" t="str">
        <f t="shared" si="415"/>
        <v>Harvard St</v>
      </c>
      <c r="X1839" t="str">
        <f>IF(ISBLANK(S1839),"Intersection","Non-Intersection")</f>
        <v>Intersection</v>
      </c>
      <c r="Y1839" t="s">
        <v>884</v>
      </c>
      <c r="Z1839" t="str">
        <f t="shared" si="416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17"/>
        <v>40544</v>
      </c>
      <c r="D1840" s="4">
        <f t="shared" si="418"/>
        <v>0.13972602739726028</v>
      </c>
      <c r="E1840" s="3">
        <f t="shared" si="419"/>
        <v>2011</v>
      </c>
      <c r="F1840" s="3">
        <f t="shared" si="420"/>
        <v>2</v>
      </c>
      <c r="G1840" s="3">
        <f t="shared" si="421"/>
        <v>21</v>
      </c>
      <c r="H1840" s="3">
        <f t="shared" si="422"/>
        <v>0</v>
      </c>
      <c r="I1840" s="3">
        <f t="shared" si="423"/>
        <v>59</v>
      </c>
      <c r="J1840" s="3">
        <f t="shared" si="424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25"/>
        <v>YES</v>
      </c>
      <c r="Q1840" t="str">
        <f t="shared" si="426"/>
        <v>NO</v>
      </c>
      <c r="R1840" t="str">
        <f t="shared" si="427"/>
        <v>NO</v>
      </c>
      <c r="T1840" t="s">
        <v>14</v>
      </c>
      <c r="U1840" t="str">
        <f t="shared" si="414"/>
        <v>Massachusetts Ave</v>
      </c>
      <c r="V1840" t="s">
        <v>1124</v>
      </c>
      <c r="W1840" t="str">
        <f t="shared" si="415"/>
        <v>Magoun St</v>
      </c>
      <c r="X1840" t="str">
        <f>IF(ISBLANK(S1840),"Intersection","Non-Intersection")</f>
        <v>Intersection</v>
      </c>
      <c r="Y1840" t="s">
        <v>1125</v>
      </c>
      <c r="Z1840" t="str">
        <f t="shared" si="416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17"/>
        <v>40544</v>
      </c>
      <c r="D1841" s="4">
        <f t="shared" si="418"/>
        <v>0.13972602739726028</v>
      </c>
      <c r="E1841" s="3">
        <f t="shared" si="419"/>
        <v>2011</v>
      </c>
      <c r="F1841" s="3">
        <f t="shared" si="420"/>
        <v>2</v>
      </c>
      <c r="G1841" s="3">
        <f t="shared" si="421"/>
        <v>21</v>
      </c>
      <c r="H1841" s="3">
        <f t="shared" si="422"/>
        <v>3</v>
      </c>
      <c r="I1841" s="3">
        <f t="shared" si="423"/>
        <v>0</v>
      </c>
      <c r="J1841" s="3">
        <f t="shared" si="424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25"/>
        <v>YES</v>
      </c>
      <c r="Q1841" t="str">
        <f t="shared" si="426"/>
        <v>NO</v>
      </c>
      <c r="R1841" t="str">
        <f t="shared" si="427"/>
        <v>NO</v>
      </c>
      <c r="S1841">
        <v>1238</v>
      </c>
      <c r="T1841" t="s">
        <v>14</v>
      </c>
      <c r="U1841" t="str">
        <f t="shared" si="414"/>
        <v>Massachusetts Ave</v>
      </c>
      <c r="W1841" t="str">
        <f t="shared" si="415"/>
        <v/>
      </c>
      <c r="X1841" t="str">
        <f>IF(ISBLANK(S1841),"Intersection","Non-Intersection")</f>
        <v>Non-Intersection</v>
      </c>
      <c r="Y1841" t="s">
        <v>2861</v>
      </c>
      <c r="Z1841" t="str">
        <f t="shared" si="416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17"/>
        <v>40544</v>
      </c>
      <c r="D1842" s="4">
        <f t="shared" si="418"/>
        <v>0.13972602739726028</v>
      </c>
      <c r="E1842" s="3">
        <f t="shared" si="419"/>
        <v>2011</v>
      </c>
      <c r="F1842" s="3">
        <f t="shared" si="420"/>
        <v>2</v>
      </c>
      <c r="G1842" s="3">
        <f t="shared" si="421"/>
        <v>21</v>
      </c>
      <c r="H1842" s="3">
        <f t="shared" si="422"/>
        <v>7</v>
      </c>
      <c r="I1842" s="3">
        <f t="shared" si="423"/>
        <v>5</v>
      </c>
      <c r="J1842" s="3">
        <f t="shared" si="424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25"/>
        <v>YES</v>
      </c>
      <c r="Q1842" t="str">
        <f t="shared" si="426"/>
        <v>NO</v>
      </c>
      <c r="R1842" t="str">
        <f t="shared" si="427"/>
        <v>NO</v>
      </c>
      <c r="S1842">
        <v>26</v>
      </c>
      <c r="T1842" t="s">
        <v>2863</v>
      </c>
      <c r="U1842" t="str">
        <f t="shared" si="414"/>
        <v>Granville Rd</v>
      </c>
      <c r="W1842" t="str">
        <f t="shared" si="415"/>
        <v/>
      </c>
      <c r="X1842" t="str">
        <f>IF(ISBLANK(S1842),"Intersection","Non-Intersection")</f>
        <v>Non-Intersection</v>
      </c>
      <c r="Y1842" t="s">
        <v>2864</v>
      </c>
      <c r="Z1842" t="str">
        <f t="shared" si="416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17"/>
        <v>40544</v>
      </c>
      <c r="D1843" s="4">
        <f t="shared" si="418"/>
        <v>0.13972602739726028</v>
      </c>
      <c r="E1843" s="3">
        <f t="shared" si="419"/>
        <v>2011</v>
      </c>
      <c r="F1843" s="3">
        <f t="shared" si="420"/>
        <v>2</v>
      </c>
      <c r="G1843" s="3">
        <f t="shared" si="421"/>
        <v>21</v>
      </c>
      <c r="H1843" s="3">
        <f t="shared" si="422"/>
        <v>7</v>
      </c>
      <c r="I1843" s="3">
        <f t="shared" si="423"/>
        <v>30</v>
      </c>
      <c r="J1843" s="3">
        <f t="shared" si="424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25"/>
        <v>YES</v>
      </c>
      <c r="Q1843" t="str">
        <f t="shared" si="426"/>
        <v>NO</v>
      </c>
      <c r="R1843" t="str">
        <f t="shared" si="427"/>
        <v>NO</v>
      </c>
      <c r="S1843">
        <v>751</v>
      </c>
      <c r="T1843" t="s">
        <v>14</v>
      </c>
      <c r="U1843" t="str">
        <f t="shared" si="414"/>
        <v>Massachusetts Ave</v>
      </c>
      <c r="W1843" t="str">
        <f t="shared" si="415"/>
        <v/>
      </c>
      <c r="X1843" t="str">
        <f>IF(ISBLANK(S1843),"Intersection","Non-Intersection")</f>
        <v>Non-Intersection</v>
      </c>
      <c r="Y1843" t="s">
        <v>2866</v>
      </c>
      <c r="Z1843" t="str">
        <f t="shared" si="416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17"/>
        <v>40544</v>
      </c>
      <c r="D1844" s="4">
        <f t="shared" si="418"/>
        <v>0.13972602739726028</v>
      </c>
      <c r="E1844" s="3">
        <f t="shared" si="419"/>
        <v>2011</v>
      </c>
      <c r="F1844" s="3">
        <f t="shared" si="420"/>
        <v>2</v>
      </c>
      <c r="G1844" s="3">
        <f t="shared" si="421"/>
        <v>21</v>
      </c>
      <c r="H1844" s="3">
        <f t="shared" si="422"/>
        <v>9</v>
      </c>
      <c r="I1844" s="3">
        <f t="shared" si="423"/>
        <v>49</v>
      </c>
      <c r="J1844" s="3">
        <f t="shared" si="424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25"/>
        <v>YES</v>
      </c>
      <c r="Q1844" t="str">
        <f t="shared" si="426"/>
        <v>NO</v>
      </c>
      <c r="R1844" t="str">
        <f t="shared" si="427"/>
        <v>NO</v>
      </c>
      <c r="T1844" t="s">
        <v>1174</v>
      </c>
      <c r="U1844" t="str">
        <f t="shared" si="414"/>
        <v>Roberts Rd</v>
      </c>
      <c r="V1844" t="s">
        <v>2868</v>
      </c>
      <c r="W1844" t="str">
        <f t="shared" si="415"/>
        <v>Adams Ter</v>
      </c>
      <c r="X1844" t="str">
        <f>IF(ISBLANK(S1844),"Intersection","Non-Intersection")</f>
        <v>Intersection</v>
      </c>
      <c r="Y1844" t="s">
        <v>2869</v>
      </c>
      <c r="Z1844" t="str">
        <f t="shared" si="416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17"/>
        <v>40544</v>
      </c>
      <c r="D1845" s="4">
        <f t="shared" si="418"/>
        <v>0.13972602739726028</v>
      </c>
      <c r="E1845" s="3">
        <f t="shared" si="419"/>
        <v>2011</v>
      </c>
      <c r="F1845" s="3">
        <f t="shared" si="420"/>
        <v>2</v>
      </c>
      <c r="G1845" s="3">
        <f t="shared" si="421"/>
        <v>21</v>
      </c>
      <c r="H1845" s="3">
        <f t="shared" si="422"/>
        <v>14</v>
      </c>
      <c r="I1845" s="3">
        <f t="shared" si="423"/>
        <v>10</v>
      </c>
      <c r="J1845" s="3">
        <f t="shared" si="424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25"/>
        <v>YES</v>
      </c>
      <c r="Q1845" t="str">
        <f t="shared" si="426"/>
        <v>NO</v>
      </c>
      <c r="R1845" t="str">
        <f t="shared" si="427"/>
        <v>NO</v>
      </c>
      <c r="T1845" t="s">
        <v>14</v>
      </c>
      <c r="U1845" t="str">
        <f t="shared" si="414"/>
        <v>Massachusetts Ave</v>
      </c>
      <c r="V1845" t="s">
        <v>249</v>
      </c>
      <c r="W1845" t="str">
        <f t="shared" si="415"/>
        <v>Landsdowne St</v>
      </c>
      <c r="X1845" t="str">
        <f>IF(ISBLANK(S1845),"Intersection","Non-Intersection")</f>
        <v>Intersection</v>
      </c>
      <c r="Y1845" t="s">
        <v>250</v>
      </c>
      <c r="Z1845" t="str">
        <f t="shared" si="416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17"/>
        <v>40544</v>
      </c>
      <c r="D1846" s="4">
        <f t="shared" si="418"/>
        <v>0.13972602739726028</v>
      </c>
      <c r="E1846" s="3">
        <f t="shared" si="419"/>
        <v>2011</v>
      </c>
      <c r="F1846" s="3">
        <f t="shared" si="420"/>
        <v>2</v>
      </c>
      <c r="G1846" s="3">
        <f t="shared" si="421"/>
        <v>21</v>
      </c>
      <c r="H1846" s="3">
        <f t="shared" si="422"/>
        <v>19</v>
      </c>
      <c r="I1846" s="3">
        <f t="shared" si="423"/>
        <v>25</v>
      </c>
      <c r="J1846" s="3">
        <f t="shared" si="424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25"/>
        <v>YES</v>
      </c>
      <c r="Q1846" t="str">
        <f t="shared" si="426"/>
        <v>NO</v>
      </c>
      <c r="R1846" t="str">
        <f t="shared" si="427"/>
        <v>NO</v>
      </c>
      <c r="T1846" t="s">
        <v>14</v>
      </c>
      <c r="U1846" t="str">
        <f t="shared" si="414"/>
        <v>Massachusetts Ave</v>
      </c>
      <c r="V1846" t="s">
        <v>550</v>
      </c>
      <c r="W1846" t="str">
        <f t="shared" si="415"/>
        <v>Upland Rd</v>
      </c>
      <c r="X1846" t="str">
        <f>IF(ISBLANK(S1846),"Intersection","Non-Intersection")</f>
        <v>Intersection</v>
      </c>
      <c r="Y1846" t="s">
        <v>551</v>
      </c>
      <c r="Z1846" t="str">
        <f t="shared" si="416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17"/>
        <v>40544</v>
      </c>
      <c r="D1847" s="4">
        <f t="shared" si="418"/>
        <v>0.13972602739726028</v>
      </c>
      <c r="E1847" s="3">
        <f t="shared" si="419"/>
        <v>2011</v>
      </c>
      <c r="F1847" s="3">
        <f t="shared" si="420"/>
        <v>2</v>
      </c>
      <c r="G1847" s="3">
        <f t="shared" si="421"/>
        <v>21</v>
      </c>
      <c r="H1847" s="3">
        <f t="shared" si="422"/>
        <v>13</v>
      </c>
      <c r="I1847" s="3">
        <f t="shared" si="423"/>
        <v>9</v>
      </c>
      <c r="J1847" s="3">
        <f t="shared" si="424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25"/>
        <v>YES</v>
      </c>
      <c r="Q1847" t="str">
        <f t="shared" si="426"/>
        <v>NO</v>
      </c>
      <c r="R1847" t="str">
        <f t="shared" si="427"/>
        <v>NO</v>
      </c>
      <c r="T1847" t="s">
        <v>14</v>
      </c>
      <c r="U1847" t="str">
        <f t="shared" si="414"/>
        <v>Massachusetts Ave</v>
      </c>
      <c r="V1847" t="s">
        <v>487</v>
      </c>
      <c r="W1847" t="str">
        <f t="shared" si="415"/>
        <v>Beech St</v>
      </c>
      <c r="X1847" t="str">
        <f>IF(ISBLANK(S1847),"Intersection","Non-Intersection")</f>
        <v>Intersection</v>
      </c>
      <c r="Y1847" t="s">
        <v>787</v>
      </c>
      <c r="Z1847" t="str">
        <f t="shared" si="416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17"/>
        <v>40544</v>
      </c>
      <c r="D1848" s="4">
        <f t="shared" si="418"/>
        <v>0.13972602739726028</v>
      </c>
      <c r="E1848" s="3">
        <f t="shared" si="419"/>
        <v>2011</v>
      </c>
      <c r="F1848" s="3">
        <f t="shared" si="420"/>
        <v>2</v>
      </c>
      <c r="G1848" s="3">
        <f t="shared" si="421"/>
        <v>21</v>
      </c>
      <c r="H1848" s="3">
        <f t="shared" si="422"/>
        <v>18</v>
      </c>
      <c r="I1848" s="3">
        <f t="shared" si="423"/>
        <v>0</v>
      </c>
      <c r="J1848" s="3">
        <f t="shared" si="424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25"/>
        <v>YES</v>
      </c>
      <c r="Q1848" t="str">
        <f t="shared" si="426"/>
        <v>NO</v>
      </c>
      <c r="R1848" t="str">
        <f t="shared" si="427"/>
        <v>NO</v>
      </c>
      <c r="S1848">
        <v>1</v>
      </c>
      <c r="T1848" t="s">
        <v>167</v>
      </c>
      <c r="U1848" t="str">
        <f t="shared" si="414"/>
        <v>Wendell St</v>
      </c>
      <c r="W1848" t="str">
        <f t="shared" si="415"/>
        <v/>
      </c>
      <c r="X1848" t="str">
        <f>IF(ISBLANK(S1848),"Intersection","Non-Intersection")</f>
        <v>Non-Intersection</v>
      </c>
      <c r="Y1848" t="s">
        <v>2176</v>
      </c>
      <c r="Z1848" t="str">
        <f t="shared" si="416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17"/>
        <v>40544</v>
      </c>
      <c r="D1849" s="4">
        <f t="shared" si="418"/>
        <v>0.14246575342465753</v>
      </c>
      <c r="E1849" s="3">
        <f t="shared" si="419"/>
        <v>2011</v>
      </c>
      <c r="F1849" s="3">
        <f t="shared" si="420"/>
        <v>2</v>
      </c>
      <c r="G1849" s="3">
        <f t="shared" si="421"/>
        <v>22</v>
      </c>
      <c r="H1849" s="3">
        <f t="shared" si="422"/>
        <v>8</v>
      </c>
      <c r="I1849" s="3">
        <f t="shared" si="423"/>
        <v>0</v>
      </c>
      <c r="J1849" s="3">
        <f t="shared" si="424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25"/>
        <v>YES</v>
      </c>
      <c r="Q1849" t="str">
        <f t="shared" si="426"/>
        <v>NO</v>
      </c>
      <c r="R1849" t="str">
        <f t="shared" si="427"/>
        <v>NO</v>
      </c>
      <c r="T1849" t="s">
        <v>1502</v>
      </c>
      <c r="U1849" t="str">
        <f t="shared" si="414"/>
        <v>Gore St</v>
      </c>
      <c r="V1849" t="s">
        <v>260</v>
      </c>
      <c r="W1849" t="str">
        <f t="shared" si="415"/>
        <v>Third St</v>
      </c>
      <c r="X1849" t="str">
        <f>IF(ISBLANK(S1849),"Intersection","Non-Intersection")</f>
        <v>Intersection</v>
      </c>
      <c r="Y1849" t="s">
        <v>2873</v>
      </c>
      <c r="Z1849" t="str">
        <f t="shared" si="416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17"/>
        <v>40544</v>
      </c>
      <c r="D1850" s="4">
        <f t="shared" si="418"/>
        <v>0.14246575342465753</v>
      </c>
      <c r="E1850" s="3">
        <f t="shared" si="419"/>
        <v>2011</v>
      </c>
      <c r="F1850" s="3">
        <f t="shared" si="420"/>
        <v>2</v>
      </c>
      <c r="G1850" s="3">
        <f t="shared" si="421"/>
        <v>22</v>
      </c>
      <c r="H1850" s="3">
        <f t="shared" si="422"/>
        <v>6</v>
      </c>
      <c r="I1850" s="3">
        <f t="shared" si="423"/>
        <v>45</v>
      </c>
      <c r="J1850" s="3">
        <f t="shared" si="424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25"/>
        <v>YES</v>
      </c>
      <c r="Q1850" t="str">
        <f t="shared" si="426"/>
        <v>NO</v>
      </c>
      <c r="R1850" t="str">
        <f t="shared" si="427"/>
        <v>NO</v>
      </c>
      <c r="S1850">
        <v>166</v>
      </c>
      <c r="T1850" t="s">
        <v>119</v>
      </c>
      <c r="U1850" t="str">
        <f t="shared" si="414"/>
        <v>Albany St</v>
      </c>
      <c r="W1850" t="str">
        <f t="shared" si="415"/>
        <v/>
      </c>
      <c r="X1850" t="str">
        <f>IF(ISBLANK(S1850),"Intersection","Non-Intersection")</f>
        <v>Non-Intersection</v>
      </c>
      <c r="Y1850" t="s">
        <v>2874</v>
      </c>
      <c r="Z1850" t="str">
        <f t="shared" si="416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17"/>
        <v>40544</v>
      </c>
      <c r="D1851" s="4">
        <f t="shared" si="418"/>
        <v>0.14246575342465753</v>
      </c>
      <c r="E1851" s="3">
        <f t="shared" si="419"/>
        <v>2011</v>
      </c>
      <c r="F1851" s="3">
        <f t="shared" si="420"/>
        <v>2</v>
      </c>
      <c r="G1851" s="3">
        <f t="shared" si="421"/>
        <v>22</v>
      </c>
      <c r="H1851" s="3">
        <f t="shared" si="422"/>
        <v>17</v>
      </c>
      <c r="I1851" s="3">
        <f t="shared" si="423"/>
        <v>0</v>
      </c>
      <c r="J1851" s="3">
        <f t="shared" si="424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25"/>
        <v>YES</v>
      </c>
      <c r="Q1851" t="str">
        <f t="shared" si="426"/>
        <v>YES</v>
      </c>
      <c r="R1851" t="str">
        <f t="shared" si="427"/>
        <v>NO</v>
      </c>
      <c r="S1851">
        <v>1</v>
      </c>
      <c r="T1851" t="s">
        <v>74</v>
      </c>
      <c r="U1851" t="str">
        <f t="shared" si="414"/>
        <v>Hampshire St</v>
      </c>
      <c r="W1851" t="str">
        <f t="shared" si="415"/>
        <v/>
      </c>
      <c r="X1851" t="str">
        <f>IF(ISBLANK(S1851),"Intersection","Non-Intersection")</f>
        <v>Non-Intersection</v>
      </c>
      <c r="Y1851" t="s">
        <v>240</v>
      </c>
      <c r="Z1851" t="str">
        <f t="shared" si="416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17"/>
        <v>40544</v>
      </c>
      <c r="D1852" s="4">
        <f t="shared" si="418"/>
        <v>0.14246575342465753</v>
      </c>
      <c r="E1852" s="3">
        <f t="shared" si="419"/>
        <v>2011</v>
      </c>
      <c r="F1852" s="3">
        <f t="shared" si="420"/>
        <v>2</v>
      </c>
      <c r="G1852" s="3">
        <f t="shared" si="421"/>
        <v>22</v>
      </c>
      <c r="H1852" s="3">
        <f t="shared" si="422"/>
        <v>18</v>
      </c>
      <c r="I1852" s="3">
        <f t="shared" si="423"/>
        <v>45</v>
      </c>
      <c r="J1852" s="3">
        <f t="shared" si="424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25"/>
        <v>YES</v>
      </c>
      <c r="Q1852" t="str">
        <f t="shared" si="426"/>
        <v>NO</v>
      </c>
      <c r="R1852" t="str">
        <f t="shared" si="427"/>
        <v>NO</v>
      </c>
      <c r="T1852" t="s">
        <v>147</v>
      </c>
      <c r="U1852" t="str">
        <f t="shared" si="414"/>
        <v>Sixth St</v>
      </c>
      <c r="V1852" t="s">
        <v>380</v>
      </c>
      <c r="W1852" t="str">
        <f t="shared" si="415"/>
        <v>Charles St</v>
      </c>
      <c r="X1852" t="str">
        <f>IF(ISBLANK(S1852),"Intersection","Non-Intersection")</f>
        <v>Intersection</v>
      </c>
      <c r="Y1852" t="s">
        <v>2876</v>
      </c>
      <c r="Z1852" t="str">
        <f t="shared" si="416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17"/>
        <v>40544</v>
      </c>
      <c r="D1853" s="4">
        <f t="shared" si="418"/>
        <v>0.14246575342465753</v>
      </c>
      <c r="E1853" s="3">
        <f t="shared" si="419"/>
        <v>2011</v>
      </c>
      <c r="F1853" s="3">
        <f t="shared" si="420"/>
        <v>2</v>
      </c>
      <c r="G1853" s="3">
        <f t="shared" si="421"/>
        <v>22</v>
      </c>
      <c r="H1853" s="3">
        <f t="shared" si="422"/>
        <v>19</v>
      </c>
      <c r="I1853" s="3">
        <f t="shared" si="423"/>
        <v>30</v>
      </c>
      <c r="J1853" s="3">
        <f t="shared" si="424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25"/>
        <v>YES</v>
      </c>
      <c r="Q1853" t="str">
        <f t="shared" si="426"/>
        <v>YES</v>
      </c>
      <c r="R1853" t="str">
        <f t="shared" si="427"/>
        <v>NO</v>
      </c>
      <c r="T1853" t="s">
        <v>105</v>
      </c>
      <c r="U1853" t="str">
        <f t="shared" si="414"/>
        <v>Broadway</v>
      </c>
      <c r="V1853" t="s">
        <v>2158</v>
      </c>
      <c r="W1853" t="str">
        <f t="shared" si="415"/>
        <v>Lee St</v>
      </c>
      <c r="X1853" t="str">
        <f>IF(ISBLANK(S1853),"Intersection","Non-Intersection")</f>
        <v>Intersection</v>
      </c>
      <c r="Y1853" t="s">
        <v>2878</v>
      </c>
      <c r="Z1853" t="str">
        <f t="shared" si="416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17"/>
        <v>40544</v>
      </c>
      <c r="D1854" s="4">
        <f t="shared" si="418"/>
        <v>0.14520547945205478</v>
      </c>
      <c r="E1854" s="3">
        <f t="shared" si="419"/>
        <v>2011</v>
      </c>
      <c r="F1854" s="3">
        <f t="shared" si="420"/>
        <v>2</v>
      </c>
      <c r="G1854" s="3">
        <f t="shared" si="421"/>
        <v>23</v>
      </c>
      <c r="H1854" s="3">
        <f t="shared" si="422"/>
        <v>9</v>
      </c>
      <c r="I1854" s="3">
        <f t="shared" si="423"/>
        <v>59</v>
      </c>
      <c r="J1854" s="3">
        <f t="shared" si="424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25"/>
        <v>YES</v>
      </c>
      <c r="Q1854" t="str">
        <f t="shared" si="426"/>
        <v>NO</v>
      </c>
      <c r="R1854" t="str">
        <f t="shared" si="427"/>
        <v>NO</v>
      </c>
      <c r="T1854" t="s">
        <v>14</v>
      </c>
      <c r="U1854" t="str">
        <f t="shared" si="414"/>
        <v>Massachusetts Ave</v>
      </c>
      <c r="V1854" t="s">
        <v>202</v>
      </c>
      <c r="W1854" t="str">
        <f t="shared" si="415"/>
        <v>Vassar St</v>
      </c>
      <c r="X1854" t="str">
        <f>IF(ISBLANK(S1854),"Intersection","Non-Intersection")</f>
        <v>Intersection</v>
      </c>
      <c r="Y1854" t="s">
        <v>361</v>
      </c>
      <c r="Z1854" t="str">
        <f t="shared" si="416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17"/>
        <v>40544</v>
      </c>
      <c r="D1855" s="4">
        <f t="shared" si="418"/>
        <v>0.14520547945205478</v>
      </c>
      <c r="E1855" s="3">
        <f t="shared" si="419"/>
        <v>2011</v>
      </c>
      <c r="F1855" s="3">
        <f t="shared" si="420"/>
        <v>2</v>
      </c>
      <c r="G1855" s="3">
        <f t="shared" si="421"/>
        <v>23</v>
      </c>
      <c r="H1855" s="3">
        <f t="shared" si="422"/>
        <v>12</v>
      </c>
      <c r="I1855" s="3">
        <f t="shared" si="423"/>
        <v>14</v>
      </c>
      <c r="J1855" s="3">
        <f t="shared" si="424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25"/>
        <v>YES</v>
      </c>
      <c r="Q1855" t="str">
        <f t="shared" si="426"/>
        <v>NO</v>
      </c>
      <c r="R1855" t="str">
        <f t="shared" si="427"/>
        <v>NO</v>
      </c>
      <c r="T1855" t="s">
        <v>14</v>
      </c>
      <c r="U1855" t="str">
        <f t="shared" si="414"/>
        <v>Massachusetts Ave</v>
      </c>
      <c r="V1855" t="s">
        <v>601</v>
      </c>
      <c r="W1855" t="str">
        <f t="shared" si="415"/>
        <v>Cedar St</v>
      </c>
      <c r="X1855" t="str">
        <f>IF(ISBLANK(S1855),"Intersection","Non-Intersection")</f>
        <v>Intersection</v>
      </c>
      <c r="Y1855" t="s">
        <v>602</v>
      </c>
      <c r="Z1855" t="str">
        <f t="shared" si="416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17"/>
        <v>40544</v>
      </c>
      <c r="D1856" s="4">
        <f t="shared" si="418"/>
        <v>0.14520547945205478</v>
      </c>
      <c r="E1856" s="3">
        <f t="shared" si="419"/>
        <v>2011</v>
      </c>
      <c r="F1856" s="3">
        <f t="shared" si="420"/>
        <v>2</v>
      </c>
      <c r="G1856" s="3">
        <f t="shared" si="421"/>
        <v>23</v>
      </c>
      <c r="H1856" s="3">
        <f t="shared" si="422"/>
        <v>13</v>
      </c>
      <c r="I1856" s="3">
        <f t="shared" si="423"/>
        <v>41</v>
      </c>
      <c r="J1856" s="3">
        <f t="shared" si="424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25"/>
        <v>YES</v>
      </c>
      <c r="Q1856" t="str">
        <f t="shared" si="426"/>
        <v>NO</v>
      </c>
      <c r="R1856" t="str">
        <f t="shared" si="427"/>
        <v>NO</v>
      </c>
      <c r="T1856" t="s">
        <v>796</v>
      </c>
      <c r="U1856" t="str">
        <f t="shared" si="414"/>
        <v>Portland St</v>
      </c>
      <c r="V1856" t="s">
        <v>133</v>
      </c>
      <c r="W1856" t="str">
        <f t="shared" si="415"/>
        <v>Harvard St</v>
      </c>
      <c r="X1856" t="str">
        <f>IF(ISBLANK(S1856),"Intersection","Non-Intersection")</f>
        <v>Intersection</v>
      </c>
      <c r="Y1856" t="s">
        <v>2028</v>
      </c>
      <c r="Z1856" t="str">
        <f t="shared" si="416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17"/>
        <v>40544</v>
      </c>
      <c r="D1857" s="4">
        <f t="shared" si="418"/>
        <v>0.14794520547945206</v>
      </c>
      <c r="E1857" s="3">
        <f t="shared" si="419"/>
        <v>2011</v>
      </c>
      <c r="F1857" s="3">
        <f t="shared" si="420"/>
        <v>2</v>
      </c>
      <c r="G1857" s="3">
        <f t="shared" si="421"/>
        <v>24</v>
      </c>
      <c r="H1857" s="3">
        <f t="shared" si="422"/>
        <v>8</v>
      </c>
      <c r="I1857" s="3">
        <f t="shared" si="423"/>
        <v>0</v>
      </c>
      <c r="J1857" s="3">
        <f t="shared" si="424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25"/>
        <v>YES</v>
      </c>
      <c r="Q1857" t="str">
        <f t="shared" si="426"/>
        <v>NO</v>
      </c>
      <c r="R1857" t="str">
        <f t="shared" si="427"/>
        <v>NO</v>
      </c>
      <c r="T1857" t="s">
        <v>209</v>
      </c>
      <c r="U1857" t="str">
        <f t="shared" si="414"/>
        <v>Binney St</v>
      </c>
      <c r="V1857" t="s">
        <v>61</v>
      </c>
      <c r="W1857" t="str">
        <f t="shared" si="415"/>
        <v>First St</v>
      </c>
      <c r="X1857" t="str">
        <f>IF(ISBLANK(S1857),"Intersection","Non-Intersection")</f>
        <v>Intersection</v>
      </c>
      <c r="Y1857" t="s">
        <v>579</v>
      </c>
      <c r="Z1857" t="str">
        <f t="shared" si="416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17"/>
        <v>40544</v>
      </c>
      <c r="D1858" s="4">
        <f t="shared" si="418"/>
        <v>0.14794520547945206</v>
      </c>
      <c r="E1858" s="3">
        <f t="shared" si="419"/>
        <v>2011</v>
      </c>
      <c r="F1858" s="3">
        <f t="shared" si="420"/>
        <v>2</v>
      </c>
      <c r="G1858" s="3">
        <f t="shared" si="421"/>
        <v>24</v>
      </c>
      <c r="H1858" s="3">
        <f t="shared" si="422"/>
        <v>8</v>
      </c>
      <c r="I1858" s="3">
        <f t="shared" si="423"/>
        <v>26</v>
      </c>
      <c r="J1858" s="3">
        <f t="shared" si="424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25"/>
        <v>YES</v>
      </c>
      <c r="Q1858" t="str">
        <f t="shared" si="426"/>
        <v>NO</v>
      </c>
      <c r="R1858" t="str">
        <f t="shared" si="427"/>
        <v>NO</v>
      </c>
      <c r="T1858" t="s">
        <v>509</v>
      </c>
      <c r="U1858" t="str">
        <f t="shared" si="414"/>
        <v>Green St</v>
      </c>
      <c r="W1858" t="str">
        <f t="shared" si="415"/>
        <v/>
      </c>
      <c r="X1858" t="str">
        <f>IF(ISBLANK(S1858),"Intersection","Non-Intersection")</f>
        <v>Intersection</v>
      </c>
      <c r="Y1858" t="s">
        <v>2880</v>
      </c>
      <c r="Z1858" t="str">
        <f t="shared" si="416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17"/>
        <v>40544</v>
      </c>
      <c r="D1859" s="4">
        <f t="shared" si="418"/>
        <v>0.14794520547945206</v>
      </c>
      <c r="E1859" s="3">
        <f t="shared" si="419"/>
        <v>2011</v>
      </c>
      <c r="F1859" s="3">
        <f t="shared" si="420"/>
        <v>2</v>
      </c>
      <c r="G1859" s="3">
        <f t="shared" si="421"/>
        <v>24</v>
      </c>
      <c r="H1859" s="3">
        <f t="shared" si="422"/>
        <v>16</v>
      </c>
      <c r="I1859" s="3">
        <f t="shared" si="423"/>
        <v>28</v>
      </c>
      <c r="J1859" s="3">
        <f t="shared" si="424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25"/>
        <v>YES</v>
      </c>
      <c r="Q1859" t="str">
        <f t="shared" si="426"/>
        <v>NO</v>
      </c>
      <c r="R1859" t="str">
        <f t="shared" si="427"/>
        <v>NO</v>
      </c>
      <c r="T1859" t="s">
        <v>119</v>
      </c>
      <c r="U1859" t="str">
        <f t="shared" ref="U1859:U1922" si="428">TRIM(PROPER(T1859))</f>
        <v>Albany St</v>
      </c>
      <c r="V1859" t="s">
        <v>1729</v>
      </c>
      <c r="W1859" t="str">
        <f t="shared" ref="W1859:W1922" si="429">TRIM(PROPER(V1859))</f>
        <v>Cross St</v>
      </c>
      <c r="X1859" t="str">
        <f>IF(ISBLANK(S1859),"Intersection","Non-Intersection")</f>
        <v>Intersection</v>
      </c>
      <c r="Y1859" t="s">
        <v>2881</v>
      </c>
      <c r="Z1859" t="str">
        <f t="shared" ref="Z1859:Z1922" si="43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17"/>
        <v>40544</v>
      </c>
      <c r="D1860" s="4">
        <f t="shared" si="418"/>
        <v>0.14794520547945206</v>
      </c>
      <c r="E1860" s="3">
        <f t="shared" si="419"/>
        <v>2011</v>
      </c>
      <c r="F1860" s="3">
        <f t="shared" si="420"/>
        <v>2</v>
      </c>
      <c r="G1860" s="3">
        <f t="shared" si="421"/>
        <v>24</v>
      </c>
      <c r="H1860" s="3">
        <f t="shared" si="422"/>
        <v>18</v>
      </c>
      <c r="I1860" s="3">
        <f t="shared" si="423"/>
        <v>4</v>
      </c>
      <c r="J1860" s="3">
        <f t="shared" si="424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25"/>
        <v>YES</v>
      </c>
      <c r="Q1860" t="str">
        <f t="shared" si="426"/>
        <v>NO</v>
      </c>
      <c r="R1860" t="str">
        <f t="shared" si="427"/>
        <v>NO</v>
      </c>
      <c r="S1860">
        <v>748</v>
      </c>
      <c r="T1860" t="s">
        <v>203</v>
      </c>
      <c r="U1860" t="str">
        <f t="shared" si="428"/>
        <v>Memorial Dr</v>
      </c>
      <c r="W1860" t="str">
        <f t="shared" si="429"/>
        <v/>
      </c>
      <c r="X1860" t="str">
        <f>IF(ISBLANK(S1860),"Intersection","Non-Intersection")</f>
        <v>Non-Intersection</v>
      </c>
      <c r="Y1860" t="s">
        <v>1731</v>
      </c>
      <c r="Z1860" t="str">
        <f t="shared" si="43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17"/>
        <v>40544</v>
      </c>
      <c r="D1861" s="4">
        <f t="shared" si="418"/>
        <v>0.14794520547945206</v>
      </c>
      <c r="E1861" s="3">
        <f t="shared" si="419"/>
        <v>2011</v>
      </c>
      <c r="F1861" s="3">
        <f t="shared" si="420"/>
        <v>2</v>
      </c>
      <c r="G1861" s="3">
        <f t="shared" si="421"/>
        <v>24</v>
      </c>
      <c r="H1861" s="3">
        <f t="shared" si="422"/>
        <v>11</v>
      </c>
      <c r="I1861" s="3">
        <f t="shared" si="423"/>
        <v>0</v>
      </c>
      <c r="J1861" s="3">
        <f t="shared" si="424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25"/>
        <v>YES</v>
      </c>
      <c r="Q1861" t="str">
        <f t="shared" si="426"/>
        <v>NO</v>
      </c>
      <c r="R1861" t="str">
        <f t="shared" si="427"/>
        <v>NO</v>
      </c>
      <c r="S1861">
        <v>8</v>
      </c>
      <c r="T1861" t="s">
        <v>2038</v>
      </c>
      <c r="U1861" t="str">
        <f t="shared" si="428"/>
        <v>May St</v>
      </c>
      <c r="W1861" t="str">
        <f t="shared" si="429"/>
        <v/>
      </c>
      <c r="X1861" t="str">
        <f>IF(ISBLANK(S1861),"Intersection","Non-Intersection")</f>
        <v>Non-Intersection</v>
      </c>
      <c r="Y1861" t="s">
        <v>2883</v>
      </c>
      <c r="Z1861" t="str">
        <f t="shared" si="43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17"/>
        <v>40544</v>
      </c>
      <c r="D1862" s="4">
        <f t="shared" si="418"/>
        <v>0.15068493150684931</v>
      </c>
      <c r="E1862" s="3">
        <f t="shared" si="419"/>
        <v>2011</v>
      </c>
      <c r="F1862" s="3">
        <f t="shared" si="420"/>
        <v>2</v>
      </c>
      <c r="G1862" s="3">
        <f t="shared" si="421"/>
        <v>25</v>
      </c>
      <c r="H1862" s="3">
        <f t="shared" si="422"/>
        <v>8</v>
      </c>
      <c r="I1862" s="3">
        <f t="shared" si="423"/>
        <v>0</v>
      </c>
      <c r="J1862" s="3">
        <f t="shared" si="424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25"/>
        <v>YES</v>
      </c>
      <c r="Q1862" t="str">
        <f t="shared" si="426"/>
        <v>NO</v>
      </c>
      <c r="R1862" t="str">
        <f t="shared" si="427"/>
        <v>NO</v>
      </c>
      <c r="S1862">
        <v>3</v>
      </c>
      <c r="T1862" t="s">
        <v>50</v>
      </c>
      <c r="U1862" t="str">
        <f t="shared" si="428"/>
        <v>Belmont St</v>
      </c>
      <c r="W1862" t="str">
        <f t="shared" si="429"/>
        <v/>
      </c>
      <c r="X1862" t="str">
        <f>IF(ISBLANK(S1862),"Intersection","Non-Intersection")</f>
        <v>Non-Intersection</v>
      </c>
      <c r="Y1862" t="s">
        <v>2885</v>
      </c>
      <c r="Z1862" t="str">
        <f t="shared" si="43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17"/>
        <v>40544</v>
      </c>
      <c r="D1863" s="4">
        <f t="shared" si="418"/>
        <v>0.15068493150684931</v>
      </c>
      <c r="E1863" s="3">
        <f t="shared" si="419"/>
        <v>2011</v>
      </c>
      <c r="F1863" s="3">
        <f t="shared" si="420"/>
        <v>2</v>
      </c>
      <c r="G1863" s="3">
        <f t="shared" si="421"/>
        <v>25</v>
      </c>
      <c r="H1863" s="3">
        <f t="shared" si="422"/>
        <v>13</v>
      </c>
      <c r="I1863" s="3">
        <f t="shared" si="423"/>
        <v>25</v>
      </c>
      <c r="J1863" s="3">
        <f t="shared" si="424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25"/>
        <v>YES</v>
      </c>
      <c r="Q1863" t="str">
        <f t="shared" si="426"/>
        <v>NO</v>
      </c>
      <c r="R1863" t="str">
        <f t="shared" si="427"/>
        <v>NO</v>
      </c>
      <c r="T1863" t="s">
        <v>1502</v>
      </c>
      <c r="U1863" t="str">
        <f t="shared" si="428"/>
        <v>Gore St</v>
      </c>
      <c r="V1863" t="s">
        <v>20</v>
      </c>
      <c r="W1863" t="str">
        <f t="shared" si="429"/>
        <v>Sciarappa St</v>
      </c>
      <c r="X1863" t="str">
        <f>IF(ISBLANK(S1863),"Intersection","Non-Intersection")</f>
        <v>Intersection</v>
      </c>
      <c r="Y1863" t="s">
        <v>1540</v>
      </c>
      <c r="Z1863" t="str">
        <f t="shared" si="43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17"/>
        <v>40544</v>
      </c>
      <c r="D1864" s="4">
        <f t="shared" si="418"/>
        <v>0.15068493150684931</v>
      </c>
      <c r="E1864" s="3">
        <f t="shared" si="419"/>
        <v>2011</v>
      </c>
      <c r="F1864" s="3">
        <f t="shared" si="420"/>
        <v>2</v>
      </c>
      <c r="G1864" s="3">
        <f t="shared" si="421"/>
        <v>25</v>
      </c>
      <c r="H1864" s="3">
        <f t="shared" si="422"/>
        <v>11</v>
      </c>
      <c r="I1864" s="3">
        <f t="shared" si="423"/>
        <v>35</v>
      </c>
      <c r="J1864" s="3">
        <f t="shared" si="424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25"/>
        <v>YES</v>
      </c>
      <c r="Q1864" t="str">
        <f t="shared" si="426"/>
        <v>NO</v>
      </c>
      <c r="R1864" t="str">
        <f t="shared" si="427"/>
        <v>NO</v>
      </c>
      <c r="T1864" t="s">
        <v>42</v>
      </c>
      <c r="U1864" t="str">
        <f t="shared" si="428"/>
        <v>Putnam Ave</v>
      </c>
      <c r="V1864" t="s">
        <v>195</v>
      </c>
      <c r="W1864" t="str">
        <f t="shared" si="429"/>
        <v>Sidney St</v>
      </c>
      <c r="X1864" t="str">
        <f>IF(ISBLANK(S1864),"Intersection","Non-Intersection")</f>
        <v>Intersection</v>
      </c>
      <c r="Y1864" t="s">
        <v>2887</v>
      </c>
      <c r="Z1864" t="str">
        <f t="shared" si="43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17"/>
        <v>40544</v>
      </c>
      <c r="D1865" s="4">
        <f t="shared" si="418"/>
        <v>0.15068493150684931</v>
      </c>
      <c r="E1865" s="3">
        <f t="shared" si="419"/>
        <v>2011</v>
      </c>
      <c r="F1865" s="3">
        <f t="shared" si="420"/>
        <v>2</v>
      </c>
      <c r="G1865" s="3">
        <f t="shared" si="421"/>
        <v>25</v>
      </c>
      <c r="H1865" s="3">
        <f t="shared" si="422"/>
        <v>17</v>
      </c>
      <c r="I1865" s="3">
        <f t="shared" si="423"/>
        <v>45</v>
      </c>
      <c r="J1865" s="3">
        <f t="shared" si="424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25"/>
        <v>YES</v>
      </c>
      <c r="Q1865" t="str">
        <f t="shared" si="426"/>
        <v>NO</v>
      </c>
      <c r="R1865" t="str">
        <f t="shared" si="427"/>
        <v>NO</v>
      </c>
      <c r="T1865" t="s">
        <v>198</v>
      </c>
      <c r="U1865" t="str">
        <f t="shared" si="428"/>
        <v>Mount Auburn St</v>
      </c>
      <c r="V1865" t="s">
        <v>2532</v>
      </c>
      <c r="W1865" t="str">
        <f t="shared" si="429"/>
        <v>Ash St</v>
      </c>
      <c r="X1865" t="str">
        <f>IF(ISBLANK(S1865),"Intersection","Non-Intersection")</f>
        <v>Intersection</v>
      </c>
      <c r="Y1865" t="s">
        <v>2888</v>
      </c>
      <c r="Z1865" t="str">
        <f t="shared" si="43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17"/>
        <v>40544</v>
      </c>
      <c r="D1866" s="4">
        <f t="shared" si="418"/>
        <v>0.15068493150684931</v>
      </c>
      <c r="E1866" s="3">
        <f t="shared" si="419"/>
        <v>2011</v>
      </c>
      <c r="F1866" s="3">
        <f t="shared" si="420"/>
        <v>2</v>
      </c>
      <c r="G1866" s="3">
        <f t="shared" si="421"/>
        <v>25</v>
      </c>
      <c r="H1866" s="3">
        <f t="shared" si="422"/>
        <v>15</v>
      </c>
      <c r="I1866" s="3">
        <f t="shared" si="423"/>
        <v>59</v>
      </c>
      <c r="J1866" s="3">
        <f t="shared" si="424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25"/>
        <v>YES</v>
      </c>
      <c r="Q1866" t="str">
        <f t="shared" si="426"/>
        <v>NO</v>
      </c>
      <c r="R1866" t="str">
        <f t="shared" si="427"/>
        <v>NO</v>
      </c>
      <c r="S1866">
        <v>254</v>
      </c>
      <c r="T1866" t="s">
        <v>186</v>
      </c>
      <c r="U1866" t="str">
        <f t="shared" si="428"/>
        <v>Concord Ave</v>
      </c>
      <c r="W1866" t="str">
        <f t="shared" si="429"/>
        <v/>
      </c>
      <c r="X1866" t="str">
        <f>IF(ISBLANK(S1866),"Intersection","Non-Intersection")</f>
        <v>Non-Intersection</v>
      </c>
      <c r="Y1866" t="s">
        <v>2890</v>
      </c>
      <c r="Z1866" t="str">
        <f t="shared" si="43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17"/>
        <v>40544</v>
      </c>
      <c r="D1867" s="4">
        <f t="shared" si="418"/>
        <v>0.15068493150684931</v>
      </c>
      <c r="E1867" s="3">
        <f t="shared" si="419"/>
        <v>2011</v>
      </c>
      <c r="F1867" s="3">
        <f t="shared" si="420"/>
        <v>2</v>
      </c>
      <c r="G1867" s="3">
        <f t="shared" si="421"/>
        <v>25</v>
      </c>
      <c r="H1867" s="3">
        <f t="shared" si="422"/>
        <v>18</v>
      </c>
      <c r="I1867" s="3">
        <f t="shared" si="423"/>
        <v>49</v>
      </c>
      <c r="J1867" s="3">
        <f t="shared" si="424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25"/>
        <v>YES</v>
      </c>
      <c r="Q1867" t="str">
        <f t="shared" si="426"/>
        <v>NO</v>
      </c>
      <c r="R1867" t="str">
        <f t="shared" si="427"/>
        <v>NO</v>
      </c>
      <c r="T1867" t="s">
        <v>105</v>
      </c>
      <c r="U1867" t="str">
        <f t="shared" si="428"/>
        <v>Broadway</v>
      </c>
      <c r="V1867" t="s">
        <v>288</v>
      </c>
      <c r="W1867" t="str">
        <f t="shared" si="429"/>
        <v>Galileo Galilei Way</v>
      </c>
      <c r="X1867" t="str">
        <f>IF(ISBLANK(S1867),"Intersection","Non-Intersection")</f>
        <v>Intersection</v>
      </c>
      <c r="Y1867" t="s">
        <v>289</v>
      </c>
      <c r="Z1867" t="str">
        <f t="shared" si="43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17"/>
        <v>40544</v>
      </c>
      <c r="D1868" s="4">
        <f t="shared" si="418"/>
        <v>0.15068493150684931</v>
      </c>
      <c r="E1868" s="3">
        <f t="shared" si="419"/>
        <v>2011</v>
      </c>
      <c r="F1868" s="3">
        <f t="shared" si="420"/>
        <v>2</v>
      </c>
      <c r="G1868" s="3">
        <f t="shared" si="421"/>
        <v>25</v>
      </c>
      <c r="H1868" s="3">
        <f t="shared" si="422"/>
        <v>15</v>
      </c>
      <c r="I1868" s="3">
        <f t="shared" si="423"/>
        <v>23</v>
      </c>
      <c r="J1868" s="3">
        <f t="shared" si="424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25"/>
        <v>YES</v>
      </c>
      <c r="Q1868" t="str">
        <f t="shared" si="426"/>
        <v>NO</v>
      </c>
      <c r="R1868" t="str">
        <f t="shared" si="427"/>
        <v>NO</v>
      </c>
      <c r="T1868" t="s">
        <v>675</v>
      </c>
      <c r="U1868" t="str">
        <f t="shared" si="428"/>
        <v>Roseland St</v>
      </c>
      <c r="V1868" t="s">
        <v>902</v>
      </c>
      <c r="W1868" t="str">
        <f t="shared" si="429"/>
        <v>Frost St</v>
      </c>
      <c r="X1868" t="str">
        <f>IF(ISBLANK(S1868),"Intersection","Non-Intersection")</f>
        <v>Intersection</v>
      </c>
      <c r="Y1868" t="s">
        <v>903</v>
      </c>
      <c r="Z1868" t="str">
        <f t="shared" si="43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17"/>
        <v>40544</v>
      </c>
      <c r="D1869" s="4">
        <f t="shared" si="418"/>
        <v>0.15342465753424658</v>
      </c>
      <c r="E1869" s="3">
        <f t="shared" si="419"/>
        <v>2011</v>
      </c>
      <c r="F1869" s="3">
        <f t="shared" si="420"/>
        <v>2</v>
      </c>
      <c r="G1869" s="3">
        <f t="shared" si="421"/>
        <v>26</v>
      </c>
      <c r="H1869" s="3">
        <f t="shared" si="422"/>
        <v>15</v>
      </c>
      <c r="I1869" s="3">
        <f t="shared" si="423"/>
        <v>27</v>
      </c>
      <c r="J1869" s="3">
        <f t="shared" si="424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25"/>
        <v>YES</v>
      </c>
      <c r="Q1869" t="str">
        <f t="shared" si="426"/>
        <v>NO</v>
      </c>
      <c r="R1869" t="str">
        <f t="shared" si="427"/>
        <v>NO</v>
      </c>
      <c r="T1869" t="s">
        <v>189</v>
      </c>
      <c r="U1869" t="str">
        <f t="shared" si="428"/>
        <v>Windsor St</v>
      </c>
      <c r="V1869" t="s">
        <v>105</v>
      </c>
      <c r="W1869" t="str">
        <f t="shared" si="429"/>
        <v>Broadway</v>
      </c>
      <c r="X1869" t="str">
        <f>IF(ISBLANK(S1869),"Intersection","Non-Intersection")</f>
        <v>Intersection</v>
      </c>
      <c r="Y1869" t="s">
        <v>877</v>
      </c>
      <c r="Z1869" t="str">
        <f t="shared" si="43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17"/>
        <v>40544</v>
      </c>
      <c r="D1870" s="4">
        <f t="shared" si="418"/>
        <v>0.15342465753424658</v>
      </c>
      <c r="E1870" s="3">
        <f t="shared" si="419"/>
        <v>2011</v>
      </c>
      <c r="F1870" s="3">
        <f t="shared" si="420"/>
        <v>2</v>
      </c>
      <c r="G1870" s="3">
        <f t="shared" si="421"/>
        <v>26</v>
      </c>
      <c r="H1870" s="3">
        <f t="shared" si="422"/>
        <v>17</v>
      </c>
      <c r="I1870" s="3">
        <f t="shared" si="423"/>
        <v>15</v>
      </c>
      <c r="J1870" s="3">
        <f t="shared" si="424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25"/>
        <v>YES</v>
      </c>
      <c r="Q1870" t="str">
        <f t="shared" si="426"/>
        <v>NO</v>
      </c>
      <c r="R1870" t="str">
        <f t="shared" si="427"/>
        <v>NO</v>
      </c>
      <c r="S1870">
        <v>528</v>
      </c>
      <c r="T1870" t="s">
        <v>19</v>
      </c>
      <c r="U1870" t="str">
        <f t="shared" si="428"/>
        <v>Cambridge St</v>
      </c>
      <c r="W1870" t="str">
        <f t="shared" si="429"/>
        <v/>
      </c>
      <c r="X1870" t="str">
        <f>IF(ISBLANK(S1870),"Intersection","Non-Intersection")</f>
        <v>Non-Intersection</v>
      </c>
      <c r="Y1870" t="s">
        <v>2892</v>
      </c>
      <c r="Z1870" t="str">
        <f t="shared" si="43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17"/>
        <v>40544</v>
      </c>
      <c r="D1871" s="4">
        <f t="shared" si="418"/>
        <v>0.15342465753424658</v>
      </c>
      <c r="E1871" s="3">
        <f t="shared" si="419"/>
        <v>2011</v>
      </c>
      <c r="F1871" s="3">
        <f t="shared" si="420"/>
        <v>2</v>
      </c>
      <c r="G1871" s="3">
        <f t="shared" si="421"/>
        <v>26</v>
      </c>
      <c r="H1871" s="3">
        <f t="shared" si="422"/>
        <v>23</v>
      </c>
      <c r="I1871" s="3">
        <f t="shared" si="423"/>
        <v>35</v>
      </c>
      <c r="J1871" s="3">
        <f t="shared" si="424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25"/>
        <v>YES</v>
      </c>
      <c r="Q1871" t="str">
        <f t="shared" si="426"/>
        <v>NO</v>
      </c>
      <c r="R1871" t="str">
        <f t="shared" si="427"/>
        <v>NO</v>
      </c>
      <c r="S1871">
        <v>265</v>
      </c>
      <c r="T1871" t="s">
        <v>14</v>
      </c>
      <c r="U1871" t="str">
        <f t="shared" si="428"/>
        <v>Massachusetts Ave</v>
      </c>
      <c r="V1871" t="s">
        <v>2894</v>
      </c>
      <c r="W1871" t="str">
        <f t="shared" si="429"/>
        <v>Museum St</v>
      </c>
      <c r="X1871" t="str">
        <f>IF(ISBLANK(S1871),"Intersection","Non-Intersection")</f>
        <v>Non-Intersection</v>
      </c>
      <c r="Y1871" t="s">
        <v>2895</v>
      </c>
      <c r="Z1871" t="str">
        <f t="shared" si="43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17"/>
        <v>40544</v>
      </c>
      <c r="D1872" s="4">
        <f t="shared" si="418"/>
        <v>0.15342465753424658</v>
      </c>
      <c r="E1872" s="3">
        <f t="shared" si="419"/>
        <v>2011</v>
      </c>
      <c r="F1872" s="3">
        <f t="shared" si="420"/>
        <v>2</v>
      </c>
      <c r="G1872" s="3">
        <f t="shared" si="421"/>
        <v>26</v>
      </c>
      <c r="H1872" s="3">
        <f t="shared" si="422"/>
        <v>17</v>
      </c>
      <c r="I1872" s="3">
        <f t="shared" si="423"/>
        <v>0</v>
      </c>
      <c r="J1872" s="3">
        <f t="shared" si="424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25"/>
        <v>YES</v>
      </c>
      <c r="Q1872" t="str">
        <f t="shared" si="426"/>
        <v>NO</v>
      </c>
      <c r="R1872" t="str">
        <f t="shared" si="427"/>
        <v>NO</v>
      </c>
      <c r="T1872" t="s">
        <v>101</v>
      </c>
      <c r="U1872" t="str">
        <f t="shared" si="428"/>
        <v>Columbia St</v>
      </c>
      <c r="V1872" t="s">
        <v>133</v>
      </c>
      <c r="W1872" t="str">
        <f t="shared" si="429"/>
        <v>Harvard St</v>
      </c>
      <c r="X1872" t="str">
        <f>IF(ISBLANK(S1872),"Intersection","Non-Intersection")</f>
        <v>Intersection</v>
      </c>
      <c r="Y1872" t="s">
        <v>2897</v>
      </c>
      <c r="Z1872" t="str">
        <f t="shared" si="43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17"/>
        <v>40544</v>
      </c>
      <c r="D1873" s="4">
        <f t="shared" si="418"/>
        <v>0.15342465753424658</v>
      </c>
      <c r="E1873" s="3">
        <f t="shared" si="419"/>
        <v>2011</v>
      </c>
      <c r="F1873" s="3">
        <f t="shared" si="420"/>
        <v>2</v>
      </c>
      <c r="G1873" s="3">
        <f t="shared" si="421"/>
        <v>26</v>
      </c>
      <c r="H1873" s="3">
        <f t="shared" si="422"/>
        <v>0</v>
      </c>
      <c r="I1873" s="3">
        <f t="shared" si="423"/>
        <v>14</v>
      </c>
      <c r="J1873" s="3">
        <f t="shared" si="424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25"/>
        <v>YES</v>
      </c>
      <c r="Q1873" t="str">
        <f t="shared" si="426"/>
        <v>NO</v>
      </c>
      <c r="R1873" t="str">
        <f t="shared" si="427"/>
        <v>NO</v>
      </c>
      <c r="S1873">
        <v>759</v>
      </c>
      <c r="T1873" t="s">
        <v>14</v>
      </c>
      <c r="U1873" t="str">
        <f t="shared" si="428"/>
        <v>Massachusetts Ave</v>
      </c>
      <c r="W1873" t="str">
        <f t="shared" si="429"/>
        <v/>
      </c>
      <c r="X1873" t="str">
        <f>IF(ISBLANK(S1873),"Intersection","Non-Intersection")</f>
        <v>Non-Intersection</v>
      </c>
      <c r="Y1873" t="s">
        <v>2899</v>
      </c>
      <c r="Z1873" t="str">
        <f t="shared" si="43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17"/>
        <v>40544</v>
      </c>
      <c r="D1874" s="4">
        <f t="shared" si="418"/>
        <v>0.15342465753424658</v>
      </c>
      <c r="E1874" s="3">
        <f t="shared" si="419"/>
        <v>2011</v>
      </c>
      <c r="F1874" s="3">
        <f t="shared" si="420"/>
        <v>2</v>
      </c>
      <c r="G1874" s="3">
        <f t="shared" si="421"/>
        <v>26</v>
      </c>
      <c r="H1874" s="3">
        <f t="shared" si="422"/>
        <v>22</v>
      </c>
      <c r="I1874" s="3">
        <f t="shared" si="423"/>
        <v>30</v>
      </c>
      <c r="J1874" s="3">
        <f t="shared" si="424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25"/>
        <v>YES</v>
      </c>
      <c r="Q1874" t="str">
        <f t="shared" si="426"/>
        <v>NO</v>
      </c>
      <c r="R1874" t="str">
        <f t="shared" si="427"/>
        <v>NO</v>
      </c>
      <c r="T1874" t="s">
        <v>142</v>
      </c>
      <c r="U1874" t="str">
        <f t="shared" si="428"/>
        <v>Huron Ave</v>
      </c>
      <c r="V1874" t="s">
        <v>1777</v>
      </c>
      <c r="W1874" t="str">
        <f t="shared" si="429"/>
        <v>Larch Rd</v>
      </c>
      <c r="X1874" t="str">
        <f>IF(ISBLANK(S1874),"Intersection","Non-Intersection")</f>
        <v>Intersection</v>
      </c>
      <c r="Y1874" t="s">
        <v>1778</v>
      </c>
      <c r="Z1874" t="str">
        <f t="shared" si="43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17"/>
        <v>40544</v>
      </c>
      <c r="D1875" s="4">
        <f t="shared" si="418"/>
        <v>0.15342465753424658</v>
      </c>
      <c r="E1875" s="3">
        <f t="shared" si="419"/>
        <v>2011</v>
      </c>
      <c r="F1875" s="3">
        <f t="shared" si="420"/>
        <v>2</v>
      </c>
      <c r="G1875" s="3">
        <f t="shared" si="421"/>
        <v>26</v>
      </c>
      <c r="H1875" s="3">
        <f t="shared" si="422"/>
        <v>13</v>
      </c>
      <c r="I1875" s="3">
        <f t="shared" si="423"/>
        <v>9</v>
      </c>
      <c r="J1875" s="3">
        <f t="shared" si="424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25"/>
        <v>YES</v>
      </c>
      <c r="Q1875" t="str">
        <f t="shared" si="426"/>
        <v>NO</v>
      </c>
      <c r="R1875" t="str">
        <f t="shared" si="427"/>
        <v>NO</v>
      </c>
      <c r="T1875" t="s">
        <v>209</v>
      </c>
      <c r="U1875" t="str">
        <f t="shared" si="428"/>
        <v>Binney St</v>
      </c>
      <c r="V1875" t="s">
        <v>760</v>
      </c>
      <c r="W1875" t="str">
        <f t="shared" si="429"/>
        <v>Fulkerson St</v>
      </c>
      <c r="X1875" t="str">
        <f>IF(ISBLANK(S1875),"Intersection","Non-Intersection")</f>
        <v>Intersection</v>
      </c>
      <c r="Y1875" t="s">
        <v>1532</v>
      </c>
      <c r="Z1875" t="str">
        <f t="shared" si="43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17"/>
        <v>40544</v>
      </c>
      <c r="D1876" s="4">
        <f t="shared" si="418"/>
        <v>0.15342465753424658</v>
      </c>
      <c r="E1876" s="3">
        <f t="shared" si="419"/>
        <v>2011</v>
      </c>
      <c r="F1876" s="3">
        <f t="shared" si="420"/>
        <v>2</v>
      </c>
      <c r="G1876" s="3">
        <f t="shared" si="421"/>
        <v>26</v>
      </c>
      <c r="H1876" s="3">
        <f t="shared" si="422"/>
        <v>22</v>
      </c>
      <c r="I1876" s="3">
        <f t="shared" si="423"/>
        <v>27</v>
      </c>
      <c r="J1876" s="3">
        <f t="shared" si="424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25"/>
        <v>YES</v>
      </c>
      <c r="Q1876" t="str">
        <f t="shared" si="426"/>
        <v>NO</v>
      </c>
      <c r="R1876" t="str">
        <f t="shared" si="427"/>
        <v>NO</v>
      </c>
      <c r="T1876" t="s">
        <v>326</v>
      </c>
      <c r="U1876" t="str">
        <f t="shared" si="428"/>
        <v>Jfk St</v>
      </c>
      <c r="V1876" t="s">
        <v>198</v>
      </c>
      <c r="W1876" t="str">
        <f t="shared" si="429"/>
        <v>Mount Auburn St</v>
      </c>
      <c r="X1876" t="str">
        <f>IF(ISBLANK(S1876),"Intersection","Non-Intersection")</f>
        <v>Intersection</v>
      </c>
      <c r="Y1876" t="s">
        <v>385</v>
      </c>
      <c r="Z1876" t="str">
        <f t="shared" si="43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17"/>
        <v>40544</v>
      </c>
      <c r="D1877" s="4">
        <f t="shared" si="418"/>
        <v>0.15616438356164383</v>
      </c>
      <c r="E1877" s="3">
        <f t="shared" si="419"/>
        <v>2011</v>
      </c>
      <c r="F1877" s="3">
        <f t="shared" si="420"/>
        <v>2</v>
      </c>
      <c r="G1877" s="3">
        <f t="shared" si="421"/>
        <v>27</v>
      </c>
      <c r="H1877" s="3">
        <f t="shared" si="422"/>
        <v>3</v>
      </c>
      <c r="I1877" s="3">
        <f t="shared" si="423"/>
        <v>20</v>
      </c>
      <c r="J1877" s="3">
        <f t="shared" si="424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25"/>
        <v>YES</v>
      </c>
      <c r="Q1877" t="str">
        <f t="shared" si="426"/>
        <v>NO</v>
      </c>
      <c r="R1877" t="str">
        <f t="shared" si="427"/>
        <v>NO</v>
      </c>
      <c r="S1877">
        <v>515</v>
      </c>
      <c r="T1877" t="s">
        <v>186</v>
      </c>
      <c r="U1877" t="str">
        <f t="shared" si="428"/>
        <v>Concord Ave</v>
      </c>
      <c r="V1877" t="s">
        <v>710</v>
      </c>
      <c r="W1877" t="str">
        <f t="shared" si="429"/>
        <v>Fresh Pond Pky</v>
      </c>
      <c r="X1877" t="str">
        <f>IF(ISBLANK(S1877),"Intersection","Non-Intersection")</f>
        <v>Non-Intersection</v>
      </c>
      <c r="Y1877" t="s">
        <v>2901</v>
      </c>
      <c r="Z1877" t="str">
        <f t="shared" si="43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17"/>
        <v>40544</v>
      </c>
      <c r="D1878" s="4">
        <f t="shared" si="418"/>
        <v>0.15616438356164383</v>
      </c>
      <c r="E1878" s="3">
        <f t="shared" si="419"/>
        <v>2011</v>
      </c>
      <c r="F1878" s="3">
        <f t="shared" si="420"/>
        <v>2</v>
      </c>
      <c r="G1878" s="3">
        <f t="shared" si="421"/>
        <v>27</v>
      </c>
      <c r="H1878" s="3">
        <f t="shared" si="422"/>
        <v>9</v>
      </c>
      <c r="I1878" s="3">
        <f t="shared" si="423"/>
        <v>0</v>
      </c>
      <c r="J1878" s="3">
        <f t="shared" si="424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25"/>
        <v>YES</v>
      </c>
      <c r="Q1878" t="str">
        <f t="shared" si="426"/>
        <v>NO</v>
      </c>
      <c r="R1878" t="str">
        <f t="shared" si="427"/>
        <v>NO</v>
      </c>
      <c r="T1878" t="s">
        <v>74</v>
      </c>
      <c r="U1878" t="str">
        <f t="shared" si="428"/>
        <v>Hampshire St</v>
      </c>
      <c r="V1878" t="s">
        <v>101</v>
      </c>
      <c r="W1878" t="str">
        <f t="shared" si="429"/>
        <v>Columbia St</v>
      </c>
      <c r="X1878" t="str">
        <f>IF(ISBLANK(S1878),"Intersection","Non-Intersection")</f>
        <v>Intersection</v>
      </c>
      <c r="Y1878" t="s">
        <v>939</v>
      </c>
      <c r="Z1878" t="str">
        <f t="shared" si="43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17"/>
        <v>40544</v>
      </c>
      <c r="D1879" s="4">
        <f t="shared" si="418"/>
        <v>0.15616438356164383</v>
      </c>
      <c r="E1879" s="3">
        <f t="shared" si="419"/>
        <v>2011</v>
      </c>
      <c r="F1879" s="3">
        <f t="shared" si="420"/>
        <v>2</v>
      </c>
      <c r="G1879" s="3">
        <f t="shared" si="421"/>
        <v>27</v>
      </c>
      <c r="H1879" s="3">
        <f t="shared" si="422"/>
        <v>12</v>
      </c>
      <c r="I1879" s="3">
        <f t="shared" si="423"/>
        <v>53</v>
      </c>
      <c r="J1879" s="3">
        <f t="shared" si="424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25"/>
        <v>YES</v>
      </c>
      <c r="Q1879" t="str">
        <f t="shared" si="426"/>
        <v>NO</v>
      </c>
      <c r="R1879" t="str">
        <f t="shared" si="427"/>
        <v>NO</v>
      </c>
      <c r="T1879" t="s">
        <v>2903</v>
      </c>
      <c r="U1879" t="str">
        <f t="shared" si="428"/>
        <v>Rockwell St</v>
      </c>
      <c r="V1879" t="s">
        <v>178</v>
      </c>
      <c r="W1879" t="str">
        <f t="shared" si="429"/>
        <v>Pleasant St</v>
      </c>
      <c r="X1879" t="str">
        <f>IF(ISBLANK(S1879),"Intersection","Non-Intersection")</f>
        <v>Intersection</v>
      </c>
      <c r="Y1879" t="s">
        <v>2904</v>
      </c>
      <c r="Z1879" t="str">
        <f t="shared" si="43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17"/>
        <v>40544</v>
      </c>
      <c r="D1880" s="4">
        <f t="shared" si="418"/>
        <v>0.15616438356164383</v>
      </c>
      <c r="E1880" s="3">
        <f t="shared" si="419"/>
        <v>2011</v>
      </c>
      <c r="F1880" s="3">
        <f t="shared" si="420"/>
        <v>2</v>
      </c>
      <c r="G1880" s="3">
        <f t="shared" si="421"/>
        <v>27</v>
      </c>
      <c r="H1880" s="3">
        <f t="shared" si="422"/>
        <v>12</v>
      </c>
      <c r="I1880" s="3">
        <f t="shared" si="423"/>
        <v>59</v>
      </c>
      <c r="J1880" s="3">
        <f t="shared" si="424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25"/>
        <v>YES</v>
      </c>
      <c r="Q1880" t="str">
        <f t="shared" si="426"/>
        <v>NO</v>
      </c>
      <c r="R1880" t="str">
        <f t="shared" si="427"/>
        <v>NO</v>
      </c>
      <c r="S1880">
        <v>2353</v>
      </c>
      <c r="T1880" t="s">
        <v>14</v>
      </c>
      <c r="U1880" t="str">
        <f t="shared" si="428"/>
        <v>Massachusetts Ave</v>
      </c>
      <c r="W1880" t="str">
        <f t="shared" si="429"/>
        <v/>
      </c>
      <c r="X1880" t="str">
        <f>IF(ISBLANK(S1880),"Intersection","Non-Intersection")</f>
        <v>Non-Intersection</v>
      </c>
      <c r="Y1880" t="s">
        <v>2906</v>
      </c>
      <c r="Z1880" t="str">
        <f t="shared" si="43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17"/>
        <v>40544</v>
      </c>
      <c r="D1881" s="4">
        <f t="shared" si="418"/>
        <v>0.15616438356164383</v>
      </c>
      <c r="E1881" s="3">
        <f t="shared" si="419"/>
        <v>2011</v>
      </c>
      <c r="F1881" s="3">
        <f t="shared" si="420"/>
        <v>2</v>
      </c>
      <c r="G1881" s="3">
        <f t="shared" si="421"/>
        <v>27</v>
      </c>
      <c r="H1881" s="3">
        <f t="shared" si="422"/>
        <v>10</v>
      </c>
      <c r="I1881" s="3">
        <f t="shared" si="423"/>
        <v>15</v>
      </c>
      <c r="J1881" s="3">
        <f t="shared" si="424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25"/>
        <v>YES</v>
      </c>
      <c r="Q1881" t="str">
        <f t="shared" si="426"/>
        <v>NO</v>
      </c>
      <c r="R1881" t="str">
        <f t="shared" si="427"/>
        <v>NO</v>
      </c>
      <c r="S1881">
        <v>64</v>
      </c>
      <c r="T1881" t="s">
        <v>166</v>
      </c>
      <c r="U1881" t="str">
        <f t="shared" si="428"/>
        <v>Oxford Ave</v>
      </c>
      <c r="W1881" t="str">
        <f t="shared" si="429"/>
        <v/>
      </c>
      <c r="X1881" t="str">
        <f>IF(ISBLANK(S1881),"Intersection","Non-Intersection")</f>
        <v>Non-Intersection</v>
      </c>
      <c r="Y1881" t="s">
        <v>2908</v>
      </c>
      <c r="Z1881" t="str">
        <f t="shared" si="43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17"/>
        <v>40544</v>
      </c>
      <c r="D1882" s="4">
        <f t="shared" si="418"/>
        <v>0.15616438356164383</v>
      </c>
      <c r="E1882" s="3">
        <f t="shared" si="419"/>
        <v>2011</v>
      </c>
      <c r="F1882" s="3">
        <f t="shared" si="420"/>
        <v>2</v>
      </c>
      <c r="G1882" s="3">
        <f t="shared" si="421"/>
        <v>27</v>
      </c>
      <c r="H1882" s="3">
        <f t="shared" si="422"/>
        <v>12</v>
      </c>
      <c r="I1882" s="3">
        <f t="shared" si="423"/>
        <v>24</v>
      </c>
      <c r="J1882" s="3">
        <f t="shared" si="424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25"/>
        <v>YES</v>
      </c>
      <c r="Q1882" t="str">
        <f t="shared" si="426"/>
        <v>NO</v>
      </c>
      <c r="R1882" t="str">
        <f t="shared" si="427"/>
        <v>NO</v>
      </c>
      <c r="S1882">
        <v>1200</v>
      </c>
      <c r="T1882" t="s">
        <v>19</v>
      </c>
      <c r="U1882" t="str">
        <f t="shared" si="428"/>
        <v>Cambridge St</v>
      </c>
      <c r="W1882" t="str">
        <f t="shared" si="429"/>
        <v/>
      </c>
      <c r="X1882" t="str">
        <f>IF(ISBLANK(S1882),"Intersection","Non-Intersection")</f>
        <v>Non-Intersection</v>
      </c>
      <c r="Y1882" t="s">
        <v>2910</v>
      </c>
      <c r="Z1882" t="str">
        <f t="shared" si="43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17"/>
        <v>40544</v>
      </c>
      <c r="D1883" s="4">
        <f t="shared" si="418"/>
        <v>0.15616438356164383</v>
      </c>
      <c r="E1883" s="3">
        <f t="shared" si="419"/>
        <v>2011</v>
      </c>
      <c r="F1883" s="3">
        <f t="shared" si="420"/>
        <v>2</v>
      </c>
      <c r="G1883" s="3">
        <f t="shared" si="421"/>
        <v>27</v>
      </c>
      <c r="H1883" s="3">
        <f t="shared" si="422"/>
        <v>21</v>
      </c>
      <c r="I1883" s="3">
        <f t="shared" si="423"/>
        <v>20</v>
      </c>
      <c r="J1883" s="3">
        <f t="shared" si="424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25"/>
        <v>YES</v>
      </c>
      <c r="Q1883" t="str">
        <f t="shared" si="426"/>
        <v>NO</v>
      </c>
      <c r="R1883" t="str">
        <f t="shared" si="427"/>
        <v>NO</v>
      </c>
      <c r="T1883" t="s">
        <v>342</v>
      </c>
      <c r="U1883" t="str">
        <f t="shared" si="428"/>
        <v>Prospect St</v>
      </c>
      <c r="V1883" t="s">
        <v>133</v>
      </c>
      <c r="W1883" t="str">
        <f t="shared" si="429"/>
        <v>Harvard St</v>
      </c>
      <c r="X1883" t="str">
        <f>IF(ISBLANK(S1883),"Intersection","Non-Intersection")</f>
        <v>Intersection</v>
      </c>
      <c r="Y1883" t="s">
        <v>884</v>
      </c>
      <c r="Z1883" t="str">
        <f t="shared" si="43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17"/>
        <v>40544</v>
      </c>
      <c r="D1884" s="4">
        <f t="shared" si="418"/>
        <v>0.15890410958904111</v>
      </c>
      <c r="E1884" s="3">
        <f t="shared" si="419"/>
        <v>2011</v>
      </c>
      <c r="F1884" s="3">
        <f t="shared" si="420"/>
        <v>2</v>
      </c>
      <c r="G1884" s="3">
        <f t="shared" si="421"/>
        <v>28</v>
      </c>
      <c r="H1884" s="3">
        <f t="shared" si="422"/>
        <v>1</v>
      </c>
      <c r="I1884" s="3">
        <f t="shared" si="423"/>
        <v>25</v>
      </c>
      <c r="J1884" s="3">
        <f t="shared" si="424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25"/>
        <v>YES</v>
      </c>
      <c r="Q1884" t="str">
        <f t="shared" si="426"/>
        <v>NO</v>
      </c>
      <c r="R1884" t="str">
        <f t="shared" si="427"/>
        <v>NO</v>
      </c>
      <c r="T1884" t="s">
        <v>74</v>
      </c>
      <c r="U1884" t="str">
        <f t="shared" si="428"/>
        <v>Hampshire St</v>
      </c>
      <c r="V1884" t="s">
        <v>342</v>
      </c>
      <c r="W1884" t="str">
        <f t="shared" si="429"/>
        <v>Prospect St</v>
      </c>
      <c r="X1884" t="str">
        <f>IF(ISBLANK(S1884),"Intersection","Non-Intersection")</f>
        <v>Intersection</v>
      </c>
      <c r="Y1884" t="s">
        <v>462</v>
      </c>
      <c r="Z1884" t="str">
        <f t="shared" si="43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17"/>
        <v>40544</v>
      </c>
      <c r="D1885" s="4">
        <f t="shared" si="418"/>
        <v>0.15890410958904111</v>
      </c>
      <c r="E1885" s="3">
        <f t="shared" si="419"/>
        <v>2011</v>
      </c>
      <c r="F1885" s="3">
        <f t="shared" si="420"/>
        <v>2</v>
      </c>
      <c r="G1885" s="3">
        <f t="shared" si="421"/>
        <v>28</v>
      </c>
      <c r="H1885" s="3">
        <f t="shared" si="422"/>
        <v>17</v>
      </c>
      <c r="I1885" s="3">
        <f t="shared" si="423"/>
        <v>12</v>
      </c>
      <c r="J1885" s="3">
        <f t="shared" si="424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25"/>
        <v>YES</v>
      </c>
      <c r="Q1885" t="str">
        <f t="shared" si="426"/>
        <v>YES</v>
      </c>
      <c r="R1885" t="str">
        <f t="shared" si="427"/>
        <v>NO</v>
      </c>
      <c r="S1885">
        <v>872</v>
      </c>
      <c r="T1885" t="s">
        <v>14</v>
      </c>
      <c r="U1885" t="str">
        <f t="shared" si="428"/>
        <v>Massachusetts Ave</v>
      </c>
      <c r="V1885" t="s">
        <v>2158</v>
      </c>
      <c r="W1885" t="str">
        <f t="shared" si="429"/>
        <v>Lee St</v>
      </c>
      <c r="X1885" t="str">
        <f>IF(ISBLANK(S1885),"Intersection","Non-Intersection")</f>
        <v>Non-Intersection</v>
      </c>
      <c r="Y1885" t="s">
        <v>2912</v>
      </c>
      <c r="Z1885" t="str">
        <f t="shared" si="43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17"/>
        <v>40544</v>
      </c>
      <c r="D1886" s="4">
        <f t="shared" si="418"/>
        <v>0.15890410958904111</v>
      </c>
      <c r="E1886" s="3">
        <f t="shared" si="419"/>
        <v>2011</v>
      </c>
      <c r="F1886" s="3">
        <f t="shared" si="420"/>
        <v>2</v>
      </c>
      <c r="G1886" s="3">
        <f t="shared" si="421"/>
        <v>28</v>
      </c>
      <c r="H1886" s="3">
        <f t="shared" si="422"/>
        <v>10</v>
      </c>
      <c r="I1886" s="3">
        <f t="shared" si="423"/>
        <v>9</v>
      </c>
      <c r="J1886" s="3">
        <f t="shared" si="424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25"/>
        <v>YES</v>
      </c>
      <c r="Q1886" t="str">
        <f t="shared" si="426"/>
        <v>NO</v>
      </c>
      <c r="R1886" t="str">
        <f t="shared" si="427"/>
        <v>NO</v>
      </c>
      <c r="T1886" t="s">
        <v>166</v>
      </c>
      <c r="U1886" t="str">
        <f t="shared" si="428"/>
        <v>Oxford Ave</v>
      </c>
      <c r="V1886" t="s">
        <v>238</v>
      </c>
      <c r="W1886" t="str">
        <f t="shared" si="429"/>
        <v>Kirkland St</v>
      </c>
      <c r="X1886" t="str">
        <f>IF(ISBLANK(S1886),"Intersection","Non-Intersection")</f>
        <v>Intersection</v>
      </c>
      <c r="Y1886" t="s">
        <v>2914</v>
      </c>
      <c r="Z1886" t="str">
        <f t="shared" si="43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17"/>
        <v>40544</v>
      </c>
      <c r="D1887" s="4">
        <f t="shared" si="418"/>
        <v>0.16164383561643836</v>
      </c>
      <c r="E1887" s="3">
        <f t="shared" si="419"/>
        <v>2011</v>
      </c>
      <c r="F1887" s="3">
        <f t="shared" si="420"/>
        <v>3</v>
      </c>
      <c r="G1887" s="3">
        <f t="shared" si="421"/>
        <v>1</v>
      </c>
      <c r="H1887" s="3">
        <f t="shared" si="422"/>
        <v>9</v>
      </c>
      <c r="I1887" s="3">
        <f t="shared" si="423"/>
        <v>45</v>
      </c>
      <c r="J1887" s="3">
        <f t="shared" si="424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25"/>
        <v>YES</v>
      </c>
      <c r="Q1887" t="str">
        <f t="shared" si="426"/>
        <v>YES</v>
      </c>
      <c r="R1887" t="str">
        <f t="shared" si="427"/>
        <v>NO</v>
      </c>
      <c r="S1887">
        <v>2469</v>
      </c>
      <c r="T1887" t="s">
        <v>14</v>
      </c>
      <c r="U1887" t="str">
        <f t="shared" si="428"/>
        <v>Massachusetts Ave</v>
      </c>
      <c r="W1887" t="str">
        <f t="shared" si="429"/>
        <v/>
      </c>
      <c r="X1887" t="str">
        <f>IF(ISBLANK(S1887),"Intersection","Non-Intersection")</f>
        <v>Non-Intersection</v>
      </c>
      <c r="Y1887" t="s">
        <v>2916</v>
      </c>
      <c r="Z1887" t="str">
        <f t="shared" si="43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17"/>
        <v>40544</v>
      </c>
      <c r="D1888" s="4">
        <f t="shared" si="418"/>
        <v>0.16164383561643836</v>
      </c>
      <c r="E1888" s="3">
        <f t="shared" si="419"/>
        <v>2011</v>
      </c>
      <c r="F1888" s="3">
        <f t="shared" si="420"/>
        <v>3</v>
      </c>
      <c r="G1888" s="3">
        <f t="shared" si="421"/>
        <v>1</v>
      </c>
      <c r="H1888" s="3">
        <f t="shared" si="422"/>
        <v>11</v>
      </c>
      <c r="I1888" s="3">
        <f t="shared" si="423"/>
        <v>4</v>
      </c>
      <c r="J1888" s="3">
        <f t="shared" si="424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25"/>
        <v>YES</v>
      </c>
      <c r="Q1888" t="str">
        <f t="shared" si="426"/>
        <v>YES</v>
      </c>
      <c r="R1888" t="str">
        <f t="shared" si="427"/>
        <v>NO</v>
      </c>
      <c r="S1888">
        <v>50</v>
      </c>
      <c r="T1888" t="s">
        <v>202</v>
      </c>
      <c r="U1888" t="str">
        <f t="shared" si="428"/>
        <v>Vassar St</v>
      </c>
      <c r="W1888" t="str">
        <f t="shared" si="429"/>
        <v/>
      </c>
      <c r="X1888" t="str">
        <f>IF(ISBLANK(S1888),"Intersection","Non-Intersection")</f>
        <v>Non-Intersection</v>
      </c>
      <c r="Y1888" t="s">
        <v>2917</v>
      </c>
      <c r="Z1888" t="str">
        <f t="shared" si="43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17"/>
        <v>40544</v>
      </c>
      <c r="D1889" s="4">
        <f t="shared" si="418"/>
        <v>0.16164383561643836</v>
      </c>
      <c r="E1889" s="3">
        <f t="shared" si="419"/>
        <v>2011</v>
      </c>
      <c r="F1889" s="3">
        <f t="shared" si="420"/>
        <v>3</v>
      </c>
      <c r="G1889" s="3">
        <f t="shared" si="421"/>
        <v>1</v>
      </c>
      <c r="H1889" s="3">
        <f t="shared" si="422"/>
        <v>13</v>
      </c>
      <c r="I1889" s="3">
        <f t="shared" si="423"/>
        <v>44</v>
      </c>
      <c r="J1889" s="3">
        <f t="shared" si="424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25"/>
        <v>YES</v>
      </c>
      <c r="Q1889" t="str">
        <f t="shared" si="426"/>
        <v>NO</v>
      </c>
      <c r="R1889" t="str">
        <f t="shared" si="427"/>
        <v>NO</v>
      </c>
      <c r="S1889">
        <v>49</v>
      </c>
      <c r="T1889" t="s">
        <v>268</v>
      </c>
      <c r="U1889" t="str">
        <f t="shared" si="428"/>
        <v>White St</v>
      </c>
      <c r="W1889" t="str">
        <f t="shared" si="429"/>
        <v/>
      </c>
      <c r="X1889" t="str">
        <f>IF(ISBLANK(S1889),"Intersection","Non-Intersection")</f>
        <v>Non-Intersection</v>
      </c>
      <c r="Y1889" t="s">
        <v>270</v>
      </c>
      <c r="Z1889" t="str">
        <f t="shared" si="43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31">EOMONTH(B1890,MONTH(B1890)*-1)+1</f>
        <v>40544</v>
      </c>
      <c r="D1890" s="4">
        <f t="shared" ref="D1890:D1950" si="432">YEARFRAC(C1890,B1890,1)</f>
        <v>0.16164383561643836</v>
      </c>
      <c r="E1890" s="3">
        <f t="shared" ref="E1890:E1950" si="433">YEAR(B1890)</f>
        <v>2011</v>
      </c>
      <c r="F1890" s="3">
        <f t="shared" ref="F1890:F1950" si="434">MONTH(B1890)</f>
        <v>3</v>
      </c>
      <c r="G1890" s="3">
        <f t="shared" ref="G1890:G1950" si="435">DAY(B1890)</f>
        <v>1</v>
      </c>
      <c r="H1890" s="3">
        <f t="shared" ref="H1890:H1950" si="436">HOUR(B1890)</f>
        <v>20</v>
      </c>
      <c r="I1890" s="3">
        <f t="shared" ref="I1890:I1950" si="437">MINUTE(B1890)</f>
        <v>0</v>
      </c>
      <c r="J1890" s="3">
        <f t="shared" ref="J1890:J1950" si="43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39">IF(OR(N1890="Auto",O1890="Auto"),"YES",IF(OR(N1890="Taxi",O1890="Taxi"),"YES",IF(OR(N1890="Van",O1890="Van"),"YES",IF(OR(N1890="Truck",O1890="Truck"),"YES","NO"))))</f>
        <v>YES</v>
      </c>
      <c r="Q1890" t="str">
        <f t="shared" ref="Q1890:Q1950" si="440">IF(OR(N1890="Bicycle",O1890="Bicycle"),"YES","NO")</f>
        <v>NO</v>
      </c>
      <c r="R1890" t="str">
        <f t="shared" ref="R1890:R1950" si="441">IF(OR(N1890="Pedestrian",O1890="Pedestrian"),"YES","NO")</f>
        <v>NO</v>
      </c>
      <c r="S1890">
        <v>120</v>
      </c>
      <c r="T1890" t="s">
        <v>192</v>
      </c>
      <c r="U1890" t="str">
        <f t="shared" si="428"/>
        <v>Hancock St</v>
      </c>
      <c r="W1890" t="str">
        <f t="shared" si="429"/>
        <v/>
      </c>
      <c r="X1890" t="str">
        <f>IF(ISBLANK(S1890),"Intersection","Non-Intersection")</f>
        <v>Non-Intersection</v>
      </c>
      <c r="Y1890" t="s">
        <v>2919</v>
      </c>
      <c r="Z1890" t="str">
        <f t="shared" si="43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31"/>
        <v>40544</v>
      </c>
      <c r="D1891" s="4">
        <f t="shared" si="432"/>
        <v>0.16164383561643836</v>
      </c>
      <c r="E1891" s="3">
        <f t="shared" si="433"/>
        <v>2011</v>
      </c>
      <c r="F1891" s="3">
        <f t="shared" si="434"/>
        <v>3</v>
      </c>
      <c r="G1891" s="3">
        <f t="shared" si="435"/>
        <v>1</v>
      </c>
      <c r="H1891" s="3">
        <f t="shared" si="436"/>
        <v>14</v>
      </c>
      <c r="I1891" s="3">
        <f t="shared" si="437"/>
        <v>4</v>
      </c>
      <c r="J1891" s="3">
        <f t="shared" si="43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39"/>
        <v>YES</v>
      </c>
      <c r="Q1891" t="str">
        <f t="shared" si="440"/>
        <v>NO</v>
      </c>
      <c r="R1891" t="str">
        <f t="shared" si="441"/>
        <v>NO</v>
      </c>
      <c r="S1891">
        <v>168</v>
      </c>
      <c r="T1891" t="s">
        <v>170</v>
      </c>
      <c r="U1891" t="str">
        <f t="shared" si="428"/>
        <v>Alewife Brook Pky</v>
      </c>
      <c r="W1891" t="str">
        <f t="shared" si="429"/>
        <v/>
      </c>
      <c r="X1891" t="str">
        <f>IF(ISBLANK(S1891),"Intersection","Non-Intersection")</f>
        <v>Non-Intersection</v>
      </c>
      <c r="Y1891" t="s">
        <v>2921</v>
      </c>
      <c r="Z1891" t="str">
        <f t="shared" si="43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31"/>
        <v>40544</v>
      </c>
      <c r="D1892" s="4">
        <f t="shared" si="432"/>
        <v>0.16164383561643836</v>
      </c>
      <c r="E1892" s="3">
        <f t="shared" si="433"/>
        <v>2011</v>
      </c>
      <c r="F1892" s="3">
        <f t="shared" si="434"/>
        <v>3</v>
      </c>
      <c r="G1892" s="3">
        <f t="shared" si="435"/>
        <v>1</v>
      </c>
      <c r="H1892" s="3">
        <f t="shared" si="436"/>
        <v>13</v>
      </c>
      <c r="I1892" s="3">
        <f t="shared" si="437"/>
        <v>5</v>
      </c>
      <c r="J1892" s="3">
        <f t="shared" si="43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39"/>
        <v>YES</v>
      </c>
      <c r="Q1892" t="str">
        <f t="shared" si="440"/>
        <v>NO</v>
      </c>
      <c r="R1892" t="str">
        <f t="shared" si="441"/>
        <v>NO</v>
      </c>
      <c r="T1892" t="s">
        <v>105</v>
      </c>
      <c r="U1892" t="str">
        <f t="shared" si="428"/>
        <v>Broadway</v>
      </c>
      <c r="V1892" t="s">
        <v>796</v>
      </c>
      <c r="W1892" t="str">
        <f t="shared" si="429"/>
        <v>Portland St</v>
      </c>
      <c r="X1892" t="str">
        <f>IF(ISBLANK(S1892),"Intersection","Non-Intersection")</f>
        <v>Intersection</v>
      </c>
      <c r="Y1892" t="s">
        <v>2561</v>
      </c>
      <c r="Z1892" t="str">
        <f t="shared" si="43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31"/>
        <v>40544</v>
      </c>
      <c r="D1893" s="4">
        <f t="shared" si="432"/>
        <v>0.16438356164383561</v>
      </c>
      <c r="E1893" s="3">
        <f t="shared" si="433"/>
        <v>2011</v>
      </c>
      <c r="F1893" s="3">
        <f t="shared" si="434"/>
        <v>3</v>
      </c>
      <c r="G1893" s="3">
        <f t="shared" si="435"/>
        <v>2</v>
      </c>
      <c r="H1893" s="3">
        <f t="shared" si="436"/>
        <v>18</v>
      </c>
      <c r="I1893" s="3">
        <f t="shared" si="437"/>
        <v>55</v>
      </c>
      <c r="J1893" s="3">
        <f t="shared" si="43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39"/>
        <v>YES</v>
      </c>
      <c r="Q1893" t="str">
        <f t="shared" si="440"/>
        <v>NO</v>
      </c>
      <c r="R1893" t="str">
        <f t="shared" si="441"/>
        <v>NO</v>
      </c>
      <c r="T1893" t="s">
        <v>479</v>
      </c>
      <c r="U1893" t="str">
        <f t="shared" si="428"/>
        <v>Callender St</v>
      </c>
      <c r="V1893" t="s">
        <v>1795</v>
      </c>
      <c r="W1893" t="str">
        <f t="shared" si="429"/>
        <v>Hews St</v>
      </c>
      <c r="X1893" t="str">
        <f>IF(ISBLANK(S1893),"Intersection","Non-Intersection")</f>
        <v>Intersection</v>
      </c>
      <c r="Y1893" t="s">
        <v>2923</v>
      </c>
      <c r="Z1893" t="str">
        <f t="shared" si="43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31"/>
        <v>40544</v>
      </c>
      <c r="D1894" s="4">
        <f t="shared" si="432"/>
        <v>0.16438356164383561</v>
      </c>
      <c r="E1894" s="3">
        <f t="shared" si="433"/>
        <v>2011</v>
      </c>
      <c r="F1894" s="3">
        <f t="shared" si="434"/>
        <v>3</v>
      </c>
      <c r="G1894" s="3">
        <f t="shared" si="435"/>
        <v>2</v>
      </c>
      <c r="H1894" s="3">
        <f t="shared" si="436"/>
        <v>12</v>
      </c>
      <c r="I1894" s="3">
        <f t="shared" si="437"/>
        <v>0</v>
      </c>
      <c r="J1894" s="3">
        <f t="shared" si="43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39"/>
        <v>YES</v>
      </c>
      <c r="Q1894" t="str">
        <f t="shared" si="440"/>
        <v>NO</v>
      </c>
      <c r="R1894" t="str">
        <f t="shared" si="441"/>
        <v>NO</v>
      </c>
      <c r="S1894">
        <v>167</v>
      </c>
      <c r="T1894" t="s">
        <v>409</v>
      </c>
      <c r="U1894" t="str">
        <f t="shared" si="428"/>
        <v>Appleton St</v>
      </c>
      <c r="W1894" t="str">
        <f t="shared" si="429"/>
        <v/>
      </c>
      <c r="X1894" t="str">
        <f>IF(ISBLANK(S1894),"Intersection","Non-Intersection")</f>
        <v>Non-Intersection</v>
      </c>
      <c r="Y1894" t="s">
        <v>2926</v>
      </c>
      <c r="Z1894" t="str">
        <f t="shared" si="43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31"/>
        <v>40544</v>
      </c>
      <c r="D1895" s="4">
        <f t="shared" si="432"/>
        <v>0.16712328767123288</v>
      </c>
      <c r="E1895" s="3">
        <f t="shared" si="433"/>
        <v>2011</v>
      </c>
      <c r="F1895" s="3">
        <f t="shared" si="434"/>
        <v>3</v>
      </c>
      <c r="G1895" s="3">
        <f t="shared" si="435"/>
        <v>3</v>
      </c>
      <c r="H1895" s="3">
        <f t="shared" si="436"/>
        <v>11</v>
      </c>
      <c r="I1895" s="3">
        <f t="shared" si="437"/>
        <v>15</v>
      </c>
      <c r="J1895" s="3">
        <f t="shared" si="43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39"/>
        <v>YES</v>
      </c>
      <c r="Q1895" t="str">
        <f t="shared" si="440"/>
        <v>NO</v>
      </c>
      <c r="R1895" t="str">
        <f t="shared" si="441"/>
        <v>YES</v>
      </c>
      <c r="S1895">
        <v>1621</v>
      </c>
      <c r="T1895" t="s">
        <v>19</v>
      </c>
      <c r="U1895" t="str">
        <f t="shared" si="428"/>
        <v>Cambridge St</v>
      </c>
      <c r="W1895" t="str">
        <f t="shared" si="429"/>
        <v/>
      </c>
      <c r="X1895" t="str">
        <f>IF(ISBLANK(S1895),"Intersection","Non-Intersection")</f>
        <v>Non-Intersection</v>
      </c>
      <c r="Y1895" t="s">
        <v>2928</v>
      </c>
      <c r="Z1895" t="str">
        <f t="shared" si="43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31"/>
        <v>40544</v>
      </c>
      <c r="D1896" s="4">
        <f t="shared" si="432"/>
        <v>0.16712328767123288</v>
      </c>
      <c r="E1896" s="3">
        <f t="shared" si="433"/>
        <v>2011</v>
      </c>
      <c r="F1896" s="3">
        <f t="shared" si="434"/>
        <v>3</v>
      </c>
      <c r="G1896" s="3">
        <f t="shared" si="435"/>
        <v>3</v>
      </c>
      <c r="H1896" s="3">
        <f t="shared" si="436"/>
        <v>13</v>
      </c>
      <c r="I1896" s="3">
        <f t="shared" si="437"/>
        <v>25</v>
      </c>
      <c r="J1896" s="3">
        <f t="shared" si="43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39"/>
        <v>YES</v>
      </c>
      <c r="Q1896" t="str">
        <f t="shared" si="440"/>
        <v>NO</v>
      </c>
      <c r="R1896" t="str">
        <f t="shared" si="441"/>
        <v>NO</v>
      </c>
      <c r="S1896">
        <v>320</v>
      </c>
      <c r="T1896" t="s">
        <v>15</v>
      </c>
      <c r="U1896" t="str">
        <f t="shared" si="428"/>
        <v>Rindge Ave</v>
      </c>
      <c r="W1896" t="str">
        <f t="shared" si="429"/>
        <v/>
      </c>
      <c r="X1896" t="str">
        <f>IF(ISBLANK(S1896),"Intersection","Non-Intersection")</f>
        <v>Non-Intersection</v>
      </c>
      <c r="Y1896" t="s">
        <v>2930</v>
      </c>
      <c r="Z1896" t="str">
        <f t="shared" si="43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31"/>
        <v>40544</v>
      </c>
      <c r="D1897" s="4">
        <f t="shared" si="432"/>
        <v>0.16712328767123288</v>
      </c>
      <c r="E1897" s="3">
        <f t="shared" si="433"/>
        <v>2011</v>
      </c>
      <c r="F1897" s="3">
        <f t="shared" si="434"/>
        <v>3</v>
      </c>
      <c r="G1897" s="3">
        <f t="shared" si="435"/>
        <v>3</v>
      </c>
      <c r="H1897" s="3">
        <f t="shared" si="436"/>
        <v>17</v>
      </c>
      <c r="I1897" s="3">
        <f t="shared" si="437"/>
        <v>4</v>
      </c>
      <c r="J1897" s="3">
        <f t="shared" si="43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39"/>
        <v>YES</v>
      </c>
      <c r="Q1897" t="str">
        <f t="shared" si="440"/>
        <v>NO</v>
      </c>
      <c r="R1897" t="str">
        <f t="shared" si="441"/>
        <v>NO</v>
      </c>
      <c r="T1897" t="s">
        <v>14</v>
      </c>
      <c r="U1897" t="str">
        <f t="shared" si="428"/>
        <v>Massachusetts Ave</v>
      </c>
      <c r="V1897" t="s">
        <v>745</v>
      </c>
      <c r="W1897" t="str">
        <f t="shared" si="429"/>
        <v>Norfolk St</v>
      </c>
      <c r="X1897" t="str">
        <f>IF(ISBLANK(S1897),"Intersection","Non-Intersection")</f>
        <v>Intersection</v>
      </c>
      <c r="Y1897" t="s">
        <v>873</v>
      </c>
      <c r="Z1897" t="str">
        <f t="shared" si="43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31"/>
        <v>40544</v>
      </c>
      <c r="D1898" s="4">
        <f t="shared" si="432"/>
        <v>0.16712328767123288</v>
      </c>
      <c r="E1898" s="3">
        <f t="shared" si="433"/>
        <v>2011</v>
      </c>
      <c r="F1898" s="3">
        <f t="shared" si="434"/>
        <v>3</v>
      </c>
      <c r="G1898" s="3">
        <f t="shared" si="435"/>
        <v>3</v>
      </c>
      <c r="H1898" s="3">
        <f t="shared" si="436"/>
        <v>15</v>
      </c>
      <c r="I1898" s="3">
        <f t="shared" si="437"/>
        <v>30</v>
      </c>
      <c r="J1898" s="3">
        <f t="shared" si="43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39"/>
        <v>YES</v>
      </c>
      <c r="Q1898" t="str">
        <f t="shared" si="440"/>
        <v>NO</v>
      </c>
      <c r="R1898" t="str">
        <f t="shared" si="441"/>
        <v>NO</v>
      </c>
      <c r="T1898" t="s">
        <v>14</v>
      </c>
      <c r="U1898" t="str">
        <f t="shared" si="428"/>
        <v>Massachusetts Ave</v>
      </c>
      <c r="V1898" t="s">
        <v>15</v>
      </c>
      <c r="W1898" t="str">
        <f t="shared" si="429"/>
        <v>Rindge Ave</v>
      </c>
      <c r="X1898" t="str">
        <f>IF(ISBLANK(S1898),"Intersection","Non-Intersection")</f>
        <v>Intersection</v>
      </c>
      <c r="Y1898" t="s">
        <v>16</v>
      </c>
      <c r="Z1898" t="str">
        <f t="shared" si="43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31"/>
        <v>40544</v>
      </c>
      <c r="D1899" s="4">
        <f t="shared" si="432"/>
        <v>0.16712328767123288</v>
      </c>
      <c r="E1899" s="3">
        <f t="shared" si="433"/>
        <v>2011</v>
      </c>
      <c r="F1899" s="3">
        <f t="shared" si="434"/>
        <v>3</v>
      </c>
      <c r="G1899" s="3">
        <f t="shared" si="435"/>
        <v>3</v>
      </c>
      <c r="H1899" s="3">
        <f t="shared" si="436"/>
        <v>15</v>
      </c>
      <c r="I1899" s="3">
        <f t="shared" si="437"/>
        <v>11</v>
      </c>
      <c r="J1899" s="3">
        <f t="shared" si="43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39"/>
        <v>YES</v>
      </c>
      <c r="Q1899" t="str">
        <f t="shared" si="440"/>
        <v>NO</v>
      </c>
      <c r="R1899" t="str">
        <f t="shared" si="441"/>
        <v>NO</v>
      </c>
      <c r="T1899" t="s">
        <v>1492</v>
      </c>
      <c r="U1899" t="str">
        <f t="shared" si="428"/>
        <v>Exeter Park</v>
      </c>
      <c r="V1899" t="s">
        <v>14</v>
      </c>
      <c r="W1899" t="str">
        <f t="shared" si="429"/>
        <v>Massachusetts Ave</v>
      </c>
      <c r="X1899" t="str">
        <f>IF(ISBLANK(S1899),"Intersection","Non-Intersection")</f>
        <v>Intersection</v>
      </c>
      <c r="Y1899" t="s">
        <v>2932</v>
      </c>
      <c r="Z1899" t="str">
        <f t="shared" si="43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31"/>
        <v>40544</v>
      </c>
      <c r="D1900" s="4">
        <f t="shared" si="432"/>
        <v>0.16986301369863013</v>
      </c>
      <c r="E1900" s="3">
        <f t="shared" si="433"/>
        <v>2011</v>
      </c>
      <c r="F1900" s="3">
        <f t="shared" si="434"/>
        <v>3</v>
      </c>
      <c r="G1900" s="3">
        <f t="shared" si="435"/>
        <v>4</v>
      </c>
      <c r="H1900" s="3">
        <f t="shared" si="436"/>
        <v>1</v>
      </c>
      <c r="I1900" s="3">
        <f t="shared" si="437"/>
        <v>5</v>
      </c>
      <c r="J1900" s="3">
        <f t="shared" si="43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39"/>
        <v>YES</v>
      </c>
      <c r="Q1900" t="str">
        <f t="shared" si="440"/>
        <v>NO</v>
      </c>
      <c r="R1900" t="str">
        <f t="shared" si="441"/>
        <v>NO</v>
      </c>
      <c r="S1900">
        <v>275</v>
      </c>
      <c r="T1900" t="s">
        <v>342</v>
      </c>
      <c r="U1900" t="str">
        <f t="shared" si="428"/>
        <v>Prospect St</v>
      </c>
      <c r="W1900" t="str">
        <f t="shared" si="429"/>
        <v/>
      </c>
      <c r="X1900" t="str">
        <f>IF(ISBLANK(S1900),"Intersection","Non-Intersection")</f>
        <v>Non-Intersection</v>
      </c>
      <c r="Y1900" t="s">
        <v>2934</v>
      </c>
      <c r="Z1900" t="str">
        <f t="shared" si="43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31"/>
        <v>40544</v>
      </c>
      <c r="D1901" s="4">
        <f t="shared" si="432"/>
        <v>0.16986301369863013</v>
      </c>
      <c r="E1901" s="3">
        <f t="shared" si="433"/>
        <v>2011</v>
      </c>
      <c r="F1901" s="3">
        <f t="shared" si="434"/>
        <v>3</v>
      </c>
      <c r="G1901" s="3">
        <f t="shared" si="435"/>
        <v>4</v>
      </c>
      <c r="H1901" s="3">
        <f t="shared" si="436"/>
        <v>17</v>
      </c>
      <c r="I1901" s="3">
        <f t="shared" si="437"/>
        <v>58</v>
      </c>
      <c r="J1901" s="3">
        <f t="shared" si="43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39"/>
        <v>YES</v>
      </c>
      <c r="Q1901" t="str">
        <f t="shared" si="440"/>
        <v>NO</v>
      </c>
      <c r="R1901" t="str">
        <f t="shared" si="441"/>
        <v>NO</v>
      </c>
      <c r="T1901" t="s">
        <v>105</v>
      </c>
      <c r="U1901" t="str">
        <f t="shared" si="428"/>
        <v>Broadway</v>
      </c>
      <c r="V1901" t="s">
        <v>104</v>
      </c>
      <c r="W1901" t="str">
        <f t="shared" si="429"/>
        <v>Inman St</v>
      </c>
      <c r="X1901" t="str">
        <f>IF(ISBLANK(S1901),"Intersection","Non-Intersection")</f>
        <v>Intersection</v>
      </c>
      <c r="Y1901" t="s">
        <v>2336</v>
      </c>
      <c r="Z1901" t="str">
        <f t="shared" si="43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31"/>
        <v>40544</v>
      </c>
      <c r="D1902" s="4">
        <f t="shared" si="432"/>
        <v>0.16986301369863013</v>
      </c>
      <c r="E1902" s="3">
        <f t="shared" si="433"/>
        <v>2011</v>
      </c>
      <c r="F1902" s="3">
        <f t="shared" si="434"/>
        <v>3</v>
      </c>
      <c r="G1902" s="3">
        <f t="shared" si="435"/>
        <v>4</v>
      </c>
      <c r="H1902" s="3">
        <f t="shared" si="436"/>
        <v>23</v>
      </c>
      <c r="I1902" s="3">
        <f t="shared" si="437"/>
        <v>25</v>
      </c>
      <c r="J1902" s="3">
        <f t="shared" si="43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39"/>
        <v>YES</v>
      </c>
      <c r="Q1902" t="str">
        <f t="shared" si="440"/>
        <v>NO</v>
      </c>
      <c r="R1902" t="str">
        <f t="shared" si="441"/>
        <v>NO</v>
      </c>
      <c r="S1902">
        <v>136</v>
      </c>
      <c r="T1902" t="s">
        <v>1502</v>
      </c>
      <c r="U1902" t="str">
        <f t="shared" si="428"/>
        <v>Gore St</v>
      </c>
      <c r="V1902" t="s">
        <v>147</v>
      </c>
      <c r="W1902" t="str">
        <f t="shared" si="429"/>
        <v>Sixth St</v>
      </c>
      <c r="X1902" t="str">
        <f>IF(ISBLANK(S1902),"Intersection","Non-Intersection")</f>
        <v>Non-Intersection</v>
      </c>
      <c r="Y1902" t="s">
        <v>2936</v>
      </c>
      <c r="Z1902" t="str">
        <f t="shared" si="43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31"/>
        <v>40544</v>
      </c>
      <c r="D1903" s="4">
        <f t="shared" si="432"/>
        <v>0.17260273972602741</v>
      </c>
      <c r="E1903" s="3">
        <f t="shared" si="433"/>
        <v>2011</v>
      </c>
      <c r="F1903" s="3">
        <f t="shared" si="434"/>
        <v>3</v>
      </c>
      <c r="G1903" s="3">
        <f t="shared" si="435"/>
        <v>5</v>
      </c>
      <c r="H1903" s="3">
        <f t="shared" si="436"/>
        <v>1</v>
      </c>
      <c r="I1903" s="3">
        <f t="shared" si="437"/>
        <v>30</v>
      </c>
      <c r="J1903" s="3">
        <f t="shared" si="43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39"/>
        <v>YES</v>
      </c>
      <c r="Q1903" t="str">
        <f t="shared" si="440"/>
        <v>NO</v>
      </c>
      <c r="R1903" t="str">
        <f t="shared" si="441"/>
        <v>NO</v>
      </c>
      <c r="S1903">
        <v>16</v>
      </c>
      <c r="T1903" t="s">
        <v>634</v>
      </c>
      <c r="U1903" t="str">
        <f t="shared" si="428"/>
        <v>Chauncy St</v>
      </c>
      <c r="W1903" t="str">
        <f t="shared" si="429"/>
        <v/>
      </c>
      <c r="X1903" t="str">
        <f>IF(ISBLANK(S1903),"Intersection","Non-Intersection")</f>
        <v>Non-Intersection</v>
      </c>
      <c r="Y1903" t="s">
        <v>2938</v>
      </c>
      <c r="Z1903" t="str">
        <f t="shared" si="43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31"/>
        <v>40544</v>
      </c>
      <c r="D1904" s="4">
        <f t="shared" si="432"/>
        <v>0.17260273972602741</v>
      </c>
      <c r="E1904" s="3">
        <f t="shared" si="433"/>
        <v>2011</v>
      </c>
      <c r="F1904" s="3">
        <f t="shared" si="434"/>
        <v>3</v>
      </c>
      <c r="G1904" s="3">
        <f t="shared" si="435"/>
        <v>5</v>
      </c>
      <c r="H1904" s="3">
        <f t="shared" si="436"/>
        <v>0</v>
      </c>
      <c r="I1904" s="3">
        <f t="shared" si="437"/>
        <v>59</v>
      </c>
      <c r="J1904" s="3">
        <f t="shared" si="43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39"/>
        <v>YES</v>
      </c>
      <c r="Q1904" t="str">
        <f t="shared" si="440"/>
        <v>NO</v>
      </c>
      <c r="R1904" t="str">
        <f t="shared" si="441"/>
        <v>NO</v>
      </c>
      <c r="S1904">
        <v>725</v>
      </c>
      <c r="T1904" t="s">
        <v>19</v>
      </c>
      <c r="U1904" t="str">
        <f t="shared" si="428"/>
        <v>Cambridge St</v>
      </c>
      <c r="W1904" t="str">
        <f t="shared" si="429"/>
        <v/>
      </c>
      <c r="X1904" t="str">
        <f>IF(ISBLANK(S1904),"Intersection","Non-Intersection")</f>
        <v>Non-Intersection</v>
      </c>
      <c r="Y1904" t="s">
        <v>2940</v>
      </c>
      <c r="Z1904" t="str">
        <f t="shared" si="43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31"/>
        <v>40544</v>
      </c>
      <c r="D1905" s="4">
        <f t="shared" si="432"/>
        <v>0.17260273972602741</v>
      </c>
      <c r="E1905" s="3">
        <f t="shared" si="433"/>
        <v>2011</v>
      </c>
      <c r="F1905" s="3">
        <f t="shared" si="434"/>
        <v>3</v>
      </c>
      <c r="G1905" s="3">
        <f t="shared" si="435"/>
        <v>5</v>
      </c>
      <c r="H1905" s="3">
        <f t="shared" si="436"/>
        <v>10</v>
      </c>
      <c r="I1905" s="3">
        <f t="shared" si="437"/>
        <v>15</v>
      </c>
      <c r="J1905" s="3">
        <f t="shared" si="43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39"/>
        <v>YES</v>
      </c>
      <c r="Q1905" t="str">
        <f t="shared" si="440"/>
        <v>NO</v>
      </c>
      <c r="R1905" t="str">
        <f t="shared" si="441"/>
        <v>NO</v>
      </c>
      <c r="S1905" t="s">
        <v>2942</v>
      </c>
      <c r="T1905" t="s">
        <v>840</v>
      </c>
      <c r="U1905" t="str">
        <f t="shared" si="428"/>
        <v>Church St</v>
      </c>
      <c r="V1905" t="s">
        <v>199</v>
      </c>
      <c r="W1905" t="str">
        <f t="shared" si="429"/>
        <v>Brattle St</v>
      </c>
      <c r="X1905" t="str">
        <f>IF(ISBLANK(S1905),"Intersection","Non-Intersection")</f>
        <v>Non-Intersection</v>
      </c>
      <c r="Y1905" t="s">
        <v>2943</v>
      </c>
      <c r="Z1905" t="str">
        <f t="shared" si="43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31"/>
        <v>40544</v>
      </c>
      <c r="D1906" s="4">
        <f t="shared" si="432"/>
        <v>0.17260273972602741</v>
      </c>
      <c r="E1906" s="3">
        <f t="shared" si="433"/>
        <v>2011</v>
      </c>
      <c r="F1906" s="3">
        <f t="shared" si="434"/>
        <v>3</v>
      </c>
      <c r="G1906" s="3">
        <f t="shared" si="435"/>
        <v>5</v>
      </c>
      <c r="H1906" s="3">
        <f t="shared" si="436"/>
        <v>17</v>
      </c>
      <c r="I1906" s="3">
        <f t="shared" si="437"/>
        <v>29</v>
      </c>
      <c r="J1906" s="3">
        <f t="shared" si="43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39"/>
        <v>YES</v>
      </c>
      <c r="Q1906" t="str">
        <f t="shared" si="440"/>
        <v>NO</v>
      </c>
      <c r="R1906" t="str">
        <f t="shared" si="441"/>
        <v>NO</v>
      </c>
      <c r="T1906" t="s">
        <v>1752</v>
      </c>
      <c r="U1906" t="str">
        <f t="shared" si="428"/>
        <v>Cambridgepark Dr</v>
      </c>
      <c r="V1906" t="s">
        <v>170</v>
      </c>
      <c r="W1906" t="str">
        <f t="shared" si="429"/>
        <v>Alewife Brook Pky</v>
      </c>
      <c r="X1906" t="str">
        <f>IF(ISBLANK(S1906),"Intersection","Non-Intersection")</f>
        <v>Intersection</v>
      </c>
      <c r="Y1906" t="s">
        <v>2944</v>
      </c>
      <c r="Z1906" t="str">
        <f t="shared" si="43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31"/>
        <v>40544</v>
      </c>
      <c r="D1907" s="4">
        <f t="shared" si="432"/>
        <v>0.17260273972602741</v>
      </c>
      <c r="E1907" s="3">
        <f t="shared" si="433"/>
        <v>2011</v>
      </c>
      <c r="F1907" s="3">
        <f t="shared" si="434"/>
        <v>3</v>
      </c>
      <c r="G1907" s="3">
        <f t="shared" si="435"/>
        <v>5</v>
      </c>
      <c r="H1907" s="3">
        <f t="shared" si="436"/>
        <v>18</v>
      </c>
      <c r="I1907" s="3">
        <f t="shared" si="437"/>
        <v>10</v>
      </c>
      <c r="J1907" s="3">
        <f t="shared" si="43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39"/>
        <v>YES</v>
      </c>
      <c r="Q1907" t="str">
        <f t="shared" si="440"/>
        <v>NO</v>
      </c>
      <c r="R1907" t="str">
        <f t="shared" si="441"/>
        <v>NO</v>
      </c>
      <c r="T1907" t="s">
        <v>14</v>
      </c>
      <c r="U1907" t="str">
        <f t="shared" si="428"/>
        <v>Massachusetts Ave</v>
      </c>
      <c r="V1907" t="s">
        <v>1177</v>
      </c>
      <c r="W1907" t="str">
        <f t="shared" si="429"/>
        <v>Plympton St</v>
      </c>
      <c r="X1907" t="str">
        <f>IF(ISBLANK(S1907),"Intersection","Non-Intersection")</f>
        <v>Intersection</v>
      </c>
      <c r="Y1907" t="s">
        <v>2108</v>
      </c>
      <c r="Z1907" t="str">
        <f t="shared" si="43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31"/>
        <v>40544</v>
      </c>
      <c r="D1908" s="4">
        <f t="shared" si="432"/>
        <v>0.17260273972602741</v>
      </c>
      <c r="E1908" s="3">
        <f t="shared" si="433"/>
        <v>2011</v>
      </c>
      <c r="F1908" s="3">
        <f t="shared" si="434"/>
        <v>3</v>
      </c>
      <c r="G1908" s="3">
        <f t="shared" si="435"/>
        <v>5</v>
      </c>
      <c r="H1908" s="3">
        <f t="shared" si="436"/>
        <v>21</v>
      </c>
      <c r="I1908" s="3">
        <f t="shared" si="437"/>
        <v>30</v>
      </c>
      <c r="J1908" s="3">
        <f t="shared" si="43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39"/>
        <v>YES</v>
      </c>
      <c r="Q1908" t="str">
        <f t="shared" si="440"/>
        <v>NO</v>
      </c>
      <c r="R1908" t="str">
        <f t="shared" si="441"/>
        <v>NO</v>
      </c>
      <c r="T1908" t="s">
        <v>1598</v>
      </c>
      <c r="U1908" t="str">
        <f t="shared" si="428"/>
        <v>Chatham St</v>
      </c>
      <c r="V1908" t="s">
        <v>1597</v>
      </c>
      <c r="W1908" t="str">
        <f t="shared" si="429"/>
        <v>Crawford St</v>
      </c>
      <c r="X1908" t="str">
        <f>IF(ISBLANK(S1908),"Intersection","Non-Intersection")</f>
        <v>Intersection</v>
      </c>
      <c r="Y1908" t="s">
        <v>2946</v>
      </c>
      <c r="Z1908" t="str">
        <f t="shared" si="43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31"/>
        <v>40544</v>
      </c>
      <c r="D1909" s="4">
        <f t="shared" si="432"/>
        <v>0.17534246575342466</v>
      </c>
      <c r="E1909" s="3">
        <f t="shared" si="433"/>
        <v>2011</v>
      </c>
      <c r="F1909" s="3">
        <f t="shared" si="434"/>
        <v>3</v>
      </c>
      <c r="G1909" s="3">
        <f t="shared" si="435"/>
        <v>6</v>
      </c>
      <c r="H1909" s="3">
        <f t="shared" si="436"/>
        <v>1</v>
      </c>
      <c r="I1909" s="3">
        <f t="shared" si="437"/>
        <v>12</v>
      </c>
      <c r="J1909" s="3">
        <f t="shared" si="43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39"/>
        <v>YES</v>
      </c>
      <c r="Q1909" t="str">
        <f t="shared" si="440"/>
        <v>NO</v>
      </c>
      <c r="R1909" t="str">
        <f t="shared" si="441"/>
        <v>YES</v>
      </c>
      <c r="T1909" t="s">
        <v>105</v>
      </c>
      <c r="U1909" t="str">
        <f t="shared" si="428"/>
        <v>Broadway</v>
      </c>
      <c r="V1909" t="s">
        <v>745</v>
      </c>
      <c r="W1909" t="str">
        <f t="shared" si="429"/>
        <v>Norfolk St</v>
      </c>
      <c r="X1909" t="str">
        <f>IF(ISBLANK(S1909),"Intersection","Non-Intersection")</f>
        <v>Intersection</v>
      </c>
      <c r="Y1909" t="s">
        <v>1070</v>
      </c>
      <c r="Z1909" t="str">
        <f t="shared" si="43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31"/>
        <v>40544</v>
      </c>
      <c r="D1910" s="4">
        <f t="shared" si="432"/>
        <v>0.17534246575342466</v>
      </c>
      <c r="E1910" s="3">
        <f t="shared" si="433"/>
        <v>2011</v>
      </c>
      <c r="F1910" s="3">
        <f t="shared" si="434"/>
        <v>3</v>
      </c>
      <c r="G1910" s="3">
        <f t="shared" si="435"/>
        <v>6</v>
      </c>
      <c r="H1910" s="3">
        <f t="shared" si="436"/>
        <v>21</v>
      </c>
      <c r="I1910" s="3">
        <f t="shared" si="437"/>
        <v>30</v>
      </c>
      <c r="J1910" s="3">
        <f t="shared" si="43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39"/>
        <v>YES</v>
      </c>
      <c r="Q1910" t="str">
        <f t="shared" si="440"/>
        <v>NO</v>
      </c>
      <c r="R1910" t="str">
        <f t="shared" si="441"/>
        <v>NO</v>
      </c>
      <c r="S1910">
        <v>15</v>
      </c>
      <c r="T1910" t="s">
        <v>512</v>
      </c>
      <c r="U1910" t="str">
        <f t="shared" si="428"/>
        <v>Mount Vernon St</v>
      </c>
      <c r="W1910" t="str">
        <f t="shared" si="429"/>
        <v/>
      </c>
      <c r="X1910" t="str">
        <f>IF(ISBLANK(S1910),"Intersection","Non-Intersection")</f>
        <v>Non-Intersection</v>
      </c>
      <c r="Y1910" t="s">
        <v>2351</v>
      </c>
      <c r="Z1910" t="str">
        <f t="shared" si="43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31"/>
        <v>40544</v>
      </c>
      <c r="D1911" s="4">
        <f t="shared" si="432"/>
        <v>0.17534246575342466</v>
      </c>
      <c r="E1911" s="3">
        <f t="shared" si="433"/>
        <v>2011</v>
      </c>
      <c r="F1911" s="3">
        <f t="shared" si="434"/>
        <v>3</v>
      </c>
      <c r="G1911" s="3">
        <f t="shared" si="435"/>
        <v>6</v>
      </c>
      <c r="H1911" s="3">
        <f t="shared" si="436"/>
        <v>9</v>
      </c>
      <c r="I1911" s="3">
        <f t="shared" si="437"/>
        <v>59</v>
      </c>
      <c r="J1911" s="3">
        <f t="shared" si="43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39"/>
        <v>YES</v>
      </c>
      <c r="Q1911" t="str">
        <f t="shared" si="440"/>
        <v>NO</v>
      </c>
      <c r="R1911" t="str">
        <f t="shared" si="441"/>
        <v>NO</v>
      </c>
      <c r="S1911">
        <v>284</v>
      </c>
      <c r="T1911" t="s">
        <v>105</v>
      </c>
      <c r="U1911" t="str">
        <f t="shared" si="428"/>
        <v>Broadway</v>
      </c>
      <c r="W1911" t="str">
        <f t="shared" si="429"/>
        <v/>
      </c>
      <c r="X1911" t="str">
        <f>IF(ISBLANK(S1911),"Intersection","Non-Intersection")</f>
        <v>Non-Intersection</v>
      </c>
      <c r="Y1911" t="s">
        <v>2947</v>
      </c>
      <c r="Z1911" t="str">
        <f t="shared" si="43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31"/>
        <v>40544</v>
      </c>
      <c r="D1912" s="4">
        <f t="shared" si="432"/>
        <v>0.17808219178082191</v>
      </c>
      <c r="E1912" s="3">
        <f t="shared" si="433"/>
        <v>2011</v>
      </c>
      <c r="F1912" s="3">
        <f t="shared" si="434"/>
        <v>3</v>
      </c>
      <c r="G1912" s="3">
        <f t="shared" si="435"/>
        <v>7</v>
      </c>
      <c r="H1912" s="3">
        <f t="shared" si="436"/>
        <v>6</v>
      </c>
      <c r="I1912" s="3">
        <f t="shared" si="437"/>
        <v>46</v>
      </c>
      <c r="J1912" s="3">
        <f t="shared" si="43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39"/>
        <v>YES</v>
      </c>
      <c r="Q1912" t="str">
        <f t="shared" si="440"/>
        <v>NO</v>
      </c>
      <c r="R1912" t="str">
        <f t="shared" si="441"/>
        <v>NO</v>
      </c>
      <c r="S1912">
        <v>50</v>
      </c>
      <c r="T1912" t="s">
        <v>105</v>
      </c>
      <c r="U1912" t="str">
        <f t="shared" si="428"/>
        <v>Broadway</v>
      </c>
      <c r="W1912" t="str">
        <f t="shared" si="429"/>
        <v/>
      </c>
      <c r="X1912" t="str">
        <f>IF(ISBLANK(S1912),"Intersection","Non-Intersection")</f>
        <v>Non-Intersection</v>
      </c>
      <c r="Y1912" t="s">
        <v>2949</v>
      </c>
      <c r="Z1912" t="str">
        <f t="shared" si="43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31"/>
        <v>40544</v>
      </c>
      <c r="D1913" s="4">
        <f t="shared" si="432"/>
        <v>0.17808219178082191</v>
      </c>
      <c r="E1913" s="3">
        <f t="shared" si="433"/>
        <v>2011</v>
      </c>
      <c r="F1913" s="3">
        <f t="shared" si="434"/>
        <v>3</v>
      </c>
      <c r="G1913" s="3">
        <f t="shared" si="435"/>
        <v>7</v>
      </c>
      <c r="H1913" s="3">
        <f t="shared" si="436"/>
        <v>9</v>
      </c>
      <c r="I1913" s="3">
        <f t="shared" si="437"/>
        <v>0</v>
      </c>
      <c r="J1913" s="3">
        <f t="shared" si="43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39"/>
        <v>YES</v>
      </c>
      <c r="Q1913" t="str">
        <f t="shared" si="440"/>
        <v>NO</v>
      </c>
      <c r="R1913" t="str">
        <f t="shared" si="441"/>
        <v>NO</v>
      </c>
      <c r="T1913" t="s">
        <v>199</v>
      </c>
      <c r="U1913" t="str">
        <f t="shared" si="428"/>
        <v>Brattle St</v>
      </c>
      <c r="V1913" t="s">
        <v>208</v>
      </c>
      <c r="W1913" t="str">
        <f t="shared" si="429"/>
        <v>Sparks St</v>
      </c>
      <c r="X1913" t="str">
        <f>IF(ISBLANK(S1913),"Intersection","Non-Intersection")</f>
        <v>Intersection</v>
      </c>
      <c r="Y1913" t="s">
        <v>442</v>
      </c>
      <c r="Z1913" t="str">
        <f t="shared" si="43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31"/>
        <v>40544</v>
      </c>
      <c r="D1914" s="4">
        <f t="shared" si="432"/>
        <v>0.17808219178082191</v>
      </c>
      <c r="E1914" s="3">
        <f t="shared" si="433"/>
        <v>2011</v>
      </c>
      <c r="F1914" s="3">
        <f t="shared" si="434"/>
        <v>3</v>
      </c>
      <c r="G1914" s="3">
        <f t="shared" si="435"/>
        <v>7</v>
      </c>
      <c r="H1914" s="3">
        <f t="shared" si="436"/>
        <v>17</v>
      </c>
      <c r="I1914" s="3">
        <f t="shared" si="437"/>
        <v>58</v>
      </c>
      <c r="J1914" s="3">
        <f t="shared" si="43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39"/>
        <v>YES</v>
      </c>
      <c r="Q1914" t="str">
        <f t="shared" si="440"/>
        <v>NO</v>
      </c>
      <c r="R1914" t="str">
        <f t="shared" si="441"/>
        <v>NO</v>
      </c>
      <c r="T1914" t="s">
        <v>835</v>
      </c>
      <c r="U1914" t="str">
        <f t="shared" si="428"/>
        <v>Erie St</v>
      </c>
      <c r="V1914" t="s">
        <v>195</v>
      </c>
      <c r="W1914" t="str">
        <f t="shared" si="429"/>
        <v>Sidney St</v>
      </c>
      <c r="X1914" t="str">
        <f>IF(ISBLANK(S1914),"Intersection","Non-Intersection")</f>
        <v>Intersection</v>
      </c>
      <c r="Y1914" t="s">
        <v>2951</v>
      </c>
      <c r="Z1914" t="str">
        <f t="shared" si="43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31"/>
        <v>40544</v>
      </c>
      <c r="D1915" s="4">
        <f t="shared" si="432"/>
        <v>0.17808219178082191</v>
      </c>
      <c r="E1915" s="3">
        <f t="shared" si="433"/>
        <v>2011</v>
      </c>
      <c r="F1915" s="3">
        <f t="shared" si="434"/>
        <v>3</v>
      </c>
      <c r="G1915" s="3">
        <f t="shared" si="435"/>
        <v>7</v>
      </c>
      <c r="H1915" s="3">
        <f t="shared" si="436"/>
        <v>18</v>
      </c>
      <c r="I1915" s="3">
        <f t="shared" si="437"/>
        <v>4</v>
      </c>
      <c r="J1915" s="3">
        <f t="shared" si="43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39"/>
        <v>YES</v>
      </c>
      <c r="Q1915" t="str">
        <f t="shared" si="440"/>
        <v>YES</v>
      </c>
      <c r="R1915" t="str">
        <f t="shared" si="441"/>
        <v>NO</v>
      </c>
      <c r="T1915" t="s">
        <v>14</v>
      </c>
      <c r="U1915" t="str">
        <f t="shared" si="428"/>
        <v>Massachusetts Ave</v>
      </c>
      <c r="V1915" t="s">
        <v>15</v>
      </c>
      <c r="W1915" t="str">
        <f t="shared" si="429"/>
        <v>Rindge Ave</v>
      </c>
      <c r="X1915" t="str">
        <f>IF(ISBLANK(S1915),"Intersection","Non-Intersection")</f>
        <v>Intersection</v>
      </c>
      <c r="Y1915" t="s">
        <v>16</v>
      </c>
      <c r="Z1915" t="str">
        <f t="shared" si="43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31"/>
        <v>40544</v>
      </c>
      <c r="D1916" s="4">
        <f t="shared" si="432"/>
        <v>0.18082191780821918</v>
      </c>
      <c r="E1916" s="3">
        <f t="shared" si="433"/>
        <v>2011</v>
      </c>
      <c r="F1916" s="3">
        <f t="shared" si="434"/>
        <v>3</v>
      </c>
      <c r="G1916" s="3">
        <f t="shared" si="435"/>
        <v>8</v>
      </c>
      <c r="H1916" s="3">
        <f t="shared" si="436"/>
        <v>8</v>
      </c>
      <c r="I1916" s="3">
        <f t="shared" si="437"/>
        <v>29</v>
      </c>
      <c r="J1916" s="3">
        <f t="shared" si="43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39"/>
        <v>YES</v>
      </c>
      <c r="Q1916" t="str">
        <f t="shared" si="440"/>
        <v>NO</v>
      </c>
      <c r="R1916" t="str">
        <f t="shared" si="441"/>
        <v>NO</v>
      </c>
      <c r="T1916" t="s">
        <v>186</v>
      </c>
      <c r="U1916" t="str">
        <f t="shared" si="428"/>
        <v>Concord Ave</v>
      </c>
      <c r="V1916" t="s">
        <v>1013</v>
      </c>
      <c r="W1916" t="str">
        <f t="shared" si="429"/>
        <v>Blanchard Rd</v>
      </c>
      <c r="X1916" t="str">
        <f>IF(ISBLANK(S1916),"Intersection","Non-Intersection")</f>
        <v>Intersection</v>
      </c>
      <c r="Y1916" t="s">
        <v>1014</v>
      </c>
      <c r="Z1916" t="str">
        <f t="shared" si="43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31"/>
        <v>40544</v>
      </c>
      <c r="D1917" s="4">
        <f t="shared" si="432"/>
        <v>0.18082191780821918</v>
      </c>
      <c r="E1917" s="3">
        <f t="shared" si="433"/>
        <v>2011</v>
      </c>
      <c r="F1917" s="3">
        <f t="shared" si="434"/>
        <v>3</v>
      </c>
      <c r="G1917" s="3">
        <f t="shared" si="435"/>
        <v>8</v>
      </c>
      <c r="H1917" s="3">
        <f t="shared" si="436"/>
        <v>10</v>
      </c>
      <c r="I1917" s="3">
        <f t="shared" si="437"/>
        <v>8</v>
      </c>
      <c r="J1917" s="3">
        <f t="shared" si="43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39"/>
        <v>YES</v>
      </c>
      <c r="Q1917" t="str">
        <f t="shared" si="440"/>
        <v>NO</v>
      </c>
      <c r="R1917" t="str">
        <f t="shared" si="441"/>
        <v>NO</v>
      </c>
      <c r="T1917" t="s">
        <v>185</v>
      </c>
      <c r="U1917" t="str">
        <f t="shared" si="428"/>
        <v>Garden St</v>
      </c>
      <c r="V1917" t="s">
        <v>142</v>
      </c>
      <c r="W1917" t="str">
        <f t="shared" si="429"/>
        <v>Huron Ave</v>
      </c>
      <c r="X1917" t="str">
        <f>IF(ISBLANK(S1917),"Intersection","Non-Intersection")</f>
        <v>Intersection</v>
      </c>
      <c r="Y1917" t="s">
        <v>890</v>
      </c>
      <c r="Z1917" t="str">
        <f t="shared" si="43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31"/>
        <v>40544</v>
      </c>
      <c r="D1918" s="4">
        <f t="shared" si="432"/>
        <v>0.18082191780821918</v>
      </c>
      <c r="E1918" s="3">
        <f t="shared" si="433"/>
        <v>2011</v>
      </c>
      <c r="F1918" s="3">
        <f t="shared" si="434"/>
        <v>3</v>
      </c>
      <c r="G1918" s="3">
        <f t="shared" si="435"/>
        <v>8</v>
      </c>
      <c r="H1918" s="3">
        <f t="shared" si="436"/>
        <v>13</v>
      </c>
      <c r="I1918" s="3">
        <f t="shared" si="437"/>
        <v>9</v>
      </c>
      <c r="J1918" s="3">
        <f t="shared" si="43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39"/>
        <v>YES</v>
      </c>
      <c r="Q1918" t="str">
        <f t="shared" si="440"/>
        <v>NO</v>
      </c>
      <c r="R1918" t="str">
        <f t="shared" si="441"/>
        <v>NO</v>
      </c>
      <c r="S1918">
        <v>730</v>
      </c>
      <c r="T1918" t="s">
        <v>203</v>
      </c>
      <c r="U1918" t="str">
        <f t="shared" si="428"/>
        <v>Memorial Dr</v>
      </c>
      <c r="W1918" t="str">
        <f t="shared" si="429"/>
        <v/>
      </c>
      <c r="X1918" t="str">
        <f>IF(ISBLANK(S1918),"Intersection","Non-Intersection")</f>
        <v>Non-Intersection</v>
      </c>
      <c r="Y1918" t="s">
        <v>236</v>
      </c>
      <c r="Z1918" t="str">
        <f t="shared" si="43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31"/>
        <v>40544</v>
      </c>
      <c r="D1919" s="4">
        <f t="shared" si="432"/>
        <v>0.18356164383561643</v>
      </c>
      <c r="E1919" s="3">
        <f t="shared" si="433"/>
        <v>2011</v>
      </c>
      <c r="F1919" s="3">
        <f t="shared" si="434"/>
        <v>3</v>
      </c>
      <c r="G1919" s="3">
        <f t="shared" si="435"/>
        <v>9</v>
      </c>
      <c r="H1919" s="3">
        <f t="shared" si="436"/>
        <v>6</v>
      </c>
      <c r="I1919" s="3">
        <f t="shared" si="437"/>
        <v>59</v>
      </c>
      <c r="J1919" s="3">
        <f t="shared" si="43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39"/>
        <v>YES</v>
      </c>
      <c r="Q1919" t="str">
        <f t="shared" si="440"/>
        <v>NO</v>
      </c>
      <c r="R1919" t="str">
        <f t="shared" si="441"/>
        <v>NO</v>
      </c>
      <c r="S1919">
        <v>330</v>
      </c>
      <c r="T1919" t="s">
        <v>198</v>
      </c>
      <c r="U1919" t="str">
        <f t="shared" si="428"/>
        <v>Mount Auburn St</v>
      </c>
      <c r="W1919" t="str">
        <f t="shared" si="429"/>
        <v/>
      </c>
      <c r="X1919" t="str">
        <f>IF(ISBLANK(S1919),"Intersection","Non-Intersection")</f>
        <v>Non-Intersection</v>
      </c>
      <c r="Y1919" t="s">
        <v>1488</v>
      </c>
      <c r="Z1919" t="str">
        <f t="shared" si="43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31"/>
        <v>40544</v>
      </c>
      <c r="D1920" s="4">
        <f t="shared" si="432"/>
        <v>0.18356164383561643</v>
      </c>
      <c r="E1920" s="3">
        <f t="shared" si="433"/>
        <v>2011</v>
      </c>
      <c r="F1920" s="3">
        <f t="shared" si="434"/>
        <v>3</v>
      </c>
      <c r="G1920" s="3">
        <f t="shared" si="435"/>
        <v>9</v>
      </c>
      <c r="H1920" s="3">
        <f t="shared" si="436"/>
        <v>12</v>
      </c>
      <c r="I1920" s="3">
        <f t="shared" si="437"/>
        <v>34</v>
      </c>
      <c r="J1920" s="3">
        <f t="shared" si="43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39"/>
        <v>YES</v>
      </c>
      <c r="Q1920" t="str">
        <f t="shared" si="440"/>
        <v>NO</v>
      </c>
      <c r="R1920" t="str">
        <f t="shared" si="441"/>
        <v>NO</v>
      </c>
      <c r="T1920" t="s">
        <v>14</v>
      </c>
      <c r="U1920" t="str">
        <f t="shared" si="428"/>
        <v>Massachusetts Ave</v>
      </c>
      <c r="V1920" t="s">
        <v>189</v>
      </c>
      <c r="W1920" t="str">
        <f t="shared" si="429"/>
        <v>Windsor St</v>
      </c>
      <c r="X1920" t="str">
        <f>IF(ISBLANK(S1920),"Intersection","Non-Intersection")</f>
        <v>Intersection</v>
      </c>
      <c r="Y1920" t="s">
        <v>595</v>
      </c>
      <c r="Z1920" t="str">
        <f t="shared" si="43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31"/>
        <v>40544</v>
      </c>
      <c r="D1921" s="4">
        <f t="shared" si="432"/>
        <v>0.18356164383561643</v>
      </c>
      <c r="E1921" s="3">
        <f t="shared" si="433"/>
        <v>2011</v>
      </c>
      <c r="F1921" s="3">
        <f t="shared" si="434"/>
        <v>3</v>
      </c>
      <c r="G1921" s="3">
        <f t="shared" si="435"/>
        <v>9</v>
      </c>
      <c r="H1921" s="3">
        <f t="shared" si="436"/>
        <v>16</v>
      </c>
      <c r="I1921" s="3">
        <f t="shared" si="437"/>
        <v>34</v>
      </c>
      <c r="J1921" s="3">
        <f t="shared" si="43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39"/>
        <v>YES</v>
      </c>
      <c r="Q1921" t="str">
        <f t="shared" si="440"/>
        <v>NO</v>
      </c>
      <c r="R1921" t="str">
        <f t="shared" si="441"/>
        <v>NO</v>
      </c>
      <c r="S1921">
        <v>5</v>
      </c>
      <c r="T1921" t="s">
        <v>1752</v>
      </c>
      <c r="U1921" t="str">
        <f t="shared" si="428"/>
        <v>Cambridgepark Dr</v>
      </c>
      <c r="W1921" t="str">
        <f t="shared" si="429"/>
        <v/>
      </c>
      <c r="X1921" t="str">
        <f>IF(ISBLANK(S1921),"Intersection","Non-Intersection")</f>
        <v>Non-Intersection</v>
      </c>
      <c r="Y1921" t="s">
        <v>2952</v>
      </c>
      <c r="Z1921" t="str">
        <f t="shared" si="43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31"/>
        <v>40544</v>
      </c>
      <c r="D1922" s="4">
        <f t="shared" si="432"/>
        <v>0.18904109589041096</v>
      </c>
      <c r="E1922" s="3">
        <f t="shared" si="433"/>
        <v>2011</v>
      </c>
      <c r="F1922" s="3">
        <f t="shared" si="434"/>
        <v>3</v>
      </c>
      <c r="G1922" s="3">
        <f t="shared" si="435"/>
        <v>11</v>
      </c>
      <c r="H1922" s="3">
        <f t="shared" si="436"/>
        <v>2</v>
      </c>
      <c r="I1922" s="3">
        <f t="shared" si="437"/>
        <v>15</v>
      </c>
      <c r="J1922" s="3">
        <f t="shared" si="43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39"/>
        <v>YES</v>
      </c>
      <c r="Q1922" t="str">
        <f t="shared" si="440"/>
        <v>NO</v>
      </c>
      <c r="R1922" t="str">
        <f t="shared" si="441"/>
        <v>NO</v>
      </c>
      <c r="T1922" t="s">
        <v>14</v>
      </c>
      <c r="U1922" t="str">
        <f t="shared" si="428"/>
        <v>Massachusetts Ave</v>
      </c>
      <c r="V1922" t="s">
        <v>170</v>
      </c>
      <c r="W1922" t="str">
        <f t="shared" si="429"/>
        <v>Alewife Brook Pky</v>
      </c>
      <c r="X1922" t="str">
        <f>IF(ISBLANK(S1922),"Intersection","Non-Intersection")</f>
        <v>Intersection</v>
      </c>
      <c r="Y1922" t="s">
        <v>2954</v>
      </c>
      <c r="Z1922" t="str">
        <f t="shared" si="43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31"/>
        <v>40544</v>
      </c>
      <c r="D1923" s="4">
        <f t="shared" si="432"/>
        <v>0.18904109589041096</v>
      </c>
      <c r="E1923" s="3">
        <f t="shared" si="433"/>
        <v>2011</v>
      </c>
      <c r="F1923" s="3">
        <f t="shared" si="434"/>
        <v>3</v>
      </c>
      <c r="G1923" s="3">
        <f t="shared" si="435"/>
        <v>11</v>
      </c>
      <c r="H1923" s="3">
        <f t="shared" si="436"/>
        <v>9</v>
      </c>
      <c r="I1923" s="3">
        <f t="shared" si="437"/>
        <v>20</v>
      </c>
      <c r="J1923" s="3">
        <f t="shared" si="43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39"/>
        <v>YES</v>
      </c>
      <c r="Q1923" t="str">
        <f t="shared" si="440"/>
        <v>NO</v>
      </c>
      <c r="R1923" t="str">
        <f t="shared" si="441"/>
        <v>NO</v>
      </c>
      <c r="S1923">
        <v>450</v>
      </c>
      <c r="T1923" t="s">
        <v>14</v>
      </c>
      <c r="U1923" t="str">
        <f t="shared" ref="U1923:U1986" si="442">TRIM(PROPER(T1923))</f>
        <v>Massachusetts Ave</v>
      </c>
      <c r="W1923" t="str">
        <f t="shared" ref="W1923:W1986" si="443">TRIM(PROPER(V1923))</f>
        <v/>
      </c>
      <c r="X1923" t="str">
        <f>IF(ISBLANK(S1923),"Intersection","Non-Intersection")</f>
        <v>Non-Intersection</v>
      </c>
      <c r="Y1923" t="s">
        <v>2956</v>
      </c>
      <c r="Z1923" t="str">
        <f t="shared" ref="Z1923:Z1986" si="444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31"/>
        <v>40544</v>
      </c>
      <c r="D1924" s="4">
        <f t="shared" si="432"/>
        <v>0.18904109589041096</v>
      </c>
      <c r="E1924" s="3">
        <f t="shared" si="433"/>
        <v>2011</v>
      </c>
      <c r="F1924" s="3">
        <f t="shared" si="434"/>
        <v>3</v>
      </c>
      <c r="G1924" s="3">
        <f t="shared" si="435"/>
        <v>11</v>
      </c>
      <c r="H1924" s="3">
        <f t="shared" si="436"/>
        <v>15</v>
      </c>
      <c r="I1924" s="3">
        <f t="shared" si="437"/>
        <v>0</v>
      </c>
      <c r="J1924" s="3">
        <f t="shared" si="43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39"/>
        <v>YES</v>
      </c>
      <c r="Q1924" t="str">
        <f t="shared" si="440"/>
        <v>NO</v>
      </c>
      <c r="R1924" t="str">
        <f t="shared" si="441"/>
        <v>NO</v>
      </c>
      <c r="S1924">
        <v>25</v>
      </c>
      <c r="T1924" t="s">
        <v>268</v>
      </c>
      <c r="U1924" t="str">
        <f t="shared" si="442"/>
        <v>White St</v>
      </c>
      <c r="W1924" t="str">
        <f t="shared" si="443"/>
        <v/>
      </c>
      <c r="X1924" t="str">
        <f>IF(ISBLANK(S1924),"Intersection","Non-Intersection")</f>
        <v>Non-Intersection</v>
      </c>
      <c r="Y1924" t="s">
        <v>2958</v>
      </c>
      <c r="Z1924" t="str">
        <f t="shared" si="444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31"/>
        <v>40544</v>
      </c>
      <c r="D1925" s="4">
        <f t="shared" si="432"/>
        <v>0.18904109589041096</v>
      </c>
      <c r="E1925" s="3">
        <f t="shared" si="433"/>
        <v>2011</v>
      </c>
      <c r="F1925" s="3">
        <f t="shared" si="434"/>
        <v>3</v>
      </c>
      <c r="G1925" s="3">
        <f t="shared" si="435"/>
        <v>11</v>
      </c>
      <c r="H1925" s="3">
        <f t="shared" si="436"/>
        <v>18</v>
      </c>
      <c r="I1925" s="3">
        <f t="shared" si="437"/>
        <v>30</v>
      </c>
      <c r="J1925" s="3">
        <f t="shared" si="43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39"/>
        <v>YES</v>
      </c>
      <c r="Q1925" t="str">
        <f t="shared" si="440"/>
        <v>NO</v>
      </c>
      <c r="R1925" t="str">
        <f t="shared" si="441"/>
        <v>NO</v>
      </c>
      <c r="S1925">
        <v>221</v>
      </c>
      <c r="T1925" t="s">
        <v>142</v>
      </c>
      <c r="U1925" t="str">
        <f t="shared" si="442"/>
        <v>Huron Ave</v>
      </c>
      <c r="W1925" t="str">
        <f t="shared" si="443"/>
        <v/>
      </c>
      <c r="X1925" t="str">
        <f>IF(ISBLANK(S1925),"Intersection","Non-Intersection")</f>
        <v>Non-Intersection</v>
      </c>
      <c r="Y1925" t="s">
        <v>2960</v>
      </c>
      <c r="Z1925" t="str">
        <f t="shared" si="444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31"/>
        <v>40544</v>
      </c>
      <c r="D1926" s="4">
        <f t="shared" si="432"/>
        <v>0.18904109589041096</v>
      </c>
      <c r="E1926" s="3">
        <f t="shared" si="433"/>
        <v>2011</v>
      </c>
      <c r="F1926" s="3">
        <f t="shared" si="434"/>
        <v>3</v>
      </c>
      <c r="G1926" s="3">
        <f t="shared" si="435"/>
        <v>11</v>
      </c>
      <c r="H1926" s="3">
        <f t="shared" si="436"/>
        <v>19</v>
      </c>
      <c r="I1926" s="3">
        <f t="shared" si="437"/>
        <v>15</v>
      </c>
      <c r="J1926" s="3">
        <f t="shared" si="43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39"/>
        <v>YES</v>
      </c>
      <c r="Q1926" t="str">
        <f t="shared" si="440"/>
        <v>NO</v>
      </c>
      <c r="R1926" t="str">
        <f t="shared" si="441"/>
        <v>NO</v>
      </c>
      <c r="T1926" t="s">
        <v>342</v>
      </c>
      <c r="U1926" t="str">
        <f t="shared" si="442"/>
        <v>Prospect St</v>
      </c>
      <c r="V1926" t="s">
        <v>105</v>
      </c>
      <c r="W1926" t="str">
        <f t="shared" si="443"/>
        <v>Broadway</v>
      </c>
      <c r="X1926" t="str">
        <f>IF(ISBLANK(S1926),"Intersection","Non-Intersection")</f>
        <v>Intersection</v>
      </c>
      <c r="Y1926" t="s">
        <v>725</v>
      </c>
      <c r="Z1926" t="str">
        <f t="shared" si="444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31"/>
        <v>40544</v>
      </c>
      <c r="D1927" s="4">
        <f t="shared" si="432"/>
        <v>0.19178082191780821</v>
      </c>
      <c r="E1927" s="3">
        <f t="shared" si="433"/>
        <v>2011</v>
      </c>
      <c r="F1927" s="3">
        <f t="shared" si="434"/>
        <v>3</v>
      </c>
      <c r="G1927" s="3">
        <f t="shared" si="435"/>
        <v>12</v>
      </c>
      <c r="H1927" s="3">
        <f t="shared" si="436"/>
        <v>12</v>
      </c>
      <c r="I1927" s="3">
        <f t="shared" si="437"/>
        <v>59</v>
      </c>
      <c r="J1927" s="3">
        <f t="shared" si="43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39"/>
        <v>YES</v>
      </c>
      <c r="Q1927" t="str">
        <f t="shared" si="440"/>
        <v>NO</v>
      </c>
      <c r="R1927" t="str">
        <f t="shared" si="441"/>
        <v>NO</v>
      </c>
      <c r="S1927">
        <v>9</v>
      </c>
      <c r="T1927" t="s">
        <v>268</v>
      </c>
      <c r="U1927" t="str">
        <f t="shared" si="442"/>
        <v>White St</v>
      </c>
      <c r="W1927" t="str">
        <f t="shared" si="443"/>
        <v/>
      </c>
      <c r="X1927" t="str">
        <f>IF(ISBLANK(S1927),"Intersection","Non-Intersection")</f>
        <v>Non-Intersection</v>
      </c>
      <c r="Y1927" t="s">
        <v>2962</v>
      </c>
      <c r="Z1927" t="str">
        <f t="shared" si="444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31"/>
        <v>40544</v>
      </c>
      <c r="D1928" s="4">
        <f t="shared" si="432"/>
        <v>0.19178082191780821</v>
      </c>
      <c r="E1928" s="3">
        <f t="shared" si="433"/>
        <v>2011</v>
      </c>
      <c r="F1928" s="3">
        <f t="shared" si="434"/>
        <v>3</v>
      </c>
      <c r="G1928" s="3">
        <f t="shared" si="435"/>
        <v>12</v>
      </c>
      <c r="H1928" s="3">
        <f t="shared" si="436"/>
        <v>14</v>
      </c>
      <c r="I1928" s="3">
        <f t="shared" si="437"/>
        <v>7</v>
      </c>
      <c r="J1928" s="3">
        <f t="shared" si="43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39"/>
        <v>YES</v>
      </c>
      <c r="Q1928" t="str">
        <f t="shared" si="440"/>
        <v>NO</v>
      </c>
      <c r="R1928" t="str">
        <f t="shared" si="441"/>
        <v>NO</v>
      </c>
      <c r="T1928" t="s">
        <v>326</v>
      </c>
      <c r="U1928" t="str">
        <f t="shared" si="442"/>
        <v>Jfk St</v>
      </c>
      <c r="V1928" t="s">
        <v>546</v>
      </c>
      <c r="W1928" t="str">
        <f t="shared" si="443"/>
        <v>Winthrop St</v>
      </c>
      <c r="X1928" t="str">
        <f>IF(ISBLANK(S1928),"Intersection","Non-Intersection")</f>
        <v>Intersection</v>
      </c>
      <c r="Y1928" t="s">
        <v>547</v>
      </c>
      <c r="Z1928" t="str">
        <f t="shared" si="444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31"/>
        <v>40544</v>
      </c>
      <c r="D1929" s="4">
        <f t="shared" si="432"/>
        <v>0.19178082191780821</v>
      </c>
      <c r="E1929" s="3">
        <f t="shared" si="433"/>
        <v>2011</v>
      </c>
      <c r="F1929" s="3">
        <f t="shared" si="434"/>
        <v>3</v>
      </c>
      <c r="G1929" s="3">
        <f t="shared" si="435"/>
        <v>12</v>
      </c>
      <c r="H1929" s="3">
        <f t="shared" si="436"/>
        <v>13</v>
      </c>
      <c r="I1929" s="3">
        <f t="shared" si="437"/>
        <v>25</v>
      </c>
      <c r="J1929" s="3">
        <f t="shared" si="43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39"/>
        <v>YES</v>
      </c>
      <c r="Q1929" t="str">
        <f t="shared" si="440"/>
        <v>NO</v>
      </c>
      <c r="R1929" t="str">
        <f t="shared" si="441"/>
        <v>NO</v>
      </c>
      <c r="S1929">
        <v>640</v>
      </c>
      <c r="T1929" t="s">
        <v>2964</v>
      </c>
      <c r="U1929" t="str">
        <f t="shared" si="442"/>
        <v>Max Ave</v>
      </c>
      <c r="V1929" t="s">
        <v>19</v>
      </c>
      <c r="W1929" t="str">
        <f t="shared" si="443"/>
        <v>Cambridge St</v>
      </c>
      <c r="X1929" t="str">
        <f>IF(ISBLANK(S1929),"Intersection","Non-Intersection")</f>
        <v>Non-Intersection</v>
      </c>
      <c r="Y1929" t="s">
        <v>2965</v>
      </c>
      <c r="Z1929" t="str">
        <f t="shared" si="444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31"/>
        <v>40544</v>
      </c>
      <c r="D1930" s="4">
        <f t="shared" si="432"/>
        <v>0.19178082191780821</v>
      </c>
      <c r="E1930" s="3">
        <f t="shared" si="433"/>
        <v>2011</v>
      </c>
      <c r="F1930" s="3">
        <f t="shared" si="434"/>
        <v>3</v>
      </c>
      <c r="G1930" s="3">
        <f t="shared" si="435"/>
        <v>12</v>
      </c>
      <c r="H1930" s="3">
        <f t="shared" si="436"/>
        <v>15</v>
      </c>
      <c r="I1930" s="3">
        <f t="shared" si="437"/>
        <v>59</v>
      </c>
      <c r="J1930" s="3">
        <f t="shared" si="43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39"/>
        <v>YES</v>
      </c>
      <c r="Q1930" t="str">
        <f t="shared" si="440"/>
        <v>NO</v>
      </c>
      <c r="R1930" t="str">
        <f t="shared" si="441"/>
        <v>NO</v>
      </c>
      <c r="S1930">
        <v>27</v>
      </c>
      <c r="T1930" t="s">
        <v>238</v>
      </c>
      <c r="U1930" t="str">
        <f t="shared" si="442"/>
        <v>Kirkland St</v>
      </c>
      <c r="W1930" t="str">
        <f t="shared" si="443"/>
        <v/>
      </c>
      <c r="X1930" t="str">
        <f>IF(ISBLANK(S1930),"Intersection","Non-Intersection")</f>
        <v>Non-Intersection</v>
      </c>
      <c r="Y1930" t="s">
        <v>2967</v>
      </c>
      <c r="Z1930" t="str">
        <f t="shared" si="444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31"/>
        <v>40544</v>
      </c>
      <c r="D1931" s="4">
        <f t="shared" si="432"/>
        <v>0.19178082191780821</v>
      </c>
      <c r="E1931" s="3">
        <f t="shared" si="433"/>
        <v>2011</v>
      </c>
      <c r="F1931" s="3">
        <f t="shared" si="434"/>
        <v>3</v>
      </c>
      <c r="G1931" s="3">
        <f t="shared" si="435"/>
        <v>12</v>
      </c>
      <c r="H1931" s="3">
        <f t="shared" si="436"/>
        <v>14</v>
      </c>
      <c r="I1931" s="3">
        <f t="shared" si="437"/>
        <v>0</v>
      </c>
      <c r="J1931" s="3">
        <f t="shared" si="43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39"/>
        <v>YES</v>
      </c>
      <c r="Q1931" t="str">
        <f t="shared" si="440"/>
        <v>NO</v>
      </c>
      <c r="R1931" t="str">
        <f t="shared" si="441"/>
        <v>NO</v>
      </c>
      <c r="T1931" t="s">
        <v>42</v>
      </c>
      <c r="U1931" t="str">
        <f t="shared" si="442"/>
        <v>Putnam Ave</v>
      </c>
      <c r="V1931" t="s">
        <v>70</v>
      </c>
      <c r="W1931" t="str">
        <f t="shared" si="443"/>
        <v>Pearl St</v>
      </c>
      <c r="X1931" t="str">
        <f>IF(ISBLANK(S1931),"Intersection","Non-Intersection")</f>
        <v>Intersection</v>
      </c>
      <c r="Y1931" t="s">
        <v>2969</v>
      </c>
      <c r="Z1931" t="str">
        <f t="shared" si="444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31"/>
        <v>40544</v>
      </c>
      <c r="D1932" s="4">
        <f t="shared" si="432"/>
        <v>0.19452054794520549</v>
      </c>
      <c r="E1932" s="3">
        <f t="shared" si="433"/>
        <v>2011</v>
      </c>
      <c r="F1932" s="3">
        <f t="shared" si="434"/>
        <v>3</v>
      </c>
      <c r="G1932" s="3">
        <f t="shared" si="435"/>
        <v>13</v>
      </c>
      <c r="H1932" s="3">
        <f t="shared" si="436"/>
        <v>18</v>
      </c>
      <c r="I1932" s="3">
        <f t="shared" si="437"/>
        <v>14</v>
      </c>
      <c r="J1932" s="3">
        <f t="shared" si="43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39"/>
        <v>YES</v>
      </c>
      <c r="Q1932" t="str">
        <f t="shared" si="440"/>
        <v>NO</v>
      </c>
      <c r="R1932" t="str">
        <f t="shared" si="441"/>
        <v>NO</v>
      </c>
      <c r="T1932" t="s">
        <v>202</v>
      </c>
      <c r="U1932" t="str">
        <f t="shared" si="442"/>
        <v>Vassar St</v>
      </c>
      <c r="V1932" t="s">
        <v>203</v>
      </c>
      <c r="W1932" t="str">
        <f t="shared" si="443"/>
        <v>Memorial Dr</v>
      </c>
      <c r="X1932" t="str">
        <f>IF(ISBLANK(S1932),"Intersection","Non-Intersection")</f>
        <v>Intersection</v>
      </c>
      <c r="Y1932" t="s">
        <v>1988</v>
      </c>
      <c r="Z1932" t="str">
        <f t="shared" si="444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31"/>
        <v>40544</v>
      </c>
      <c r="D1933" s="4">
        <f t="shared" si="432"/>
        <v>0.19452054794520549</v>
      </c>
      <c r="E1933" s="3">
        <f t="shared" si="433"/>
        <v>2011</v>
      </c>
      <c r="F1933" s="3">
        <f t="shared" si="434"/>
        <v>3</v>
      </c>
      <c r="G1933" s="3">
        <f t="shared" si="435"/>
        <v>13</v>
      </c>
      <c r="H1933" s="3">
        <f t="shared" si="436"/>
        <v>20</v>
      </c>
      <c r="I1933" s="3">
        <f t="shared" si="437"/>
        <v>25</v>
      </c>
      <c r="J1933" s="3">
        <f t="shared" si="43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39"/>
        <v>YES</v>
      </c>
      <c r="Q1933" t="str">
        <f t="shared" si="440"/>
        <v>NO</v>
      </c>
      <c r="R1933" t="str">
        <f t="shared" si="441"/>
        <v>NO</v>
      </c>
      <c r="S1933">
        <v>1271</v>
      </c>
      <c r="T1933" t="s">
        <v>19</v>
      </c>
      <c r="U1933" t="str">
        <f t="shared" si="442"/>
        <v>Cambridge St</v>
      </c>
      <c r="W1933" t="str">
        <f t="shared" si="443"/>
        <v/>
      </c>
      <c r="X1933" t="str">
        <f>IF(ISBLANK(S1933),"Intersection","Non-Intersection")</f>
        <v>Non-Intersection</v>
      </c>
      <c r="Y1933" t="s">
        <v>2971</v>
      </c>
      <c r="Z1933" t="str">
        <f t="shared" si="444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31"/>
        <v>40544</v>
      </c>
      <c r="D1934" s="4">
        <f t="shared" si="432"/>
        <v>0.19452054794520549</v>
      </c>
      <c r="E1934" s="3">
        <f t="shared" si="433"/>
        <v>2011</v>
      </c>
      <c r="F1934" s="3">
        <f t="shared" si="434"/>
        <v>3</v>
      </c>
      <c r="G1934" s="3">
        <f t="shared" si="435"/>
        <v>13</v>
      </c>
      <c r="H1934" s="3">
        <f t="shared" si="436"/>
        <v>7</v>
      </c>
      <c r="I1934" s="3">
        <f t="shared" si="437"/>
        <v>50</v>
      </c>
      <c r="J1934" s="3">
        <f t="shared" si="43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39"/>
        <v>YES</v>
      </c>
      <c r="Q1934" t="str">
        <f t="shared" si="440"/>
        <v>NO</v>
      </c>
      <c r="R1934" t="str">
        <f t="shared" si="441"/>
        <v>NO</v>
      </c>
      <c r="T1934" t="s">
        <v>14</v>
      </c>
      <c r="U1934" t="str">
        <f t="shared" si="442"/>
        <v>Massachusetts Ave</v>
      </c>
      <c r="V1934" t="s">
        <v>1332</v>
      </c>
      <c r="W1934" t="str">
        <f t="shared" si="443"/>
        <v>Porter Rd</v>
      </c>
      <c r="X1934" t="str">
        <f>IF(ISBLANK(S1934),"Intersection","Non-Intersection")</f>
        <v>Intersection</v>
      </c>
      <c r="Y1934" t="s">
        <v>2973</v>
      </c>
      <c r="Z1934" t="str">
        <f t="shared" si="444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31"/>
        <v>40544</v>
      </c>
      <c r="D1935" s="4">
        <f t="shared" si="432"/>
        <v>0.19452054794520549</v>
      </c>
      <c r="E1935" s="3">
        <f t="shared" si="433"/>
        <v>2011</v>
      </c>
      <c r="F1935" s="3">
        <f t="shared" si="434"/>
        <v>3</v>
      </c>
      <c r="G1935" s="3">
        <f t="shared" si="435"/>
        <v>13</v>
      </c>
      <c r="H1935" s="3">
        <f t="shared" si="436"/>
        <v>16</v>
      </c>
      <c r="I1935" s="3">
        <f t="shared" si="437"/>
        <v>19</v>
      </c>
      <c r="J1935" s="3">
        <f t="shared" si="43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39"/>
        <v>YES</v>
      </c>
      <c r="Q1935" t="str">
        <f t="shared" si="440"/>
        <v>NO</v>
      </c>
      <c r="R1935" t="str">
        <f t="shared" si="441"/>
        <v>NO</v>
      </c>
      <c r="S1935">
        <v>200</v>
      </c>
      <c r="T1935" t="s">
        <v>170</v>
      </c>
      <c r="U1935" t="str">
        <f t="shared" si="442"/>
        <v>Alewife Brook Pky</v>
      </c>
      <c r="W1935" t="str">
        <f t="shared" si="443"/>
        <v/>
      </c>
      <c r="X1935" t="str">
        <f>IF(ISBLANK(S1935),"Intersection","Non-Intersection")</f>
        <v>Non-Intersection</v>
      </c>
      <c r="Y1935" t="s">
        <v>2274</v>
      </c>
      <c r="Z1935" t="str">
        <f t="shared" si="444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31"/>
        <v>40544</v>
      </c>
      <c r="D1936" s="4">
        <f t="shared" si="432"/>
        <v>0.19452054794520549</v>
      </c>
      <c r="E1936" s="3">
        <f t="shared" si="433"/>
        <v>2011</v>
      </c>
      <c r="F1936" s="3">
        <f t="shared" si="434"/>
        <v>3</v>
      </c>
      <c r="G1936" s="3">
        <f t="shared" si="435"/>
        <v>13</v>
      </c>
      <c r="H1936" s="3">
        <f t="shared" si="436"/>
        <v>20</v>
      </c>
      <c r="I1936" s="3">
        <f t="shared" si="437"/>
        <v>45</v>
      </c>
      <c r="J1936" s="3">
        <f t="shared" si="43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39"/>
        <v>YES</v>
      </c>
      <c r="Q1936" t="str">
        <f t="shared" si="440"/>
        <v>NO</v>
      </c>
      <c r="R1936" t="str">
        <f t="shared" si="441"/>
        <v>NO</v>
      </c>
      <c r="T1936" t="s">
        <v>229</v>
      </c>
      <c r="U1936" t="str">
        <f t="shared" si="442"/>
        <v>Dewolfe St</v>
      </c>
      <c r="V1936" t="s">
        <v>198</v>
      </c>
      <c r="W1936" t="str">
        <f t="shared" si="443"/>
        <v>Mount Auburn St</v>
      </c>
      <c r="X1936" t="str">
        <f>IF(ISBLANK(S1936),"Intersection","Non-Intersection")</f>
        <v>Intersection</v>
      </c>
      <c r="Y1936" t="s">
        <v>2974</v>
      </c>
      <c r="Z1936" t="str">
        <f t="shared" si="444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31"/>
        <v>40544</v>
      </c>
      <c r="D1937" s="4">
        <f t="shared" si="432"/>
        <v>0.19452054794520549</v>
      </c>
      <c r="E1937" s="3">
        <f t="shared" si="433"/>
        <v>2011</v>
      </c>
      <c r="F1937" s="3">
        <f t="shared" si="434"/>
        <v>3</v>
      </c>
      <c r="G1937" s="3">
        <f t="shared" si="435"/>
        <v>13</v>
      </c>
      <c r="H1937" s="3">
        <f t="shared" si="436"/>
        <v>19</v>
      </c>
      <c r="I1937" s="3">
        <f t="shared" si="437"/>
        <v>30</v>
      </c>
      <c r="J1937" s="3">
        <f t="shared" si="43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39"/>
        <v>YES</v>
      </c>
      <c r="Q1937" t="str">
        <f t="shared" si="440"/>
        <v>NO</v>
      </c>
      <c r="R1937" t="str">
        <f t="shared" si="441"/>
        <v>NO</v>
      </c>
      <c r="S1937">
        <v>777</v>
      </c>
      <c r="T1937" t="s">
        <v>203</v>
      </c>
      <c r="U1937" t="str">
        <f t="shared" si="442"/>
        <v>Memorial Dr</v>
      </c>
      <c r="W1937" t="str">
        <f t="shared" si="443"/>
        <v/>
      </c>
      <c r="X1937" t="str">
        <f>IF(ISBLANK(S1937),"Intersection","Non-Intersection")</f>
        <v>Non-Intersection</v>
      </c>
      <c r="Y1937" t="s">
        <v>496</v>
      </c>
      <c r="Z1937" t="str">
        <f t="shared" si="444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31"/>
        <v>40544</v>
      </c>
      <c r="D1938" s="4">
        <f t="shared" si="432"/>
        <v>0.19726027397260273</v>
      </c>
      <c r="E1938" s="3">
        <f t="shared" si="433"/>
        <v>2011</v>
      </c>
      <c r="F1938" s="3">
        <f t="shared" si="434"/>
        <v>3</v>
      </c>
      <c r="G1938" s="3">
        <f t="shared" si="435"/>
        <v>14</v>
      </c>
      <c r="H1938" s="3">
        <f t="shared" si="436"/>
        <v>12</v>
      </c>
      <c r="I1938" s="3">
        <f t="shared" si="437"/>
        <v>42</v>
      </c>
      <c r="J1938" s="3">
        <f t="shared" si="43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39"/>
        <v>YES</v>
      </c>
      <c r="Q1938" t="str">
        <f t="shared" si="440"/>
        <v>NO</v>
      </c>
      <c r="R1938" t="str">
        <f t="shared" si="441"/>
        <v>NO</v>
      </c>
      <c r="S1938">
        <v>18</v>
      </c>
      <c r="T1938" t="s">
        <v>2975</v>
      </c>
      <c r="U1938" t="str">
        <f t="shared" si="442"/>
        <v>Eustis St</v>
      </c>
      <c r="W1938" t="str">
        <f t="shared" si="443"/>
        <v/>
      </c>
      <c r="X1938" t="str">
        <f>IF(ISBLANK(S1938),"Intersection","Non-Intersection")</f>
        <v>Non-Intersection</v>
      </c>
      <c r="Y1938" t="s">
        <v>2976</v>
      </c>
      <c r="Z1938" t="str">
        <f t="shared" si="444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31"/>
        <v>40544</v>
      </c>
      <c r="D1939" s="4">
        <f t="shared" si="432"/>
        <v>0.19726027397260273</v>
      </c>
      <c r="E1939" s="3">
        <f t="shared" si="433"/>
        <v>2011</v>
      </c>
      <c r="F1939" s="3">
        <f t="shared" si="434"/>
        <v>3</v>
      </c>
      <c r="G1939" s="3">
        <f t="shared" si="435"/>
        <v>14</v>
      </c>
      <c r="H1939" s="3">
        <f t="shared" si="436"/>
        <v>20</v>
      </c>
      <c r="I1939" s="3">
        <f t="shared" si="437"/>
        <v>30</v>
      </c>
      <c r="J1939" s="3">
        <f t="shared" si="43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39"/>
        <v>YES</v>
      </c>
      <c r="Q1939" t="str">
        <f t="shared" si="440"/>
        <v>NO</v>
      </c>
      <c r="R1939" t="str">
        <f t="shared" si="441"/>
        <v>YES</v>
      </c>
      <c r="T1939" t="s">
        <v>32</v>
      </c>
      <c r="U1939" t="str">
        <f t="shared" si="442"/>
        <v>Main St</v>
      </c>
      <c r="V1939" t="s">
        <v>288</v>
      </c>
      <c r="W1939" t="str">
        <f t="shared" si="443"/>
        <v>Galileo Galilei Way</v>
      </c>
      <c r="X1939" t="str">
        <f>IF(ISBLANK(S1939),"Intersection","Non-Intersection")</f>
        <v>Intersection</v>
      </c>
      <c r="Y1939" t="s">
        <v>2978</v>
      </c>
      <c r="Z1939" t="str">
        <f t="shared" si="444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31"/>
        <v>40544</v>
      </c>
      <c r="D1940" s="4">
        <f t="shared" si="432"/>
        <v>0.19726027397260273</v>
      </c>
      <c r="E1940" s="3">
        <f t="shared" si="433"/>
        <v>2011</v>
      </c>
      <c r="F1940" s="3">
        <f t="shared" si="434"/>
        <v>3</v>
      </c>
      <c r="G1940" s="3">
        <f t="shared" si="435"/>
        <v>14</v>
      </c>
      <c r="H1940" s="3">
        <f t="shared" si="436"/>
        <v>13</v>
      </c>
      <c r="I1940" s="3">
        <f t="shared" si="437"/>
        <v>34</v>
      </c>
      <c r="J1940" s="3">
        <f t="shared" si="43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39"/>
        <v>YES</v>
      </c>
      <c r="Q1940" t="str">
        <f t="shared" si="440"/>
        <v>NO</v>
      </c>
      <c r="R1940" t="str">
        <f t="shared" si="441"/>
        <v>NO</v>
      </c>
      <c r="S1940">
        <v>175</v>
      </c>
      <c r="T1940" t="s">
        <v>155</v>
      </c>
      <c r="U1940" t="str">
        <f t="shared" si="442"/>
        <v>Richdale Ave</v>
      </c>
      <c r="W1940" t="str">
        <f t="shared" si="443"/>
        <v/>
      </c>
      <c r="X1940" t="str">
        <f>IF(ISBLANK(S1940),"Intersection","Non-Intersection")</f>
        <v>Non-Intersection</v>
      </c>
      <c r="Y1940" t="s">
        <v>2980</v>
      </c>
      <c r="Z1940" t="str">
        <f t="shared" si="444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31"/>
        <v>40544</v>
      </c>
      <c r="D1941" s="4">
        <f t="shared" si="432"/>
        <v>0.19726027397260273</v>
      </c>
      <c r="E1941" s="3">
        <f t="shared" si="433"/>
        <v>2011</v>
      </c>
      <c r="F1941" s="3">
        <f t="shared" si="434"/>
        <v>3</v>
      </c>
      <c r="G1941" s="3">
        <f t="shared" si="435"/>
        <v>14</v>
      </c>
      <c r="H1941" s="3">
        <f t="shared" si="436"/>
        <v>19</v>
      </c>
      <c r="I1941" s="3">
        <f t="shared" si="437"/>
        <v>30</v>
      </c>
      <c r="J1941" s="3">
        <f t="shared" si="43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39"/>
        <v>YES</v>
      </c>
      <c r="Q1941" t="str">
        <f t="shared" si="440"/>
        <v>NO</v>
      </c>
      <c r="R1941" t="str">
        <f t="shared" si="441"/>
        <v>NO</v>
      </c>
      <c r="T1941" t="s">
        <v>74</v>
      </c>
      <c r="U1941" t="str">
        <f t="shared" si="442"/>
        <v>Hampshire St</v>
      </c>
      <c r="V1941" t="s">
        <v>2344</v>
      </c>
      <c r="W1941" t="str">
        <f t="shared" si="443"/>
        <v>Bristol St</v>
      </c>
      <c r="X1941" t="str">
        <f>IF(ISBLANK(S1941),"Intersection","Non-Intersection")</f>
        <v>Intersection</v>
      </c>
      <c r="Y1941" t="s">
        <v>2982</v>
      </c>
      <c r="Z1941" t="str">
        <f t="shared" si="444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31"/>
        <v>40544</v>
      </c>
      <c r="D1942" s="4">
        <f t="shared" si="432"/>
        <v>0.2</v>
      </c>
      <c r="E1942" s="3">
        <f t="shared" si="433"/>
        <v>2011</v>
      </c>
      <c r="F1942" s="3">
        <f t="shared" si="434"/>
        <v>3</v>
      </c>
      <c r="G1942" s="3">
        <f t="shared" si="435"/>
        <v>15</v>
      </c>
      <c r="H1942" s="3">
        <f t="shared" si="436"/>
        <v>9</v>
      </c>
      <c r="I1942" s="3">
        <f t="shared" si="437"/>
        <v>0</v>
      </c>
      <c r="J1942" s="3">
        <f t="shared" si="43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39"/>
        <v>YES</v>
      </c>
      <c r="Q1942" t="str">
        <f t="shared" si="440"/>
        <v>NO</v>
      </c>
      <c r="R1942" t="str">
        <f t="shared" si="441"/>
        <v>NO</v>
      </c>
      <c r="S1942">
        <v>200</v>
      </c>
      <c r="T1942" t="s">
        <v>14</v>
      </c>
      <c r="U1942" t="str">
        <f t="shared" si="442"/>
        <v>Massachusetts Ave</v>
      </c>
      <c r="W1942" t="str">
        <f t="shared" si="443"/>
        <v/>
      </c>
      <c r="X1942" t="str">
        <f>IF(ISBLANK(S1942),"Intersection","Non-Intersection")</f>
        <v>Non-Intersection</v>
      </c>
      <c r="Y1942" t="s">
        <v>2984</v>
      </c>
      <c r="Z1942" t="str">
        <f t="shared" si="444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31"/>
        <v>40544</v>
      </c>
      <c r="D1943" s="4">
        <f t="shared" si="432"/>
        <v>0.2</v>
      </c>
      <c r="E1943" s="3">
        <f t="shared" si="433"/>
        <v>2011</v>
      </c>
      <c r="F1943" s="3">
        <f t="shared" si="434"/>
        <v>3</v>
      </c>
      <c r="G1943" s="3">
        <f t="shared" si="435"/>
        <v>15</v>
      </c>
      <c r="H1943" s="3">
        <f t="shared" si="436"/>
        <v>7</v>
      </c>
      <c r="I1943" s="3">
        <f t="shared" si="437"/>
        <v>40</v>
      </c>
      <c r="J1943" s="3">
        <f t="shared" si="43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39"/>
        <v>YES</v>
      </c>
      <c r="Q1943" t="str">
        <f t="shared" si="440"/>
        <v>NO</v>
      </c>
      <c r="R1943" t="str">
        <f t="shared" si="441"/>
        <v>NO</v>
      </c>
      <c r="T1943" t="s">
        <v>2986</v>
      </c>
      <c r="U1943" t="str">
        <f t="shared" si="442"/>
        <v>Seven Pines Ave</v>
      </c>
      <c r="V1943" t="s">
        <v>1341</v>
      </c>
      <c r="W1943" t="str">
        <f t="shared" si="443"/>
        <v>Camp St</v>
      </c>
      <c r="X1943" t="str">
        <f>IF(ISBLANK(S1943),"Intersection","Non-Intersection")</f>
        <v>Intersection</v>
      </c>
      <c r="Y1943" t="s">
        <v>2987</v>
      </c>
      <c r="Z1943" t="str">
        <f t="shared" si="444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31"/>
        <v>40544</v>
      </c>
      <c r="D1944" s="4">
        <f t="shared" si="432"/>
        <v>0.2</v>
      </c>
      <c r="E1944" s="3">
        <f t="shared" si="433"/>
        <v>2011</v>
      </c>
      <c r="F1944" s="3">
        <f t="shared" si="434"/>
        <v>3</v>
      </c>
      <c r="G1944" s="3">
        <f t="shared" si="435"/>
        <v>15</v>
      </c>
      <c r="H1944" s="3">
        <f t="shared" si="436"/>
        <v>14</v>
      </c>
      <c r="I1944" s="3">
        <f t="shared" si="437"/>
        <v>35</v>
      </c>
      <c r="J1944" s="3">
        <f t="shared" si="43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39"/>
        <v>YES</v>
      </c>
      <c r="Q1944" t="str">
        <f t="shared" si="440"/>
        <v>NO</v>
      </c>
      <c r="R1944" t="str">
        <f t="shared" si="441"/>
        <v>NO</v>
      </c>
      <c r="T1944" t="s">
        <v>453</v>
      </c>
      <c r="U1944" t="str">
        <f t="shared" si="442"/>
        <v>Brookline St</v>
      </c>
      <c r="V1944" t="s">
        <v>14</v>
      </c>
      <c r="W1944" t="str">
        <f t="shared" si="443"/>
        <v>Massachusetts Ave</v>
      </c>
      <c r="X1944" t="str">
        <f>IF(ISBLANK(S1944),"Intersection","Non-Intersection")</f>
        <v>Intersection</v>
      </c>
      <c r="Y1944" t="s">
        <v>1622</v>
      </c>
      <c r="Z1944" t="str">
        <f t="shared" si="444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31"/>
        <v>40544</v>
      </c>
      <c r="D1945" s="4">
        <f t="shared" si="432"/>
        <v>0.2</v>
      </c>
      <c r="E1945" s="3">
        <f t="shared" si="433"/>
        <v>2011</v>
      </c>
      <c r="F1945" s="3">
        <f t="shared" si="434"/>
        <v>3</v>
      </c>
      <c r="G1945" s="3">
        <f t="shared" si="435"/>
        <v>15</v>
      </c>
      <c r="H1945" s="3">
        <f t="shared" si="436"/>
        <v>12</v>
      </c>
      <c r="I1945" s="3">
        <f t="shared" si="437"/>
        <v>59</v>
      </c>
      <c r="J1945" s="3">
        <f t="shared" si="43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39"/>
        <v>YES</v>
      </c>
      <c r="Q1945" t="str">
        <f t="shared" si="440"/>
        <v>NO</v>
      </c>
      <c r="R1945" t="str">
        <f t="shared" si="441"/>
        <v>NO</v>
      </c>
      <c r="T1945" t="s">
        <v>479</v>
      </c>
      <c r="U1945" t="str">
        <f t="shared" si="442"/>
        <v>Callender St</v>
      </c>
      <c r="V1945" t="s">
        <v>1795</v>
      </c>
      <c r="W1945" t="str">
        <f t="shared" si="443"/>
        <v>Hews St</v>
      </c>
      <c r="X1945" t="str">
        <f>IF(ISBLANK(S1945),"Intersection","Non-Intersection")</f>
        <v>Intersection</v>
      </c>
      <c r="Y1945" t="s">
        <v>2923</v>
      </c>
      <c r="Z1945" t="str">
        <f t="shared" si="444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31"/>
        <v>40544</v>
      </c>
      <c r="D1946" s="4">
        <f t="shared" si="432"/>
        <v>0.20273972602739726</v>
      </c>
      <c r="E1946" s="3">
        <f t="shared" si="433"/>
        <v>2011</v>
      </c>
      <c r="F1946" s="3">
        <f t="shared" si="434"/>
        <v>3</v>
      </c>
      <c r="G1946" s="3">
        <f t="shared" si="435"/>
        <v>16</v>
      </c>
      <c r="H1946" s="3">
        <f t="shared" si="436"/>
        <v>17</v>
      </c>
      <c r="I1946" s="3">
        <f t="shared" si="437"/>
        <v>0</v>
      </c>
      <c r="J1946" s="3">
        <f t="shared" si="43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39"/>
        <v>YES</v>
      </c>
      <c r="Q1946" t="str">
        <f t="shared" si="440"/>
        <v>NO</v>
      </c>
      <c r="R1946" t="str">
        <f t="shared" si="441"/>
        <v>NO</v>
      </c>
      <c r="T1946" t="s">
        <v>335</v>
      </c>
      <c r="U1946" t="str">
        <f t="shared" si="442"/>
        <v>Ware St</v>
      </c>
      <c r="W1946" t="str">
        <f t="shared" si="443"/>
        <v/>
      </c>
      <c r="X1946" t="str">
        <f>IF(ISBLANK(S1946),"Intersection","Non-Intersection")</f>
        <v>Intersection</v>
      </c>
      <c r="Y1946" t="s">
        <v>2989</v>
      </c>
      <c r="Z1946" t="str">
        <f t="shared" si="444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31"/>
        <v>40544</v>
      </c>
      <c r="D1947" s="4">
        <f t="shared" si="432"/>
        <v>0.20273972602739726</v>
      </c>
      <c r="E1947" s="3">
        <f t="shared" si="433"/>
        <v>2011</v>
      </c>
      <c r="F1947" s="3">
        <f t="shared" si="434"/>
        <v>3</v>
      </c>
      <c r="G1947" s="3">
        <f t="shared" si="435"/>
        <v>16</v>
      </c>
      <c r="H1947" s="3">
        <f t="shared" si="436"/>
        <v>18</v>
      </c>
      <c r="I1947" s="3">
        <f t="shared" si="437"/>
        <v>59</v>
      </c>
      <c r="J1947" s="3">
        <f t="shared" si="43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39"/>
        <v>YES</v>
      </c>
      <c r="Q1947" t="str">
        <f t="shared" si="440"/>
        <v>NO</v>
      </c>
      <c r="R1947" t="str">
        <f t="shared" si="441"/>
        <v>YES</v>
      </c>
      <c r="T1947" t="s">
        <v>587</v>
      </c>
      <c r="U1947" t="str">
        <f t="shared" si="442"/>
        <v>Webster Ave</v>
      </c>
      <c r="W1947" t="str">
        <f t="shared" si="443"/>
        <v/>
      </c>
      <c r="X1947" t="str">
        <f>IF(ISBLANK(S1947),"Intersection","Non-Intersection")</f>
        <v>Intersection</v>
      </c>
      <c r="Y1947" t="s">
        <v>2990</v>
      </c>
      <c r="Z1947" t="str">
        <f t="shared" si="444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31"/>
        <v>40544</v>
      </c>
      <c r="D1948" s="4">
        <f t="shared" si="432"/>
        <v>0.20273972602739726</v>
      </c>
      <c r="E1948" s="3">
        <f t="shared" si="433"/>
        <v>2011</v>
      </c>
      <c r="F1948" s="3">
        <f t="shared" si="434"/>
        <v>3</v>
      </c>
      <c r="G1948" s="3">
        <f t="shared" si="435"/>
        <v>16</v>
      </c>
      <c r="H1948" s="3">
        <f t="shared" si="436"/>
        <v>22</v>
      </c>
      <c r="I1948" s="3">
        <f t="shared" si="437"/>
        <v>21</v>
      </c>
      <c r="J1948" s="3">
        <f t="shared" si="43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39"/>
        <v>YES</v>
      </c>
      <c r="Q1948" t="str">
        <f t="shared" si="440"/>
        <v>NO</v>
      </c>
      <c r="R1948" t="str">
        <f t="shared" si="441"/>
        <v>NO</v>
      </c>
      <c r="T1948" t="s">
        <v>32</v>
      </c>
      <c r="U1948" t="str">
        <f t="shared" si="442"/>
        <v>Main St</v>
      </c>
      <c r="W1948" t="str">
        <f t="shared" si="443"/>
        <v/>
      </c>
      <c r="X1948" t="str">
        <f>IF(ISBLANK(S1948),"Intersection","Non-Intersection")</f>
        <v>Intersection</v>
      </c>
      <c r="Y1948" t="s">
        <v>2991</v>
      </c>
      <c r="Z1948" t="str">
        <f t="shared" si="444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31"/>
        <v>40544</v>
      </c>
      <c r="D1949" s="4">
        <f t="shared" si="432"/>
        <v>0.20273972602739726</v>
      </c>
      <c r="E1949" s="3">
        <f t="shared" si="433"/>
        <v>2011</v>
      </c>
      <c r="F1949" s="3">
        <f t="shared" si="434"/>
        <v>3</v>
      </c>
      <c r="G1949" s="3">
        <f t="shared" si="435"/>
        <v>16</v>
      </c>
      <c r="H1949" s="3">
        <f t="shared" si="436"/>
        <v>21</v>
      </c>
      <c r="I1949" s="3">
        <f t="shared" si="437"/>
        <v>17</v>
      </c>
      <c r="J1949" s="3">
        <f t="shared" si="43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39"/>
        <v>YES</v>
      </c>
      <c r="Q1949" t="str">
        <f t="shared" si="440"/>
        <v>NO</v>
      </c>
      <c r="R1949" t="str">
        <f t="shared" si="441"/>
        <v>NO</v>
      </c>
      <c r="S1949">
        <v>301</v>
      </c>
      <c r="T1949" t="s">
        <v>209</v>
      </c>
      <c r="U1949" t="str">
        <f t="shared" si="442"/>
        <v>Binney St</v>
      </c>
      <c r="W1949" t="str">
        <f t="shared" si="443"/>
        <v/>
      </c>
      <c r="X1949" t="str">
        <f>IF(ISBLANK(S1949),"Intersection","Non-Intersection")</f>
        <v>Non-Intersection</v>
      </c>
      <c r="Y1949" t="s">
        <v>670</v>
      </c>
      <c r="Z1949" t="str">
        <f t="shared" si="444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31"/>
        <v>40544</v>
      </c>
      <c r="D1950" s="4">
        <f t="shared" si="432"/>
        <v>0.20547945205479451</v>
      </c>
      <c r="E1950" s="3">
        <f t="shared" si="433"/>
        <v>2011</v>
      </c>
      <c r="F1950" s="3">
        <f t="shared" si="434"/>
        <v>3</v>
      </c>
      <c r="G1950" s="3">
        <f t="shared" si="435"/>
        <v>17</v>
      </c>
      <c r="H1950" s="3">
        <f t="shared" si="436"/>
        <v>20</v>
      </c>
      <c r="I1950" s="3">
        <f t="shared" si="437"/>
        <v>22</v>
      </c>
      <c r="J1950" s="3">
        <f t="shared" si="43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39"/>
        <v>YES</v>
      </c>
      <c r="Q1950" t="str">
        <f t="shared" si="440"/>
        <v>NO</v>
      </c>
      <c r="R1950" t="str">
        <f t="shared" si="441"/>
        <v>NO</v>
      </c>
      <c r="T1950" t="s">
        <v>134</v>
      </c>
      <c r="U1950" t="str">
        <f t="shared" si="442"/>
        <v>Quincy St</v>
      </c>
      <c r="V1950" t="s">
        <v>19</v>
      </c>
      <c r="W1950" t="str">
        <f t="shared" si="443"/>
        <v>Cambridge St</v>
      </c>
      <c r="X1950" t="str">
        <f>IF(ISBLANK(S1950),"Intersection","Non-Intersection")</f>
        <v>Intersection</v>
      </c>
      <c r="Y1950" t="s">
        <v>426</v>
      </c>
      <c r="Z1950" t="str">
        <f t="shared" si="444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45">EOMONTH(B1951,MONTH(B1951)*-1)+1</f>
        <v>40544</v>
      </c>
      <c r="D1951" s="4">
        <f t="shared" ref="D1951:D2012" si="446">YEARFRAC(C1951,B1951,1)</f>
        <v>0.20547945205479451</v>
      </c>
      <c r="E1951" s="3">
        <f t="shared" ref="E1951:E2012" si="447">YEAR(B1951)</f>
        <v>2011</v>
      </c>
      <c r="F1951" s="3">
        <f t="shared" ref="F1951:F2012" si="448">MONTH(B1951)</f>
        <v>3</v>
      </c>
      <c r="G1951" s="3">
        <f t="shared" ref="G1951:G2012" si="449">DAY(B1951)</f>
        <v>17</v>
      </c>
      <c r="H1951" s="3">
        <f t="shared" ref="H1951:H2012" si="450">HOUR(B1951)</f>
        <v>19</v>
      </c>
      <c r="I1951" s="3">
        <f t="shared" ref="I1951:I2012" si="451">MINUTE(B1951)</f>
        <v>44</v>
      </c>
      <c r="J1951" s="3">
        <f t="shared" ref="J1951:J2012" si="452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53">IF(OR(N1951="Auto",O1951="Auto"),"YES",IF(OR(N1951="Taxi",O1951="Taxi"),"YES",IF(OR(N1951="Van",O1951="Van"),"YES",IF(OR(N1951="Truck",O1951="Truck"),"YES","NO"))))</f>
        <v>YES</v>
      </c>
      <c r="Q1951" t="str">
        <f t="shared" ref="Q1951:Q2012" si="454">IF(OR(N1951="Bicycle",O1951="Bicycle"),"YES","NO")</f>
        <v>NO</v>
      </c>
      <c r="R1951" t="str">
        <f t="shared" ref="R1951:R2012" si="455">IF(OR(N1951="Pedestrian",O1951="Pedestrian"),"YES","NO")</f>
        <v>NO</v>
      </c>
      <c r="T1951" t="s">
        <v>42</v>
      </c>
      <c r="U1951" t="str">
        <f t="shared" si="442"/>
        <v>Putnam Ave</v>
      </c>
      <c r="V1951" t="s">
        <v>332</v>
      </c>
      <c r="W1951" t="str">
        <f t="shared" si="443"/>
        <v>Allston St</v>
      </c>
      <c r="X1951" t="str">
        <f>IF(ISBLANK(S1951),"Intersection","Non-Intersection")</f>
        <v>Intersection</v>
      </c>
      <c r="Y1951" t="s">
        <v>2238</v>
      </c>
      <c r="Z1951" t="str">
        <f t="shared" si="444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45"/>
        <v>40544</v>
      </c>
      <c r="D1952" s="4">
        <f t="shared" si="446"/>
        <v>0.20821917808219179</v>
      </c>
      <c r="E1952" s="3">
        <f t="shared" si="447"/>
        <v>2011</v>
      </c>
      <c r="F1952" s="3">
        <f t="shared" si="448"/>
        <v>3</v>
      </c>
      <c r="G1952" s="3">
        <f t="shared" si="449"/>
        <v>18</v>
      </c>
      <c r="H1952" s="3">
        <f t="shared" si="450"/>
        <v>8</v>
      </c>
      <c r="I1952" s="3">
        <f t="shared" si="451"/>
        <v>15</v>
      </c>
      <c r="J1952" s="3">
        <f t="shared" si="452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53"/>
        <v>YES</v>
      </c>
      <c r="Q1952" t="str">
        <f t="shared" si="454"/>
        <v>NO</v>
      </c>
      <c r="R1952" t="str">
        <f t="shared" si="455"/>
        <v>NO</v>
      </c>
      <c r="S1952">
        <v>49</v>
      </c>
      <c r="T1952" t="s">
        <v>50</v>
      </c>
      <c r="U1952" t="str">
        <f t="shared" si="442"/>
        <v>Belmont St</v>
      </c>
      <c r="W1952" t="str">
        <f t="shared" si="443"/>
        <v/>
      </c>
      <c r="X1952" t="str">
        <f>IF(ISBLANK(S1952),"Intersection","Non-Intersection")</f>
        <v>Non-Intersection</v>
      </c>
      <c r="Y1952" t="s">
        <v>2992</v>
      </c>
      <c r="Z1952" t="str">
        <f t="shared" si="444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45"/>
        <v>40544</v>
      </c>
      <c r="D1953" s="4">
        <f t="shared" si="446"/>
        <v>0.20821917808219179</v>
      </c>
      <c r="E1953" s="3">
        <f t="shared" si="447"/>
        <v>2011</v>
      </c>
      <c r="F1953" s="3">
        <f t="shared" si="448"/>
        <v>3</v>
      </c>
      <c r="G1953" s="3">
        <f t="shared" si="449"/>
        <v>18</v>
      </c>
      <c r="H1953" s="3">
        <f t="shared" si="450"/>
        <v>13</v>
      </c>
      <c r="I1953" s="3">
        <f t="shared" si="451"/>
        <v>56</v>
      </c>
      <c r="J1953" s="3">
        <f t="shared" si="452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53"/>
        <v>YES</v>
      </c>
      <c r="Q1953" t="str">
        <f t="shared" si="454"/>
        <v>NO</v>
      </c>
      <c r="R1953" t="str">
        <f t="shared" si="455"/>
        <v>NO</v>
      </c>
      <c r="T1953" t="s">
        <v>189</v>
      </c>
      <c r="U1953" t="str">
        <f t="shared" si="442"/>
        <v>Windsor St</v>
      </c>
      <c r="V1953" t="s">
        <v>14</v>
      </c>
      <c r="W1953" t="str">
        <f t="shared" si="443"/>
        <v>Massachusetts Ave</v>
      </c>
      <c r="X1953" t="str">
        <f>IF(ISBLANK(S1953),"Intersection","Non-Intersection")</f>
        <v>Intersection</v>
      </c>
      <c r="Y1953" t="s">
        <v>2994</v>
      </c>
      <c r="Z1953" t="str">
        <f t="shared" si="444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45"/>
        <v>40544</v>
      </c>
      <c r="D1954" s="4">
        <f t="shared" si="446"/>
        <v>0.21095890410958903</v>
      </c>
      <c r="E1954" s="3">
        <f t="shared" si="447"/>
        <v>2011</v>
      </c>
      <c r="F1954" s="3">
        <f t="shared" si="448"/>
        <v>3</v>
      </c>
      <c r="G1954" s="3">
        <f t="shared" si="449"/>
        <v>19</v>
      </c>
      <c r="H1954" s="3">
        <f t="shared" si="450"/>
        <v>19</v>
      </c>
      <c r="I1954" s="3">
        <f t="shared" si="451"/>
        <v>9</v>
      </c>
      <c r="J1954" s="3">
        <f t="shared" si="452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53"/>
        <v>YES</v>
      </c>
      <c r="Q1954" t="str">
        <f t="shared" si="454"/>
        <v>NO</v>
      </c>
      <c r="R1954" t="str">
        <f t="shared" si="455"/>
        <v>NO</v>
      </c>
      <c r="S1954">
        <v>1</v>
      </c>
      <c r="T1954" t="s">
        <v>2995</v>
      </c>
      <c r="U1954" t="str">
        <f t="shared" si="442"/>
        <v>Hancock Park</v>
      </c>
      <c r="W1954" t="str">
        <f t="shared" si="443"/>
        <v/>
      </c>
      <c r="X1954" t="str">
        <f>IF(ISBLANK(S1954),"Intersection","Non-Intersection")</f>
        <v>Non-Intersection</v>
      </c>
      <c r="Y1954" t="s">
        <v>2996</v>
      </c>
      <c r="Z1954" t="str">
        <f t="shared" si="444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45"/>
        <v>40544</v>
      </c>
      <c r="D1955" s="4">
        <f t="shared" si="446"/>
        <v>0.21095890410958903</v>
      </c>
      <c r="E1955" s="3">
        <f t="shared" si="447"/>
        <v>2011</v>
      </c>
      <c r="F1955" s="3">
        <f t="shared" si="448"/>
        <v>3</v>
      </c>
      <c r="G1955" s="3">
        <f t="shared" si="449"/>
        <v>19</v>
      </c>
      <c r="H1955" s="3">
        <f t="shared" si="450"/>
        <v>20</v>
      </c>
      <c r="I1955" s="3">
        <f t="shared" si="451"/>
        <v>29</v>
      </c>
      <c r="J1955" s="3">
        <f t="shared" si="452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53"/>
        <v>YES</v>
      </c>
      <c r="Q1955" t="str">
        <f t="shared" si="454"/>
        <v>NO</v>
      </c>
      <c r="R1955" t="str">
        <f t="shared" si="455"/>
        <v>NO</v>
      </c>
      <c r="T1955" t="s">
        <v>19</v>
      </c>
      <c r="U1955" t="str">
        <f t="shared" si="442"/>
        <v>Cambridge St</v>
      </c>
      <c r="W1955" t="str">
        <f t="shared" si="443"/>
        <v/>
      </c>
      <c r="X1955" t="str">
        <f>IF(ISBLANK(S1955),"Intersection","Non-Intersection")</f>
        <v>Intersection</v>
      </c>
      <c r="Y1955" t="s">
        <v>2237</v>
      </c>
      <c r="Z1955" t="str">
        <f t="shared" si="444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45"/>
        <v>40544</v>
      </c>
      <c r="D1956" s="4">
        <f t="shared" si="446"/>
        <v>0.21095890410958903</v>
      </c>
      <c r="E1956" s="3">
        <f t="shared" si="447"/>
        <v>2011</v>
      </c>
      <c r="F1956" s="3">
        <f t="shared" si="448"/>
        <v>3</v>
      </c>
      <c r="G1956" s="3">
        <f t="shared" si="449"/>
        <v>19</v>
      </c>
      <c r="H1956" s="3">
        <f t="shared" si="450"/>
        <v>9</v>
      </c>
      <c r="I1956" s="3">
        <f t="shared" si="451"/>
        <v>59</v>
      </c>
      <c r="J1956" s="3">
        <f t="shared" si="452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53"/>
        <v>YES</v>
      </c>
      <c r="Q1956" t="str">
        <f t="shared" si="454"/>
        <v>NO</v>
      </c>
      <c r="R1956" t="str">
        <f t="shared" si="455"/>
        <v>NO</v>
      </c>
      <c r="S1956">
        <v>23</v>
      </c>
      <c r="T1956" t="s">
        <v>185</v>
      </c>
      <c r="U1956" t="str">
        <f t="shared" si="442"/>
        <v>Garden St</v>
      </c>
      <c r="W1956" t="str">
        <f t="shared" si="443"/>
        <v/>
      </c>
      <c r="X1956" t="str">
        <f>IF(ISBLANK(S1956),"Intersection","Non-Intersection")</f>
        <v>Non-Intersection</v>
      </c>
      <c r="Y1956" t="s">
        <v>2998</v>
      </c>
      <c r="Z1956" t="str">
        <f t="shared" si="444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45"/>
        <v>40544</v>
      </c>
      <c r="D1957" s="4">
        <f t="shared" si="446"/>
        <v>0.21095890410958903</v>
      </c>
      <c r="E1957" s="3">
        <f t="shared" si="447"/>
        <v>2011</v>
      </c>
      <c r="F1957" s="3">
        <f t="shared" si="448"/>
        <v>3</v>
      </c>
      <c r="G1957" s="3">
        <f t="shared" si="449"/>
        <v>19</v>
      </c>
      <c r="H1957" s="3">
        <f t="shared" si="450"/>
        <v>21</v>
      </c>
      <c r="I1957" s="3">
        <f t="shared" si="451"/>
        <v>5</v>
      </c>
      <c r="J1957" s="3">
        <f t="shared" si="452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53"/>
        <v>YES</v>
      </c>
      <c r="Q1957" t="str">
        <f t="shared" si="454"/>
        <v>NO</v>
      </c>
      <c r="R1957" t="str">
        <f t="shared" si="455"/>
        <v>NO</v>
      </c>
      <c r="T1957" t="s">
        <v>28</v>
      </c>
      <c r="U1957" t="str">
        <f t="shared" si="442"/>
        <v>Howard St</v>
      </c>
      <c r="V1957" t="s">
        <v>27</v>
      </c>
      <c r="W1957" t="str">
        <f t="shared" si="443"/>
        <v>Western Ave</v>
      </c>
      <c r="X1957" t="str">
        <f>IF(ISBLANK(S1957),"Intersection","Non-Intersection")</f>
        <v>Intersection</v>
      </c>
      <c r="Y1957" t="s">
        <v>1772</v>
      </c>
      <c r="Z1957" t="str">
        <f t="shared" si="444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45"/>
        <v>40544</v>
      </c>
      <c r="D1958" s="4">
        <f t="shared" si="446"/>
        <v>0.21095890410958903</v>
      </c>
      <c r="E1958" s="3">
        <f t="shared" si="447"/>
        <v>2011</v>
      </c>
      <c r="F1958" s="3">
        <f t="shared" si="448"/>
        <v>3</v>
      </c>
      <c r="G1958" s="3">
        <f t="shared" si="449"/>
        <v>19</v>
      </c>
      <c r="H1958" s="3">
        <f t="shared" si="450"/>
        <v>15</v>
      </c>
      <c r="I1958" s="3">
        <f t="shared" si="451"/>
        <v>30</v>
      </c>
      <c r="J1958" s="3">
        <f t="shared" si="452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53"/>
        <v>YES</v>
      </c>
      <c r="Q1958" t="str">
        <f t="shared" si="454"/>
        <v>YES</v>
      </c>
      <c r="R1958" t="str">
        <f t="shared" si="455"/>
        <v>NO</v>
      </c>
      <c r="S1958">
        <v>1559</v>
      </c>
      <c r="T1958" t="s">
        <v>14</v>
      </c>
      <c r="U1958" t="str">
        <f t="shared" si="442"/>
        <v>Massachusetts Ave</v>
      </c>
      <c r="W1958" t="str">
        <f t="shared" si="443"/>
        <v/>
      </c>
      <c r="X1958" t="str">
        <f>IF(ISBLANK(S1958),"Intersection","Non-Intersection")</f>
        <v>Non-Intersection</v>
      </c>
      <c r="Y1958" t="s">
        <v>3000</v>
      </c>
      <c r="Z1958" t="str">
        <f t="shared" si="444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45"/>
        <v>40544</v>
      </c>
      <c r="D1959" s="4">
        <f t="shared" si="446"/>
        <v>0.21369863013698631</v>
      </c>
      <c r="E1959" s="3">
        <f t="shared" si="447"/>
        <v>2011</v>
      </c>
      <c r="F1959" s="3">
        <f t="shared" si="448"/>
        <v>3</v>
      </c>
      <c r="G1959" s="3">
        <f t="shared" si="449"/>
        <v>20</v>
      </c>
      <c r="H1959" s="3">
        <f t="shared" si="450"/>
        <v>17</v>
      </c>
      <c r="I1959" s="3">
        <f t="shared" si="451"/>
        <v>0</v>
      </c>
      <c r="J1959" s="3">
        <f t="shared" si="452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53"/>
        <v>YES</v>
      </c>
      <c r="Q1959" t="str">
        <f t="shared" si="454"/>
        <v>NO</v>
      </c>
      <c r="R1959" t="str">
        <f t="shared" si="455"/>
        <v>NO</v>
      </c>
      <c r="T1959" t="s">
        <v>198</v>
      </c>
      <c r="U1959" t="str">
        <f t="shared" si="442"/>
        <v>Mount Auburn St</v>
      </c>
      <c r="V1959" t="s">
        <v>1841</v>
      </c>
      <c r="W1959" t="str">
        <f t="shared" si="443"/>
        <v>Linden St</v>
      </c>
      <c r="X1959" t="str">
        <f>IF(ISBLANK(S1959),"Intersection","Non-Intersection")</f>
        <v>Intersection</v>
      </c>
      <c r="Y1959" t="s">
        <v>2097</v>
      </c>
      <c r="Z1959" t="str">
        <f t="shared" si="444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45"/>
        <v>40544</v>
      </c>
      <c r="D1960" s="4">
        <f t="shared" si="446"/>
        <v>0.21369863013698631</v>
      </c>
      <c r="E1960" s="3">
        <f t="shared" si="447"/>
        <v>2011</v>
      </c>
      <c r="F1960" s="3">
        <f t="shared" si="448"/>
        <v>3</v>
      </c>
      <c r="G1960" s="3">
        <f t="shared" si="449"/>
        <v>20</v>
      </c>
      <c r="H1960" s="3">
        <f t="shared" si="450"/>
        <v>15</v>
      </c>
      <c r="I1960" s="3">
        <f t="shared" si="451"/>
        <v>59</v>
      </c>
      <c r="J1960" s="3">
        <f t="shared" si="452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53"/>
        <v>YES</v>
      </c>
      <c r="Q1960" t="str">
        <f t="shared" si="454"/>
        <v>NO</v>
      </c>
      <c r="R1960" t="str">
        <f t="shared" si="455"/>
        <v>NO</v>
      </c>
      <c r="T1960" t="s">
        <v>14</v>
      </c>
      <c r="U1960" t="str">
        <f t="shared" si="442"/>
        <v>Massachusetts Ave</v>
      </c>
      <c r="V1960" t="s">
        <v>840</v>
      </c>
      <c r="W1960" t="str">
        <f t="shared" si="443"/>
        <v>Church St</v>
      </c>
      <c r="X1960" t="str">
        <f>IF(ISBLANK(S1960),"Intersection","Non-Intersection")</f>
        <v>Intersection</v>
      </c>
      <c r="Y1960" t="s">
        <v>1264</v>
      </c>
      <c r="Z1960" t="str">
        <f t="shared" si="444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45"/>
        <v>40544</v>
      </c>
      <c r="D1961" s="4">
        <f t="shared" si="446"/>
        <v>0.21369863013698631</v>
      </c>
      <c r="E1961" s="3">
        <f t="shared" si="447"/>
        <v>2011</v>
      </c>
      <c r="F1961" s="3">
        <f t="shared" si="448"/>
        <v>3</v>
      </c>
      <c r="G1961" s="3">
        <f t="shared" si="449"/>
        <v>20</v>
      </c>
      <c r="H1961" s="3">
        <f t="shared" si="450"/>
        <v>15</v>
      </c>
      <c r="I1961" s="3">
        <f t="shared" si="451"/>
        <v>31</v>
      </c>
      <c r="J1961" s="3">
        <f t="shared" si="452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NO</v>
      </c>
      <c r="R1961" t="str">
        <f t="shared" si="455"/>
        <v>NO</v>
      </c>
      <c r="T1961" t="s">
        <v>14</v>
      </c>
      <c r="U1961" t="str">
        <f t="shared" si="442"/>
        <v>Massachusetts Ave</v>
      </c>
      <c r="V1961" t="s">
        <v>3001</v>
      </c>
      <c r="W1961" t="str">
        <f t="shared" si="443"/>
        <v>Edmunds St</v>
      </c>
      <c r="X1961" t="str">
        <f>IF(ISBLANK(S1961),"Intersection","Non-Intersection")</f>
        <v>Intersection</v>
      </c>
      <c r="Y1961" t="s">
        <v>3002</v>
      </c>
      <c r="Z1961" t="str">
        <f t="shared" si="444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45"/>
        <v>40544</v>
      </c>
      <c r="D1962" s="4">
        <f t="shared" si="446"/>
        <v>0.21369863013698631</v>
      </c>
      <c r="E1962" s="3">
        <f t="shared" si="447"/>
        <v>2011</v>
      </c>
      <c r="F1962" s="3">
        <f t="shared" si="448"/>
        <v>3</v>
      </c>
      <c r="G1962" s="3">
        <f t="shared" si="449"/>
        <v>20</v>
      </c>
      <c r="H1962" s="3">
        <f t="shared" si="450"/>
        <v>21</v>
      </c>
      <c r="I1962" s="3">
        <f t="shared" si="451"/>
        <v>0</v>
      </c>
      <c r="J1962" s="3">
        <f t="shared" si="452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53"/>
        <v>YES</v>
      </c>
      <c r="Q1962" t="str">
        <f t="shared" si="454"/>
        <v>NO</v>
      </c>
      <c r="R1962" t="str">
        <f t="shared" si="455"/>
        <v>NO</v>
      </c>
      <c r="S1962">
        <v>15</v>
      </c>
      <c r="T1962" t="s">
        <v>3004</v>
      </c>
      <c r="U1962" t="str">
        <f t="shared" si="442"/>
        <v>Chester St</v>
      </c>
      <c r="W1962" t="str">
        <f t="shared" si="443"/>
        <v/>
      </c>
      <c r="X1962" t="str">
        <f>IF(ISBLANK(S1962),"Intersection","Non-Intersection")</f>
        <v>Non-Intersection</v>
      </c>
      <c r="Y1962" t="s">
        <v>3005</v>
      </c>
      <c r="Z1962" t="str">
        <f t="shared" si="444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45"/>
        <v>40544</v>
      </c>
      <c r="D1963" s="4">
        <f t="shared" si="446"/>
        <v>0.21643835616438356</v>
      </c>
      <c r="E1963" s="3">
        <f t="shared" si="447"/>
        <v>2011</v>
      </c>
      <c r="F1963" s="3">
        <f t="shared" si="448"/>
        <v>3</v>
      </c>
      <c r="G1963" s="3">
        <f t="shared" si="449"/>
        <v>21</v>
      </c>
      <c r="H1963" s="3">
        <f t="shared" si="450"/>
        <v>9</v>
      </c>
      <c r="I1963" s="3">
        <f t="shared" si="451"/>
        <v>40</v>
      </c>
      <c r="J1963" s="3">
        <f t="shared" si="452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53"/>
        <v>YES</v>
      </c>
      <c r="Q1963" t="str">
        <f t="shared" si="454"/>
        <v>NO</v>
      </c>
      <c r="R1963" t="str">
        <f t="shared" si="455"/>
        <v>NO</v>
      </c>
      <c r="T1963" t="s">
        <v>14</v>
      </c>
      <c r="U1963" t="str">
        <f t="shared" si="442"/>
        <v>Massachusetts Ave</v>
      </c>
      <c r="V1963" t="s">
        <v>487</v>
      </c>
      <c r="W1963" t="str">
        <f t="shared" si="443"/>
        <v>Beech St</v>
      </c>
      <c r="X1963" t="str">
        <f>IF(ISBLANK(S1963),"Intersection","Non-Intersection")</f>
        <v>Intersection</v>
      </c>
      <c r="Y1963" t="s">
        <v>787</v>
      </c>
      <c r="Z1963" t="str">
        <f t="shared" si="444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45"/>
        <v>40544</v>
      </c>
      <c r="D1964" s="4">
        <f t="shared" si="446"/>
        <v>0.21643835616438356</v>
      </c>
      <c r="E1964" s="3">
        <f t="shared" si="447"/>
        <v>2011</v>
      </c>
      <c r="F1964" s="3">
        <f t="shared" si="448"/>
        <v>3</v>
      </c>
      <c r="G1964" s="3">
        <f t="shared" si="449"/>
        <v>21</v>
      </c>
      <c r="H1964" s="3">
        <f t="shared" si="450"/>
        <v>9</v>
      </c>
      <c r="I1964" s="3">
        <f t="shared" si="451"/>
        <v>30</v>
      </c>
      <c r="J1964" s="3">
        <f t="shared" si="452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53"/>
        <v>YES</v>
      </c>
      <c r="Q1964" t="str">
        <f t="shared" si="454"/>
        <v>NO</v>
      </c>
      <c r="R1964" t="str">
        <f t="shared" si="455"/>
        <v>NO</v>
      </c>
      <c r="T1964" t="s">
        <v>556</v>
      </c>
      <c r="U1964" t="str">
        <f t="shared" si="442"/>
        <v>Bent St</v>
      </c>
      <c r="V1964" t="s">
        <v>61</v>
      </c>
      <c r="W1964" t="str">
        <f t="shared" si="443"/>
        <v>First St</v>
      </c>
      <c r="X1964" t="str">
        <f>IF(ISBLANK(S1964),"Intersection","Non-Intersection")</f>
        <v>Intersection</v>
      </c>
      <c r="Y1964" t="s">
        <v>3007</v>
      </c>
      <c r="Z1964" t="str">
        <f t="shared" si="444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45"/>
        <v>40544</v>
      </c>
      <c r="D1965" s="4">
        <f t="shared" si="446"/>
        <v>0.21643835616438356</v>
      </c>
      <c r="E1965" s="3">
        <f t="shared" si="447"/>
        <v>2011</v>
      </c>
      <c r="F1965" s="3">
        <f t="shared" si="448"/>
        <v>3</v>
      </c>
      <c r="G1965" s="3">
        <f t="shared" si="449"/>
        <v>21</v>
      </c>
      <c r="H1965" s="3">
        <f t="shared" si="450"/>
        <v>14</v>
      </c>
      <c r="I1965" s="3">
        <f t="shared" si="451"/>
        <v>0</v>
      </c>
      <c r="J1965" s="3">
        <f t="shared" si="452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53"/>
        <v>YES</v>
      </c>
      <c r="Q1965" t="str">
        <f t="shared" si="454"/>
        <v>NO</v>
      </c>
      <c r="R1965" t="str">
        <f t="shared" si="455"/>
        <v>NO</v>
      </c>
      <c r="S1965">
        <v>89</v>
      </c>
      <c r="T1965" t="s">
        <v>1351</v>
      </c>
      <c r="U1965" t="str">
        <f t="shared" si="442"/>
        <v>Appleton Pl</v>
      </c>
      <c r="W1965" t="str">
        <f t="shared" si="443"/>
        <v/>
      </c>
      <c r="X1965" t="str">
        <f>IF(ISBLANK(S1965),"Intersection","Non-Intersection")</f>
        <v>Non-Intersection</v>
      </c>
      <c r="Y1965" t="s">
        <v>3009</v>
      </c>
      <c r="Z1965" t="str">
        <f t="shared" si="444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45"/>
        <v>40544</v>
      </c>
      <c r="D1966" s="4">
        <f t="shared" si="446"/>
        <v>0.21643835616438356</v>
      </c>
      <c r="E1966" s="3">
        <f t="shared" si="447"/>
        <v>2011</v>
      </c>
      <c r="F1966" s="3">
        <f t="shared" si="448"/>
        <v>3</v>
      </c>
      <c r="G1966" s="3">
        <f t="shared" si="449"/>
        <v>21</v>
      </c>
      <c r="H1966" s="3">
        <f t="shared" si="450"/>
        <v>9</v>
      </c>
      <c r="I1966" s="3">
        <f t="shared" si="451"/>
        <v>0</v>
      </c>
      <c r="J1966" s="3">
        <f t="shared" si="452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53"/>
        <v>YES</v>
      </c>
      <c r="Q1966" t="str">
        <f t="shared" si="454"/>
        <v>NO</v>
      </c>
      <c r="R1966" t="str">
        <f t="shared" si="455"/>
        <v>NO</v>
      </c>
      <c r="T1966" t="s">
        <v>147</v>
      </c>
      <c r="U1966" t="str">
        <f t="shared" si="442"/>
        <v>Sixth St</v>
      </c>
      <c r="V1966" t="s">
        <v>261</v>
      </c>
      <c r="W1966" t="str">
        <f t="shared" si="443"/>
        <v>Otis St</v>
      </c>
      <c r="X1966" t="str">
        <f>IF(ISBLANK(S1966),"Intersection","Non-Intersection")</f>
        <v>Intersection</v>
      </c>
      <c r="Y1966" t="s">
        <v>3011</v>
      </c>
      <c r="Z1966" t="str">
        <f t="shared" si="444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45"/>
        <v>40544</v>
      </c>
      <c r="D1967" s="4">
        <f t="shared" si="446"/>
        <v>0.21917808219178081</v>
      </c>
      <c r="E1967" s="3">
        <f t="shared" si="447"/>
        <v>2011</v>
      </c>
      <c r="F1967" s="3">
        <f t="shared" si="448"/>
        <v>3</v>
      </c>
      <c r="G1967" s="3">
        <f t="shared" si="449"/>
        <v>22</v>
      </c>
      <c r="H1967" s="3">
        <f t="shared" si="450"/>
        <v>12</v>
      </c>
      <c r="I1967" s="3">
        <f t="shared" si="451"/>
        <v>30</v>
      </c>
      <c r="J1967" s="3">
        <f t="shared" si="452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53"/>
        <v>YES</v>
      </c>
      <c r="Q1967" t="str">
        <f t="shared" si="454"/>
        <v>YES</v>
      </c>
      <c r="R1967" t="str">
        <f t="shared" si="455"/>
        <v>NO</v>
      </c>
      <c r="T1967" t="s">
        <v>186</v>
      </c>
      <c r="U1967" t="str">
        <f t="shared" si="442"/>
        <v>Concord Ave</v>
      </c>
      <c r="V1967" t="s">
        <v>252</v>
      </c>
      <c r="W1967" t="str">
        <f t="shared" si="443"/>
        <v>Walden St</v>
      </c>
      <c r="X1967" t="str">
        <f>IF(ISBLANK(S1967),"Intersection","Non-Intersection")</f>
        <v>Intersection</v>
      </c>
      <c r="Y1967" t="s">
        <v>1941</v>
      </c>
      <c r="Z1967" t="str">
        <f t="shared" si="444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45"/>
        <v>40544</v>
      </c>
      <c r="D1968" s="4">
        <f t="shared" si="446"/>
        <v>0.21917808219178081</v>
      </c>
      <c r="E1968" s="3">
        <f t="shared" si="447"/>
        <v>2011</v>
      </c>
      <c r="F1968" s="3">
        <f t="shared" si="448"/>
        <v>3</v>
      </c>
      <c r="G1968" s="3">
        <f t="shared" si="449"/>
        <v>22</v>
      </c>
      <c r="H1968" s="3">
        <f t="shared" si="450"/>
        <v>11</v>
      </c>
      <c r="I1968" s="3">
        <f t="shared" si="451"/>
        <v>29</v>
      </c>
      <c r="J1968" s="3">
        <f t="shared" si="452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53"/>
        <v>YES</v>
      </c>
      <c r="Q1968" t="str">
        <f t="shared" si="454"/>
        <v>NO</v>
      </c>
      <c r="R1968" t="str">
        <f t="shared" si="455"/>
        <v>NO</v>
      </c>
      <c r="S1968">
        <v>244</v>
      </c>
      <c r="T1968" t="s">
        <v>142</v>
      </c>
      <c r="U1968" t="str">
        <f t="shared" si="442"/>
        <v>Huron Ave</v>
      </c>
      <c r="W1968" t="str">
        <f t="shared" si="443"/>
        <v/>
      </c>
      <c r="X1968" t="str">
        <f>IF(ISBLANK(S1968),"Intersection","Non-Intersection")</f>
        <v>Non-Intersection</v>
      </c>
      <c r="Y1968" t="s">
        <v>3013</v>
      </c>
      <c r="Z1968" t="str">
        <f t="shared" si="444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45"/>
        <v>40544</v>
      </c>
      <c r="D1969" s="4">
        <f t="shared" si="446"/>
        <v>0.22191780821917809</v>
      </c>
      <c r="E1969" s="3">
        <f t="shared" si="447"/>
        <v>2011</v>
      </c>
      <c r="F1969" s="3">
        <f t="shared" si="448"/>
        <v>3</v>
      </c>
      <c r="G1969" s="3">
        <f t="shared" si="449"/>
        <v>23</v>
      </c>
      <c r="H1969" s="3">
        <f t="shared" si="450"/>
        <v>8</v>
      </c>
      <c r="I1969" s="3">
        <f t="shared" si="451"/>
        <v>0</v>
      </c>
      <c r="J1969" s="3">
        <f t="shared" si="452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53"/>
        <v>YES</v>
      </c>
      <c r="Q1969" t="str">
        <f t="shared" si="454"/>
        <v>NO</v>
      </c>
      <c r="R1969" t="str">
        <f t="shared" si="455"/>
        <v>NO</v>
      </c>
      <c r="S1969">
        <v>11</v>
      </c>
      <c r="T1969" t="s">
        <v>387</v>
      </c>
      <c r="U1969" t="str">
        <f t="shared" si="442"/>
        <v>Antrim St</v>
      </c>
      <c r="W1969" t="str">
        <f t="shared" si="443"/>
        <v/>
      </c>
      <c r="X1969" t="str">
        <f>IF(ISBLANK(S1969),"Intersection","Non-Intersection")</f>
        <v>Non-Intersection</v>
      </c>
      <c r="Y1969" t="s">
        <v>3015</v>
      </c>
      <c r="Z1969" t="str">
        <f t="shared" si="444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45"/>
        <v>40544</v>
      </c>
      <c r="D1970" s="4">
        <f t="shared" si="446"/>
        <v>0.22191780821917809</v>
      </c>
      <c r="E1970" s="3">
        <f t="shared" si="447"/>
        <v>2011</v>
      </c>
      <c r="F1970" s="3">
        <f t="shared" si="448"/>
        <v>3</v>
      </c>
      <c r="G1970" s="3">
        <f t="shared" si="449"/>
        <v>23</v>
      </c>
      <c r="H1970" s="3">
        <f t="shared" si="450"/>
        <v>12</v>
      </c>
      <c r="I1970" s="3">
        <f t="shared" si="451"/>
        <v>43</v>
      </c>
      <c r="J1970" s="3">
        <f t="shared" si="452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53"/>
        <v>YES</v>
      </c>
      <c r="Q1970" t="str">
        <f t="shared" si="454"/>
        <v>NO</v>
      </c>
      <c r="R1970" t="str">
        <f t="shared" si="455"/>
        <v>NO</v>
      </c>
      <c r="T1970" t="s">
        <v>14</v>
      </c>
      <c r="U1970" t="str">
        <f t="shared" si="442"/>
        <v>Massachusetts Ave</v>
      </c>
      <c r="V1970" t="s">
        <v>3017</v>
      </c>
      <c r="W1970" t="str">
        <f t="shared" si="443"/>
        <v>Ellery Pl</v>
      </c>
      <c r="X1970" t="str">
        <f>IF(ISBLANK(S1970),"Intersection","Non-Intersection")</f>
        <v>Intersection</v>
      </c>
      <c r="Y1970" t="s">
        <v>3018</v>
      </c>
      <c r="Z1970" t="str">
        <f t="shared" si="444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45"/>
        <v>40544</v>
      </c>
      <c r="D1971" s="4">
        <f t="shared" si="446"/>
        <v>0.22191780821917809</v>
      </c>
      <c r="E1971" s="3">
        <f t="shared" si="447"/>
        <v>2011</v>
      </c>
      <c r="F1971" s="3">
        <f t="shared" si="448"/>
        <v>3</v>
      </c>
      <c r="G1971" s="3">
        <f t="shared" si="449"/>
        <v>23</v>
      </c>
      <c r="H1971" s="3">
        <f t="shared" si="450"/>
        <v>8</v>
      </c>
      <c r="I1971" s="3">
        <f t="shared" si="451"/>
        <v>19</v>
      </c>
      <c r="J1971" s="3">
        <f t="shared" si="452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53"/>
        <v>YES</v>
      </c>
      <c r="Q1971" t="str">
        <f t="shared" si="454"/>
        <v>NO</v>
      </c>
      <c r="R1971" t="str">
        <f t="shared" si="455"/>
        <v>NO</v>
      </c>
      <c r="S1971">
        <v>151</v>
      </c>
      <c r="T1971" t="s">
        <v>332</v>
      </c>
      <c r="U1971" t="str">
        <f t="shared" si="442"/>
        <v>Allston St</v>
      </c>
      <c r="V1971" t="s">
        <v>453</v>
      </c>
      <c r="W1971" t="str">
        <f t="shared" si="443"/>
        <v>Brookline St</v>
      </c>
      <c r="X1971" t="str">
        <f>IF(ISBLANK(S1971),"Intersection","Non-Intersection")</f>
        <v>Non-Intersection</v>
      </c>
      <c r="Y1971" t="s">
        <v>3019</v>
      </c>
      <c r="Z1971" t="str">
        <f t="shared" si="444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45"/>
        <v>40544</v>
      </c>
      <c r="D1972" s="4">
        <f t="shared" si="446"/>
        <v>0.22465753424657534</v>
      </c>
      <c r="E1972" s="3">
        <f t="shared" si="447"/>
        <v>2011</v>
      </c>
      <c r="F1972" s="3">
        <f t="shared" si="448"/>
        <v>3</v>
      </c>
      <c r="G1972" s="3">
        <f t="shared" si="449"/>
        <v>24</v>
      </c>
      <c r="H1972" s="3">
        <f t="shared" si="450"/>
        <v>18</v>
      </c>
      <c r="I1972" s="3">
        <f t="shared" si="451"/>
        <v>30</v>
      </c>
      <c r="J1972" s="3">
        <f t="shared" si="452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53"/>
        <v>YES</v>
      </c>
      <c r="Q1972" t="str">
        <f t="shared" si="454"/>
        <v>NO</v>
      </c>
      <c r="R1972" t="str">
        <f t="shared" si="455"/>
        <v>NO</v>
      </c>
      <c r="S1972">
        <v>210</v>
      </c>
      <c r="T1972" t="s">
        <v>101</v>
      </c>
      <c r="U1972" t="str">
        <f t="shared" si="442"/>
        <v>Columbia St</v>
      </c>
      <c r="W1972" t="str">
        <f t="shared" si="443"/>
        <v/>
      </c>
      <c r="X1972" t="str">
        <f>IF(ISBLANK(S1972),"Intersection","Non-Intersection")</f>
        <v>Non-Intersection</v>
      </c>
      <c r="Y1972" t="s">
        <v>3021</v>
      </c>
      <c r="Z1972" t="str">
        <f t="shared" si="444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45"/>
        <v>40544</v>
      </c>
      <c r="D1973" s="4">
        <f t="shared" si="446"/>
        <v>0.22465753424657534</v>
      </c>
      <c r="E1973" s="3">
        <f t="shared" si="447"/>
        <v>2011</v>
      </c>
      <c r="F1973" s="3">
        <f t="shared" si="448"/>
        <v>3</v>
      </c>
      <c r="G1973" s="3">
        <f t="shared" si="449"/>
        <v>24</v>
      </c>
      <c r="H1973" s="3">
        <f t="shared" si="450"/>
        <v>12</v>
      </c>
      <c r="I1973" s="3">
        <f t="shared" si="451"/>
        <v>45</v>
      </c>
      <c r="J1973" s="3">
        <f t="shared" si="452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53"/>
        <v>YES</v>
      </c>
      <c r="Q1973" t="str">
        <f t="shared" si="454"/>
        <v>NO</v>
      </c>
      <c r="R1973" t="str">
        <f t="shared" si="455"/>
        <v>NO</v>
      </c>
      <c r="S1973">
        <v>193</v>
      </c>
      <c r="T1973" t="s">
        <v>74</v>
      </c>
      <c r="U1973" t="str">
        <f t="shared" si="442"/>
        <v>Hampshire St</v>
      </c>
      <c r="W1973" t="str">
        <f t="shared" si="443"/>
        <v/>
      </c>
      <c r="X1973" t="str">
        <f>IF(ISBLANK(S1973),"Intersection","Non-Intersection")</f>
        <v>Non-Intersection</v>
      </c>
      <c r="Y1973" t="s">
        <v>3023</v>
      </c>
      <c r="Z1973" t="str">
        <f t="shared" si="444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45"/>
        <v>40544</v>
      </c>
      <c r="D1974" s="4">
        <f t="shared" si="446"/>
        <v>0.22465753424657534</v>
      </c>
      <c r="E1974" s="3">
        <f t="shared" si="447"/>
        <v>2011</v>
      </c>
      <c r="F1974" s="3">
        <f t="shared" si="448"/>
        <v>3</v>
      </c>
      <c r="G1974" s="3">
        <f t="shared" si="449"/>
        <v>24</v>
      </c>
      <c r="H1974" s="3">
        <f t="shared" si="450"/>
        <v>15</v>
      </c>
      <c r="I1974" s="3">
        <f t="shared" si="451"/>
        <v>42</v>
      </c>
      <c r="J1974" s="3">
        <f t="shared" si="452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53"/>
        <v>YES</v>
      </c>
      <c r="Q1974" t="str">
        <f t="shared" si="454"/>
        <v>NO</v>
      </c>
      <c r="R1974" t="str">
        <f t="shared" si="455"/>
        <v>NO</v>
      </c>
      <c r="T1974" t="s">
        <v>24</v>
      </c>
      <c r="U1974" t="str">
        <f t="shared" si="442"/>
        <v>Coolidge Ave</v>
      </c>
      <c r="V1974" t="s">
        <v>198</v>
      </c>
      <c r="W1974" t="str">
        <f t="shared" si="443"/>
        <v>Mount Auburn St</v>
      </c>
      <c r="X1974" t="str">
        <f>IF(ISBLANK(S1974),"Intersection","Non-Intersection")</f>
        <v>Intersection</v>
      </c>
      <c r="Y1974" t="s">
        <v>3025</v>
      </c>
      <c r="Z1974" t="str">
        <f t="shared" si="444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45"/>
        <v>40544</v>
      </c>
      <c r="D1975" s="4">
        <f t="shared" si="446"/>
        <v>0.22465753424657534</v>
      </c>
      <c r="E1975" s="3">
        <f t="shared" si="447"/>
        <v>2011</v>
      </c>
      <c r="F1975" s="3">
        <f t="shared" si="448"/>
        <v>3</v>
      </c>
      <c r="G1975" s="3">
        <f t="shared" si="449"/>
        <v>24</v>
      </c>
      <c r="H1975" s="3">
        <f t="shared" si="450"/>
        <v>21</v>
      </c>
      <c r="I1975" s="3">
        <f t="shared" si="451"/>
        <v>0</v>
      </c>
      <c r="J1975" s="3">
        <f t="shared" si="452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53"/>
        <v>YES</v>
      </c>
      <c r="Q1975" t="str">
        <f t="shared" si="454"/>
        <v>NO</v>
      </c>
      <c r="R1975" t="str">
        <f t="shared" si="455"/>
        <v>NO</v>
      </c>
      <c r="S1975">
        <v>57</v>
      </c>
      <c r="T1975" t="s">
        <v>101</v>
      </c>
      <c r="U1975" t="str">
        <f t="shared" si="442"/>
        <v>Columbia St</v>
      </c>
      <c r="W1975" t="str">
        <f t="shared" si="443"/>
        <v/>
      </c>
      <c r="X1975" t="str">
        <f>IF(ISBLANK(S1975),"Intersection","Non-Intersection")</f>
        <v>Non-Intersection</v>
      </c>
      <c r="Y1975" t="s">
        <v>3026</v>
      </c>
      <c r="Z1975" t="str">
        <f t="shared" si="444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45"/>
        <v>40544</v>
      </c>
      <c r="D1976" s="4">
        <f t="shared" si="446"/>
        <v>0.22739726027397261</v>
      </c>
      <c r="E1976" s="3">
        <f t="shared" si="447"/>
        <v>2011</v>
      </c>
      <c r="F1976" s="3">
        <f t="shared" si="448"/>
        <v>3</v>
      </c>
      <c r="G1976" s="3">
        <f t="shared" si="449"/>
        <v>25</v>
      </c>
      <c r="H1976" s="3">
        <f t="shared" si="450"/>
        <v>2</v>
      </c>
      <c r="I1976" s="3">
        <f t="shared" si="451"/>
        <v>42</v>
      </c>
      <c r="J1976" s="3">
        <f t="shared" si="452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53"/>
        <v>YES</v>
      </c>
      <c r="Q1976" t="str">
        <f t="shared" si="454"/>
        <v>NO</v>
      </c>
      <c r="R1976" t="str">
        <f t="shared" si="455"/>
        <v>NO</v>
      </c>
      <c r="S1976">
        <v>261</v>
      </c>
      <c r="T1976" t="s">
        <v>70</v>
      </c>
      <c r="U1976" t="str">
        <f t="shared" si="442"/>
        <v>Pearl St</v>
      </c>
      <c r="W1976" t="str">
        <f t="shared" si="443"/>
        <v/>
      </c>
      <c r="X1976" t="str">
        <f>IF(ISBLANK(S1976),"Intersection","Non-Intersection")</f>
        <v>Non-Intersection</v>
      </c>
      <c r="Y1976" t="s">
        <v>3030</v>
      </c>
      <c r="Z1976" t="str">
        <f t="shared" si="444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45"/>
        <v>40544</v>
      </c>
      <c r="D1977" s="4">
        <f t="shared" si="446"/>
        <v>0.22739726027397261</v>
      </c>
      <c r="E1977" s="3">
        <f t="shared" si="447"/>
        <v>2011</v>
      </c>
      <c r="F1977" s="3">
        <f t="shared" si="448"/>
        <v>3</v>
      </c>
      <c r="G1977" s="3">
        <f t="shared" si="449"/>
        <v>25</v>
      </c>
      <c r="H1977" s="3">
        <f t="shared" si="450"/>
        <v>1</v>
      </c>
      <c r="I1977" s="3">
        <f t="shared" si="451"/>
        <v>19</v>
      </c>
      <c r="J1977" s="3">
        <f t="shared" si="452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53"/>
        <v>YES</v>
      </c>
      <c r="Q1977" t="str">
        <f t="shared" si="454"/>
        <v>YES</v>
      </c>
      <c r="R1977" t="str">
        <f t="shared" si="455"/>
        <v>NO</v>
      </c>
      <c r="T1977" t="s">
        <v>14</v>
      </c>
      <c r="U1977" t="str">
        <f t="shared" si="442"/>
        <v>Massachusetts Ave</v>
      </c>
      <c r="V1977" t="s">
        <v>745</v>
      </c>
      <c r="W1977" t="str">
        <f t="shared" si="443"/>
        <v>Norfolk St</v>
      </c>
      <c r="X1977" t="str">
        <f>IF(ISBLANK(S1977),"Intersection","Non-Intersection")</f>
        <v>Intersection</v>
      </c>
      <c r="Y1977" t="s">
        <v>873</v>
      </c>
      <c r="Z1977" t="str">
        <f t="shared" si="444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45"/>
        <v>40544</v>
      </c>
      <c r="D1978" s="4">
        <f t="shared" si="446"/>
        <v>0.22739726027397261</v>
      </c>
      <c r="E1978" s="3">
        <f t="shared" si="447"/>
        <v>2011</v>
      </c>
      <c r="F1978" s="3">
        <f t="shared" si="448"/>
        <v>3</v>
      </c>
      <c r="G1978" s="3">
        <f t="shared" si="449"/>
        <v>25</v>
      </c>
      <c r="H1978" s="3">
        <f t="shared" si="450"/>
        <v>9</v>
      </c>
      <c r="I1978" s="3">
        <f t="shared" si="451"/>
        <v>0</v>
      </c>
      <c r="J1978" s="3">
        <f t="shared" si="452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53"/>
        <v>YES</v>
      </c>
      <c r="Q1978" t="str">
        <f t="shared" si="454"/>
        <v>YES</v>
      </c>
      <c r="R1978" t="str">
        <f t="shared" si="455"/>
        <v>NO</v>
      </c>
      <c r="T1978" t="s">
        <v>325</v>
      </c>
      <c r="U1978" t="str">
        <f t="shared" si="442"/>
        <v>Eliot St</v>
      </c>
      <c r="V1978" t="s">
        <v>162</v>
      </c>
      <c r="W1978" t="str">
        <f t="shared" si="443"/>
        <v>Bennett St</v>
      </c>
      <c r="X1978" t="str">
        <f>IF(ISBLANK(S1978),"Intersection","Non-Intersection")</f>
        <v>Intersection</v>
      </c>
      <c r="Y1978" t="s">
        <v>1229</v>
      </c>
      <c r="Z1978" t="str">
        <f t="shared" si="444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45"/>
        <v>40544</v>
      </c>
      <c r="D1979" s="4">
        <f t="shared" si="446"/>
        <v>0.22739726027397261</v>
      </c>
      <c r="E1979" s="3">
        <f t="shared" si="447"/>
        <v>2011</v>
      </c>
      <c r="F1979" s="3">
        <f t="shared" si="448"/>
        <v>3</v>
      </c>
      <c r="G1979" s="3">
        <f t="shared" si="449"/>
        <v>25</v>
      </c>
      <c r="H1979" s="3">
        <f t="shared" si="450"/>
        <v>12</v>
      </c>
      <c r="I1979" s="3">
        <f t="shared" si="451"/>
        <v>30</v>
      </c>
      <c r="J1979" s="3">
        <f t="shared" si="452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53"/>
        <v>YES</v>
      </c>
      <c r="Q1979" t="str">
        <f t="shared" si="454"/>
        <v>NO</v>
      </c>
      <c r="R1979" t="str">
        <f t="shared" si="455"/>
        <v>NO</v>
      </c>
      <c r="S1979">
        <v>27</v>
      </c>
      <c r="T1979" t="s">
        <v>840</v>
      </c>
      <c r="U1979" t="str">
        <f t="shared" si="442"/>
        <v>Church St</v>
      </c>
      <c r="W1979" t="str">
        <f t="shared" si="443"/>
        <v/>
      </c>
      <c r="X1979" t="str">
        <f>IF(ISBLANK(S1979),"Intersection","Non-Intersection")</f>
        <v>Non-Intersection</v>
      </c>
      <c r="Y1979" t="s">
        <v>3032</v>
      </c>
      <c r="Z1979" t="str">
        <f t="shared" si="444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45"/>
        <v>40544</v>
      </c>
      <c r="D1980" s="4">
        <f t="shared" si="446"/>
        <v>0.22739726027397261</v>
      </c>
      <c r="E1980" s="3">
        <f t="shared" si="447"/>
        <v>2011</v>
      </c>
      <c r="F1980" s="3">
        <f t="shared" si="448"/>
        <v>3</v>
      </c>
      <c r="G1980" s="3">
        <f t="shared" si="449"/>
        <v>25</v>
      </c>
      <c r="H1980" s="3">
        <f t="shared" si="450"/>
        <v>12</v>
      </c>
      <c r="I1980" s="3">
        <f t="shared" si="451"/>
        <v>53</v>
      </c>
      <c r="J1980" s="3">
        <f t="shared" si="452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53"/>
        <v>YES</v>
      </c>
      <c r="Q1980" t="str">
        <f t="shared" si="454"/>
        <v>NO</v>
      </c>
      <c r="R1980" t="str">
        <f t="shared" si="455"/>
        <v>NO</v>
      </c>
      <c r="S1980">
        <v>493</v>
      </c>
      <c r="T1980" t="s">
        <v>14</v>
      </c>
      <c r="U1980" t="str">
        <f t="shared" si="442"/>
        <v>Massachusetts Ave</v>
      </c>
      <c r="W1980" t="str">
        <f t="shared" si="443"/>
        <v/>
      </c>
      <c r="X1980" t="str">
        <f>IF(ISBLANK(S1980),"Intersection","Non-Intersection")</f>
        <v>Non-Intersection</v>
      </c>
      <c r="Y1980" t="s">
        <v>3034</v>
      </c>
      <c r="Z1980" t="str">
        <f t="shared" si="444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45"/>
        <v>40544</v>
      </c>
      <c r="D1981" s="4">
        <f t="shared" si="446"/>
        <v>0.22739726027397261</v>
      </c>
      <c r="E1981" s="3">
        <f t="shared" si="447"/>
        <v>2011</v>
      </c>
      <c r="F1981" s="3">
        <f t="shared" si="448"/>
        <v>3</v>
      </c>
      <c r="G1981" s="3">
        <f t="shared" si="449"/>
        <v>25</v>
      </c>
      <c r="H1981" s="3">
        <f t="shared" si="450"/>
        <v>16</v>
      </c>
      <c r="I1981" s="3">
        <f t="shared" si="451"/>
        <v>50</v>
      </c>
      <c r="J1981" s="3">
        <f t="shared" si="452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53"/>
        <v>YES</v>
      </c>
      <c r="Q1981" t="str">
        <f t="shared" si="454"/>
        <v>NO</v>
      </c>
      <c r="R1981" t="str">
        <f t="shared" si="455"/>
        <v>NO</v>
      </c>
      <c r="T1981" t="s">
        <v>195</v>
      </c>
      <c r="U1981" t="str">
        <f t="shared" si="442"/>
        <v>Sidney St</v>
      </c>
      <c r="V1981" t="s">
        <v>509</v>
      </c>
      <c r="W1981" t="str">
        <f t="shared" si="443"/>
        <v>Green St</v>
      </c>
      <c r="X1981" t="str">
        <f>IF(ISBLANK(S1981),"Intersection","Non-Intersection")</f>
        <v>Intersection</v>
      </c>
      <c r="Y1981" t="s">
        <v>3036</v>
      </c>
      <c r="Z1981" t="str">
        <f t="shared" si="444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45"/>
        <v>40544</v>
      </c>
      <c r="D1982" s="4">
        <f t="shared" si="446"/>
        <v>0.22739726027397261</v>
      </c>
      <c r="E1982" s="3">
        <f t="shared" si="447"/>
        <v>2011</v>
      </c>
      <c r="F1982" s="3">
        <f t="shared" si="448"/>
        <v>3</v>
      </c>
      <c r="G1982" s="3">
        <f t="shared" si="449"/>
        <v>25</v>
      </c>
      <c r="H1982" s="3">
        <f t="shared" si="450"/>
        <v>21</v>
      </c>
      <c r="I1982" s="3">
        <f t="shared" si="451"/>
        <v>14</v>
      </c>
      <c r="J1982" s="3">
        <f t="shared" si="452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53"/>
        <v>YES</v>
      </c>
      <c r="Q1982" t="str">
        <f t="shared" si="454"/>
        <v>NO</v>
      </c>
      <c r="R1982" t="str">
        <f t="shared" si="455"/>
        <v>NO</v>
      </c>
      <c r="T1982" t="s">
        <v>14</v>
      </c>
      <c r="U1982" t="str">
        <f t="shared" si="442"/>
        <v>Massachusetts Ave</v>
      </c>
      <c r="V1982" t="s">
        <v>213</v>
      </c>
      <c r="W1982" t="str">
        <f t="shared" si="443"/>
        <v>Washburn Ave</v>
      </c>
      <c r="X1982" t="str">
        <f>IF(ISBLANK(S1982),"Intersection","Non-Intersection")</f>
        <v>Intersection</v>
      </c>
      <c r="Y1982" t="s">
        <v>214</v>
      </c>
      <c r="Z1982" t="str">
        <f t="shared" si="444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45"/>
        <v>40544</v>
      </c>
      <c r="D1983" s="4">
        <f t="shared" si="446"/>
        <v>0.23013698630136986</v>
      </c>
      <c r="E1983" s="3">
        <f t="shared" si="447"/>
        <v>2011</v>
      </c>
      <c r="F1983" s="3">
        <f t="shared" si="448"/>
        <v>3</v>
      </c>
      <c r="G1983" s="3">
        <f t="shared" si="449"/>
        <v>26</v>
      </c>
      <c r="H1983" s="3">
        <f t="shared" si="450"/>
        <v>16</v>
      </c>
      <c r="I1983" s="3">
        <f t="shared" si="451"/>
        <v>41</v>
      </c>
      <c r="J1983" s="3">
        <f t="shared" si="452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53"/>
        <v>YES</v>
      </c>
      <c r="Q1983" t="str">
        <f t="shared" si="454"/>
        <v>NO</v>
      </c>
      <c r="R1983" t="str">
        <f t="shared" si="455"/>
        <v>NO</v>
      </c>
      <c r="T1983" t="s">
        <v>97</v>
      </c>
      <c r="U1983" t="str">
        <f t="shared" si="442"/>
        <v>Peabody St</v>
      </c>
      <c r="W1983" t="str">
        <f t="shared" si="443"/>
        <v/>
      </c>
      <c r="X1983" t="str">
        <f>IF(ISBLANK(S1983),"Intersection","Non-Intersection")</f>
        <v>Intersection</v>
      </c>
      <c r="Y1983" t="s">
        <v>1790</v>
      </c>
      <c r="Z1983" t="str">
        <f t="shared" si="444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45"/>
        <v>40544</v>
      </c>
      <c r="D1984" s="4">
        <f t="shared" si="446"/>
        <v>0.23013698630136986</v>
      </c>
      <c r="E1984" s="3">
        <f t="shared" si="447"/>
        <v>2011</v>
      </c>
      <c r="F1984" s="3">
        <f t="shared" si="448"/>
        <v>3</v>
      </c>
      <c r="G1984" s="3">
        <f t="shared" si="449"/>
        <v>26</v>
      </c>
      <c r="H1984" s="3">
        <f t="shared" si="450"/>
        <v>0</v>
      </c>
      <c r="I1984" s="3">
        <f t="shared" si="451"/>
        <v>59</v>
      </c>
      <c r="J1984" s="3">
        <f t="shared" si="452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53"/>
        <v>YES</v>
      </c>
      <c r="Q1984" t="str">
        <f t="shared" si="454"/>
        <v>NO</v>
      </c>
      <c r="R1984" t="str">
        <f t="shared" si="455"/>
        <v>NO</v>
      </c>
      <c r="S1984">
        <v>3</v>
      </c>
      <c r="T1984" t="s">
        <v>1742</v>
      </c>
      <c r="U1984" t="str">
        <f t="shared" si="442"/>
        <v>Bow St</v>
      </c>
      <c r="W1984" t="str">
        <f t="shared" si="443"/>
        <v/>
      </c>
      <c r="X1984" t="str">
        <f>IF(ISBLANK(S1984),"Intersection","Non-Intersection")</f>
        <v>Non-Intersection</v>
      </c>
      <c r="Y1984" t="s">
        <v>3038</v>
      </c>
      <c r="Z1984" t="str">
        <f t="shared" si="444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45"/>
        <v>40544</v>
      </c>
      <c r="D1985" s="4">
        <f t="shared" si="446"/>
        <v>0.23013698630136986</v>
      </c>
      <c r="E1985" s="3">
        <f t="shared" si="447"/>
        <v>2011</v>
      </c>
      <c r="F1985" s="3">
        <f t="shared" si="448"/>
        <v>3</v>
      </c>
      <c r="G1985" s="3">
        <f t="shared" si="449"/>
        <v>26</v>
      </c>
      <c r="H1985" s="3">
        <f t="shared" si="450"/>
        <v>9</v>
      </c>
      <c r="I1985" s="3">
        <f t="shared" si="451"/>
        <v>59</v>
      </c>
      <c r="J1985" s="3">
        <f t="shared" si="452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53"/>
        <v>YES</v>
      </c>
      <c r="Q1985" t="str">
        <f t="shared" si="454"/>
        <v>NO</v>
      </c>
      <c r="R1985" t="str">
        <f t="shared" si="455"/>
        <v>NO</v>
      </c>
      <c r="T1985" t="s">
        <v>147</v>
      </c>
      <c r="U1985" t="str">
        <f t="shared" si="442"/>
        <v>Sixth St</v>
      </c>
      <c r="V1985" t="s">
        <v>261</v>
      </c>
      <c r="W1985" t="str">
        <f t="shared" si="443"/>
        <v>Otis St</v>
      </c>
      <c r="X1985" t="str">
        <f>IF(ISBLANK(S1985),"Intersection","Non-Intersection")</f>
        <v>Intersection</v>
      </c>
      <c r="Y1985" t="s">
        <v>3011</v>
      </c>
      <c r="Z1985" t="str">
        <f t="shared" si="444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45"/>
        <v>40544</v>
      </c>
      <c r="D1986" s="4">
        <f t="shared" si="446"/>
        <v>0.23013698630136986</v>
      </c>
      <c r="E1986" s="3">
        <f t="shared" si="447"/>
        <v>2011</v>
      </c>
      <c r="F1986" s="3">
        <f t="shared" si="448"/>
        <v>3</v>
      </c>
      <c r="G1986" s="3">
        <f t="shared" si="449"/>
        <v>26</v>
      </c>
      <c r="H1986" s="3">
        <f t="shared" si="450"/>
        <v>12</v>
      </c>
      <c r="I1986" s="3">
        <f t="shared" si="451"/>
        <v>59</v>
      </c>
      <c r="J1986" s="3">
        <f t="shared" si="452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53"/>
        <v>YES</v>
      </c>
      <c r="Q1986" t="str">
        <f t="shared" si="454"/>
        <v>YES</v>
      </c>
      <c r="R1986" t="str">
        <f t="shared" si="455"/>
        <v>NO</v>
      </c>
      <c r="T1986" t="s">
        <v>326</v>
      </c>
      <c r="U1986" t="str">
        <f t="shared" si="442"/>
        <v>Jfk St</v>
      </c>
      <c r="V1986" t="s">
        <v>325</v>
      </c>
      <c r="W1986" t="str">
        <f t="shared" si="443"/>
        <v>Eliot St</v>
      </c>
      <c r="X1986" t="str">
        <f>IF(ISBLANK(S1986),"Intersection","Non-Intersection")</f>
        <v>Intersection</v>
      </c>
      <c r="Y1986" t="s">
        <v>1420</v>
      </c>
      <c r="Z1986" t="str">
        <f t="shared" si="444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45"/>
        <v>40544</v>
      </c>
      <c r="D1987" s="4">
        <f t="shared" si="446"/>
        <v>0.23287671232876711</v>
      </c>
      <c r="E1987" s="3">
        <f t="shared" si="447"/>
        <v>2011</v>
      </c>
      <c r="F1987" s="3">
        <f t="shared" si="448"/>
        <v>3</v>
      </c>
      <c r="G1987" s="3">
        <f t="shared" si="449"/>
        <v>27</v>
      </c>
      <c r="H1987" s="3">
        <f t="shared" si="450"/>
        <v>17</v>
      </c>
      <c r="I1987" s="3">
        <f t="shared" si="451"/>
        <v>41</v>
      </c>
      <c r="J1987" s="3">
        <f t="shared" si="452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53"/>
        <v>YES</v>
      </c>
      <c r="Q1987" t="str">
        <f t="shared" si="454"/>
        <v>NO</v>
      </c>
      <c r="R1987" t="str">
        <f t="shared" si="455"/>
        <v>NO</v>
      </c>
      <c r="S1987">
        <v>17</v>
      </c>
      <c r="T1987" t="s">
        <v>1997</v>
      </c>
      <c r="U1987" t="str">
        <f t="shared" ref="U1987:U2050" si="456">TRIM(PROPER(T1987))</f>
        <v>Central Sq</v>
      </c>
      <c r="W1987" t="str">
        <f t="shared" ref="W1987:W2050" si="457">TRIM(PROPER(V1987))</f>
        <v/>
      </c>
      <c r="X1987" t="str">
        <f>IF(ISBLANK(S1987),"Intersection","Non-Intersection")</f>
        <v>Non-Intersection</v>
      </c>
      <c r="Y1987" t="s">
        <v>3040</v>
      </c>
      <c r="Z1987" t="str">
        <f t="shared" ref="Z1987:Z2050" si="458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45"/>
        <v>40544</v>
      </c>
      <c r="D1988" s="4">
        <f t="shared" si="446"/>
        <v>0.23287671232876711</v>
      </c>
      <c r="E1988" s="3">
        <f t="shared" si="447"/>
        <v>2011</v>
      </c>
      <c r="F1988" s="3">
        <f t="shared" si="448"/>
        <v>3</v>
      </c>
      <c r="G1988" s="3">
        <f t="shared" si="449"/>
        <v>27</v>
      </c>
      <c r="H1988" s="3">
        <f t="shared" si="450"/>
        <v>0</v>
      </c>
      <c r="I1988" s="3">
        <f t="shared" si="451"/>
        <v>59</v>
      </c>
      <c r="J1988" s="3">
        <f t="shared" si="452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53"/>
        <v>YES</v>
      </c>
      <c r="Q1988" t="str">
        <f t="shared" si="454"/>
        <v>NO</v>
      </c>
      <c r="R1988" t="str">
        <f t="shared" si="455"/>
        <v>NO</v>
      </c>
      <c r="T1988" t="s">
        <v>199</v>
      </c>
      <c r="U1988" t="str">
        <f t="shared" si="456"/>
        <v>Brattle St</v>
      </c>
      <c r="V1988" t="s">
        <v>980</v>
      </c>
      <c r="W1988" t="str">
        <f t="shared" si="457"/>
        <v>Lexington Ave</v>
      </c>
      <c r="X1988" t="str">
        <f>IF(ISBLANK(S1988),"Intersection","Non-Intersection")</f>
        <v>Intersection</v>
      </c>
      <c r="Y1988" t="s">
        <v>1185</v>
      </c>
      <c r="Z1988" t="str">
        <f t="shared" si="458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45"/>
        <v>40544</v>
      </c>
      <c r="D1989" s="4">
        <f t="shared" si="446"/>
        <v>0.23287671232876711</v>
      </c>
      <c r="E1989" s="3">
        <f t="shared" si="447"/>
        <v>2011</v>
      </c>
      <c r="F1989" s="3">
        <f t="shared" si="448"/>
        <v>3</v>
      </c>
      <c r="G1989" s="3">
        <f t="shared" si="449"/>
        <v>27</v>
      </c>
      <c r="H1989" s="3">
        <f t="shared" si="450"/>
        <v>7</v>
      </c>
      <c r="I1989" s="3">
        <f t="shared" si="451"/>
        <v>30</v>
      </c>
      <c r="J1989" s="3">
        <f t="shared" si="452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53"/>
        <v>YES</v>
      </c>
      <c r="Q1989" t="str">
        <f t="shared" si="454"/>
        <v>NO</v>
      </c>
      <c r="R1989" t="str">
        <f t="shared" si="455"/>
        <v>NO</v>
      </c>
      <c r="S1989">
        <v>140</v>
      </c>
      <c r="T1989" t="s">
        <v>37</v>
      </c>
      <c r="U1989" t="str">
        <f t="shared" si="456"/>
        <v>Magazine St</v>
      </c>
      <c r="W1989" t="str">
        <f t="shared" si="457"/>
        <v/>
      </c>
      <c r="X1989" t="str">
        <f>IF(ISBLANK(S1989),"Intersection","Non-Intersection")</f>
        <v>Non-Intersection</v>
      </c>
      <c r="Y1989" t="s">
        <v>3042</v>
      </c>
      <c r="Z1989" t="str">
        <f t="shared" si="458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45"/>
        <v>40544</v>
      </c>
      <c r="D1990" s="4">
        <f t="shared" si="446"/>
        <v>0.23561643835616439</v>
      </c>
      <c r="E1990" s="3">
        <f t="shared" si="447"/>
        <v>2011</v>
      </c>
      <c r="F1990" s="3">
        <f t="shared" si="448"/>
        <v>3</v>
      </c>
      <c r="G1990" s="3">
        <f t="shared" si="449"/>
        <v>28</v>
      </c>
      <c r="H1990" s="3">
        <f t="shared" si="450"/>
        <v>8</v>
      </c>
      <c r="I1990" s="3">
        <f t="shared" si="451"/>
        <v>20</v>
      </c>
      <c r="J1990" s="3">
        <f t="shared" si="452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53"/>
        <v>YES</v>
      </c>
      <c r="Q1990" t="str">
        <f t="shared" si="454"/>
        <v>NO</v>
      </c>
      <c r="R1990" t="str">
        <f t="shared" si="455"/>
        <v>NO</v>
      </c>
      <c r="T1990" t="s">
        <v>326</v>
      </c>
      <c r="U1990" t="str">
        <f t="shared" si="456"/>
        <v>Jfk St</v>
      </c>
      <c r="V1990" t="s">
        <v>199</v>
      </c>
      <c r="W1990" t="str">
        <f t="shared" si="457"/>
        <v>Brattle St</v>
      </c>
      <c r="X1990" t="str">
        <f>IF(ISBLANK(S1990),"Intersection","Non-Intersection")</f>
        <v>Intersection</v>
      </c>
      <c r="Y1990" t="s">
        <v>681</v>
      </c>
      <c r="Z1990" t="str">
        <f t="shared" si="458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45"/>
        <v>40544</v>
      </c>
      <c r="D1991" s="4">
        <f t="shared" si="446"/>
        <v>0.23561643835616439</v>
      </c>
      <c r="E1991" s="3">
        <f t="shared" si="447"/>
        <v>2011</v>
      </c>
      <c r="F1991" s="3">
        <f t="shared" si="448"/>
        <v>3</v>
      </c>
      <c r="G1991" s="3">
        <f t="shared" si="449"/>
        <v>28</v>
      </c>
      <c r="H1991" s="3">
        <f t="shared" si="450"/>
        <v>8</v>
      </c>
      <c r="I1991" s="3">
        <f t="shared" si="451"/>
        <v>51</v>
      </c>
      <c r="J1991" s="3">
        <f t="shared" si="452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53"/>
        <v>YES</v>
      </c>
      <c r="Q1991" t="str">
        <f t="shared" si="454"/>
        <v>NO</v>
      </c>
      <c r="R1991" t="str">
        <f t="shared" si="455"/>
        <v>NO</v>
      </c>
      <c r="T1991" t="s">
        <v>553</v>
      </c>
      <c r="U1991" t="str">
        <f t="shared" si="456"/>
        <v>Cameron Ave</v>
      </c>
      <c r="V1991" t="s">
        <v>14</v>
      </c>
      <c r="W1991" t="str">
        <f t="shared" si="457"/>
        <v>Massachusetts Ave</v>
      </c>
      <c r="X1991" t="str">
        <f>IF(ISBLANK(S1991),"Intersection","Non-Intersection")</f>
        <v>Intersection</v>
      </c>
      <c r="Y1991" t="s">
        <v>1724</v>
      </c>
      <c r="Z1991" t="str">
        <f t="shared" si="458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45"/>
        <v>40544</v>
      </c>
      <c r="D1992" s="4">
        <f t="shared" si="446"/>
        <v>0.23561643835616439</v>
      </c>
      <c r="E1992" s="3">
        <f t="shared" si="447"/>
        <v>2011</v>
      </c>
      <c r="F1992" s="3">
        <f t="shared" si="448"/>
        <v>3</v>
      </c>
      <c r="G1992" s="3">
        <f t="shared" si="449"/>
        <v>28</v>
      </c>
      <c r="H1992" s="3">
        <f t="shared" si="450"/>
        <v>9</v>
      </c>
      <c r="I1992" s="3">
        <f t="shared" si="451"/>
        <v>0</v>
      </c>
      <c r="J1992" s="3">
        <f t="shared" si="452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53"/>
        <v>YES</v>
      </c>
      <c r="Q1992" t="str">
        <f t="shared" si="454"/>
        <v>NO</v>
      </c>
      <c r="R1992" t="str">
        <f t="shared" si="455"/>
        <v>NO</v>
      </c>
      <c r="T1992" t="s">
        <v>42</v>
      </c>
      <c r="U1992" t="str">
        <f t="shared" si="456"/>
        <v>Putnam Ave</v>
      </c>
      <c r="V1992" t="s">
        <v>178</v>
      </c>
      <c r="W1992" t="str">
        <f t="shared" si="457"/>
        <v>Pleasant St</v>
      </c>
      <c r="X1992" t="str">
        <f>IF(ISBLANK(S1992),"Intersection","Non-Intersection")</f>
        <v>Intersection</v>
      </c>
      <c r="Y1992" t="s">
        <v>179</v>
      </c>
      <c r="Z1992" t="str">
        <f t="shared" si="458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45"/>
        <v>40544</v>
      </c>
      <c r="D1993" s="4">
        <f t="shared" si="446"/>
        <v>0.23561643835616439</v>
      </c>
      <c r="E1993" s="3">
        <f t="shared" si="447"/>
        <v>2011</v>
      </c>
      <c r="F1993" s="3">
        <f t="shared" si="448"/>
        <v>3</v>
      </c>
      <c r="G1993" s="3">
        <f t="shared" si="449"/>
        <v>28</v>
      </c>
      <c r="H1993" s="3">
        <f t="shared" si="450"/>
        <v>15</v>
      </c>
      <c r="I1993" s="3">
        <f t="shared" si="451"/>
        <v>40</v>
      </c>
      <c r="J1993" s="3">
        <f t="shared" si="452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53"/>
        <v>YES</v>
      </c>
      <c r="Q1993" t="str">
        <f t="shared" si="454"/>
        <v>NO</v>
      </c>
      <c r="R1993" t="str">
        <f t="shared" si="455"/>
        <v>YES</v>
      </c>
      <c r="S1993">
        <v>699</v>
      </c>
      <c r="T1993" t="s">
        <v>198</v>
      </c>
      <c r="U1993" t="str">
        <f t="shared" si="456"/>
        <v>Mount Auburn St</v>
      </c>
      <c r="W1993" t="str">
        <f t="shared" si="457"/>
        <v/>
      </c>
      <c r="X1993" t="str">
        <f>IF(ISBLANK(S1993),"Intersection","Non-Intersection")</f>
        <v>Non-Intersection</v>
      </c>
      <c r="Y1993" t="s">
        <v>585</v>
      </c>
      <c r="Z1993" t="str">
        <f t="shared" si="458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45"/>
        <v>40544</v>
      </c>
      <c r="D1994" s="4">
        <f t="shared" si="446"/>
        <v>0.23561643835616439</v>
      </c>
      <c r="E1994" s="3">
        <f t="shared" si="447"/>
        <v>2011</v>
      </c>
      <c r="F1994" s="3">
        <f t="shared" si="448"/>
        <v>3</v>
      </c>
      <c r="G1994" s="3">
        <f t="shared" si="449"/>
        <v>28</v>
      </c>
      <c r="H1994" s="3">
        <f t="shared" si="450"/>
        <v>16</v>
      </c>
      <c r="I1994" s="3">
        <f t="shared" si="451"/>
        <v>34</v>
      </c>
      <c r="J1994" s="3">
        <f t="shared" si="452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53"/>
        <v>YES</v>
      </c>
      <c r="Q1994" t="str">
        <f t="shared" si="454"/>
        <v>NO</v>
      </c>
      <c r="R1994" t="str">
        <f t="shared" si="455"/>
        <v>NO</v>
      </c>
      <c r="S1994">
        <v>738</v>
      </c>
      <c r="T1994" t="s">
        <v>19</v>
      </c>
      <c r="U1994" t="str">
        <f t="shared" si="456"/>
        <v>Cambridge St</v>
      </c>
      <c r="W1994" t="str">
        <f t="shared" si="457"/>
        <v/>
      </c>
      <c r="X1994" t="str">
        <f>IF(ISBLANK(S1994),"Intersection","Non-Intersection")</f>
        <v>Non-Intersection</v>
      </c>
      <c r="Y1994" t="s">
        <v>3044</v>
      </c>
      <c r="Z1994" t="str">
        <f t="shared" si="458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45"/>
        <v>40544</v>
      </c>
      <c r="D1995" s="4">
        <f t="shared" si="446"/>
        <v>0.23561643835616439</v>
      </c>
      <c r="E1995" s="3">
        <f t="shared" si="447"/>
        <v>2011</v>
      </c>
      <c r="F1995" s="3">
        <f t="shared" si="448"/>
        <v>3</v>
      </c>
      <c r="G1995" s="3">
        <f t="shared" si="449"/>
        <v>28</v>
      </c>
      <c r="H1995" s="3">
        <f t="shared" si="450"/>
        <v>21</v>
      </c>
      <c r="I1995" s="3">
        <f t="shared" si="451"/>
        <v>33</v>
      </c>
      <c r="J1995" s="3">
        <f t="shared" si="452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53"/>
        <v>YES</v>
      </c>
      <c r="Q1995" t="str">
        <f t="shared" si="454"/>
        <v>NO</v>
      </c>
      <c r="R1995" t="str">
        <f t="shared" si="455"/>
        <v>NO</v>
      </c>
      <c r="T1995" t="s">
        <v>14</v>
      </c>
      <c r="U1995" t="str">
        <f t="shared" si="456"/>
        <v>Massachusetts Ave</v>
      </c>
      <c r="V1995" t="s">
        <v>202</v>
      </c>
      <c r="W1995" t="str">
        <f t="shared" si="457"/>
        <v>Vassar St</v>
      </c>
      <c r="X1995" t="str">
        <f>IF(ISBLANK(S1995),"Intersection","Non-Intersection")</f>
        <v>Intersection</v>
      </c>
      <c r="Y1995" t="s">
        <v>361</v>
      </c>
      <c r="Z1995" t="str">
        <f t="shared" si="458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45"/>
        <v>40544</v>
      </c>
      <c r="D1996" s="4">
        <f t="shared" si="446"/>
        <v>0.23561643835616439</v>
      </c>
      <c r="E1996" s="3">
        <f t="shared" si="447"/>
        <v>2011</v>
      </c>
      <c r="F1996" s="3">
        <f t="shared" si="448"/>
        <v>3</v>
      </c>
      <c r="G1996" s="3">
        <f t="shared" si="449"/>
        <v>28</v>
      </c>
      <c r="H1996" s="3">
        <f t="shared" si="450"/>
        <v>20</v>
      </c>
      <c r="I1996" s="3">
        <f t="shared" si="451"/>
        <v>29</v>
      </c>
      <c r="J1996" s="3">
        <f t="shared" si="452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53"/>
        <v>YES</v>
      </c>
      <c r="Q1996" t="str">
        <f t="shared" si="454"/>
        <v>NO</v>
      </c>
      <c r="R1996" t="str">
        <f t="shared" si="455"/>
        <v>NO</v>
      </c>
      <c r="S1996">
        <v>1001</v>
      </c>
      <c r="T1996" t="s">
        <v>14</v>
      </c>
      <c r="U1996" t="str">
        <f t="shared" si="456"/>
        <v>Massachusetts Ave</v>
      </c>
      <c r="W1996" t="str">
        <f t="shared" si="457"/>
        <v/>
      </c>
      <c r="X1996" t="str">
        <f>IF(ISBLANK(S1996),"Intersection","Non-Intersection")</f>
        <v>Non-Intersection</v>
      </c>
      <c r="Y1996" t="s">
        <v>3046</v>
      </c>
      <c r="Z1996" t="str">
        <f t="shared" si="458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45"/>
        <v>40544</v>
      </c>
      <c r="D1997" s="4">
        <f t="shared" si="446"/>
        <v>0.23561643835616439</v>
      </c>
      <c r="E1997" s="3">
        <f t="shared" si="447"/>
        <v>2011</v>
      </c>
      <c r="F1997" s="3">
        <f t="shared" si="448"/>
        <v>3</v>
      </c>
      <c r="G1997" s="3">
        <f t="shared" si="449"/>
        <v>28</v>
      </c>
      <c r="H1997" s="3">
        <f t="shared" si="450"/>
        <v>14</v>
      </c>
      <c r="I1997" s="3">
        <f t="shared" si="451"/>
        <v>10</v>
      </c>
      <c r="J1997" s="3">
        <f t="shared" si="452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53"/>
        <v>YES</v>
      </c>
      <c r="Q1997" t="str">
        <f t="shared" si="454"/>
        <v>NO</v>
      </c>
      <c r="R1997" t="str">
        <f t="shared" si="455"/>
        <v>NO</v>
      </c>
      <c r="T1997" t="s">
        <v>14</v>
      </c>
      <c r="U1997" t="str">
        <f t="shared" si="456"/>
        <v>Massachusetts Ave</v>
      </c>
      <c r="V1997" t="s">
        <v>550</v>
      </c>
      <c r="W1997" t="str">
        <f t="shared" si="457"/>
        <v>Upland Rd</v>
      </c>
      <c r="X1997" t="str">
        <f>IF(ISBLANK(S1997),"Intersection","Non-Intersection")</f>
        <v>Intersection</v>
      </c>
      <c r="Y1997" t="s">
        <v>551</v>
      </c>
      <c r="Z1997" t="str">
        <f t="shared" si="458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45"/>
        <v>40544</v>
      </c>
      <c r="D1998" s="4">
        <f t="shared" si="446"/>
        <v>0.23835616438356164</v>
      </c>
      <c r="E1998" s="3">
        <f t="shared" si="447"/>
        <v>2011</v>
      </c>
      <c r="F1998" s="3">
        <f t="shared" si="448"/>
        <v>3</v>
      </c>
      <c r="G1998" s="3">
        <f t="shared" si="449"/>
        <v>29</v>
      </c>
      <c r="H1998" s="3">
        <f t="shared" si="450"/>
        <v>14</v>
      </c>
      <c r="I1998" s="3">
        <f t="shared" si="451"/>
        <v>45</v>
      </c>
      <c r="J1998" s="3">
        <f t="shared" si="452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53"/>
        <v>YES</v>
      </c>
      <c r="Q1998" t="str">
        <f t="shared" si="454"/>
        <v>NO</v>
      </c>
      <c r="R1998" t="str">
        <f t="shared" si="455"/>
        <v>NO</v>
      </c>
      <c r="T1998" t="s">
        <v>19</v>
      </c>
      <c r="U1998" t="str">
        <f t="shared" si="456"/>
        <v>Cambridge St</v>
      </c>
      <c r="V1998" t="s">
        <v>61</v>
      </c>
      <c r="W1998" t="str">
        <f t="shared" si="457"/>
        <v>First St</v>
      </c>
      <c r="X1998" t="str">
        <f>IF(ISBLANK(S1998),"Intersection","Non-Intersection")</f>
        <v>Intersection</v>
      </c>
      <c r="Y1998" t="s">
        <v>494</v>
      </c>
      <c r="Z1998" t="str">
        <f t="shared" si="458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45"/>
        <v>40544</v>
      </c>
      <c r="D1999" s="4">
        <f t="shared" si="446"/>
        <v>0.23835616438356164</v>
      </c>
      <c r="E1999" s="3">
        <f t="shared" si="447"/>
        <v>2011</v>
      </c>
      <c r="F1999" s="3">
        <f t="shared" si="448"/>
        <v>3</v>
      </c>
      <c r="G1999" s="3">
        <f t="shared" si="449"/>
        <v>29</v>
      </c>
      <c r="H1999" s="3">
        <f t="shared" si="450"/>
        <v>8</v>
      </c>
      <c r="I1999" s="3">
        <f t="shared" si="451"/>
        <v>29</v>
      </c>
      <c r="J1999" s="3">
        <f t="shared" si="452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53"/>
        <v>NO</v>
      </c>
      <c r="Q1999" t="str">
        <f t="shared" si="454"/>
        <v>NO</v>
      </c>
      <c r="R1999" t="str">
        <f t="shared" si="455"/>
        <v>NO</v>
      </c>
      <c r="S1999">
        <v>130</v>
      </c>
      <c r="T1999" t="s">
        <v>342</v>
      </c>
      <c r="U1999" t="str">
        <f t="shared" si="456"/>
        <v>Prospect St</v>
      </c>
      <c r="W1999" t="str">
        <f t="shared" si="457"/>
        <v/>
      </c>
      <c r="X1999" t="str">
        <f>IF(ISBLANK(S1999),"Intersection","Non-Intersection")</f>
        <v>Non-Intersection</v>
      </c>
      <c r="Y1999" t="s">
        <v>3048</v>
      </c>
      <c r="Z1999" t="str">
        <f t="shared" si="458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45"/>
        <v>40544</v>
      </c>
      <c r="D2000" s="4">
        <f t="shared" si="446"/>
        <v>0.23835616438356164</v>
      </c>
      <c r="E2000" s="3">
        <f t="shared" si="447"/>
        <v>2011</v>
      </c>
      <c r="F2000" s="3">
        <f t="shared" si="448"/>
        <v>3</v>
      </c>
      <c r="G2000" s="3">
        <f t="shared" si="449"/>
        <v>29</v>
      </c>
      <c r="H2000" s="3">
        <f t="shared" si="450"/>
        <v>16</v>
      </c>
      <c r="I2000" s="3">
        <f t="shared" si="451"/>
        <v>38</v>
      </c>
      <c r="J2000" s="3">
        <f t="shared" si="452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53"/>
        <v>YES</v>
      </c>
      <c r="Q2000" t="str">
        <f t="shared" si="454"/>
        <v>NO</v>
      </c>
      <c r="R2000" t="str">
        <f t="shared" si="455"/>
        <v>NO</v>
      </c>
      <c r="T2000" t="s">
        <v>108</v>
      </c>
      <c r="U2000" t="str">
        <f t="shared" si="456"/>
        <v>Franklin St</v>
      </c>
      <c r="V2000" t="s">
        <v>453</v>
      </c>
      <c r="W2000" t="str">
        <f t="shared" si="457"/>
        <v>Brookline St</v>
      </c>
      <c r="X2000" t="str">
        <f>IF(ISBLANK(S2000),"Intersection","Non-Intersection")</f>
        <v>Intersection</v>
      </c>
      <c r="Y2000" t="s">
        <v>3050</v>
      </c>
      <c r="Z2000" t="str">
        <f t="shared" si="458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45"/>
        <v>40544</v>
      </c>
      <c r="D2001" s="4">
        <f t="shared" si="446"/>
        <v>0.23835616438356164</v>
      </c>
      <c r="E2001" s="3">
        <f t="shared" si="447"/>
        <v>2011</v>
      </c>
      <c r="F2001" s="3">
        <f t="shared" si="448"/>
        <v>3</v>
      </c>
      <c r="G2001" s="3">
        <f t="shared" si="449"/>
        <v>29</v>
      </c>
      <c r="H2001" s="3">
        <f t="shared" si="450"/>
        <v>17</v>
      </c>
      <c r="I2001" s="3">
        <f t="shared" si="451"/>
        <v>45</v>
      </c>
      <c r="J2001" s="3">
        <f t="shared" si="452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53"/>
        <v>YES</v>
      </c>
      <c r="Q2001" t="str">
        <f t="shared" si="454"/>
        <v>NO</v>
      </c>
      <c r="R2001" t="str">
        <f t="shared" si="455"/>
        <v>NO</v>
      </c>
      <c r="S2001">
        <v>451</v>
      </c>
      <c r="T2001" t="s">
        <v>142</v>
      </c>
      <c r="U2001" t="str">
        <f t="shared" si="456"/>
        <v>Huron Ave</v>
      </c>
      <c r="W2001" t="str">
        <f t="shared" si="457"/>
        <v/>
      </c>
      <c r="X2001" t="str">
        <f>IF(ISBLANK(S2001),"Intersection","Non-Intersection")</f>
        <v>Non-Intersection</v>
      </c>
      <c r="Y2001" t="s">
        <v>3052</v>
      </c>
      <c r="Z2001" t="str">
        <f t="shared" si="458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45"/>
        <v>40544</v>
      </c>
      <c r="D2002" s="4">
        <f t="shared" si="446"/>
        <v>0.24109589041095891</v>
      </c>
      <c r="E2002" s="3">
        <f t="shared" si="447"/>
        <v>2011</v>
      </c>
      <c r="F2002" s="3">
        <f t="shared" si="448"/>
        <v>3</v>
      </c>
      <c r="G2002" s="3">
        <f t="shared" si="449"/>
        <v>30</v>
      </c>
      <c r="H2002" s="3">
        <f t="shared" si="450"/>
        <v>12</v>
      </c>
      <c r="I2002" s="3">
        <f t="shared" si="451"/>
        <v>14</v>
      </c>
      <c r="J2002" s="3">
        <f t="shared" si="452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53"/>
        <v>YES</v>
      </c>
      <c r="Q2002" t="str">
        <f t="shared" si="454"/>
        <v>NO</v>
      </c>
      <c r="R2002" t="str">
        <f t="shared" si="455"/>
        <v>YES</v>
      </c>
      <c r="T2002" t="s">
        <v>19</v>
      </c>
      <c r="U2002" t="str">
        <f t="shared" si="456"/>
        <v>Cambridge St</v>
      </c>
      <c r="V2002" t="s">
        <v>74</v>
      </c>
      <c r="W2002" t="str">
        <f t="shared" si="457"/>
        <v>Hampshire St</v>
      </c>
      <c r="X2002" t="str">
        <f>IF(ISBLANK(S2002),"Intersection","Non-Intersection")</f>
        <v>Intersection</v>
      </c>
      <c r="Y2002" t="s">
        <v>111</v>
      </c>
      <c r="Z2002" t="str">
        <f t="shared" si="458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45"/>
        <v>40544</v>
      </c>
      <c r="D2003" s="4">
        <f t="shared" si="446"/>
        <v>0.24383561643835616</v>
      </c>
      <c r="E2003" s="3">
        <f t="shared" si="447"/>
        <v>2011</v>
      </c>
      <c r="F2003" s="3">
        <f t="shared" si="448"/>
        <v>3</v>
      </c>
      <c r="G2003" s="3">
        <f t="shared" si="449"/>
        <v>31</v>
      </c>
      <c r="H2003" s="3">
        <f t="shared" si="450"/>
        <v>0</v>
      </c>
      <c r="I2003" s="3">
        <f t="shared" si="451"/>
        <v>58</v>
      </c>
      <c r="J2003" s="3">
        <f t="shared" si="452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53"/>
        <v>YES</v>
      </c>
      <c r="Q2003" t="str">
        <f t="shared" si="454"/>
        <v>NO</v>
      </c>
      <c r="R2003" t="str">
        <f t="shared" si="455"/>
        <v>NO</v>
      </c>
      <c r="T2003" t="s">
        <v>37</v>
      </c>
      <c r="U2003" t="str">
        <f t="shared" si="456"/>
        <v>Magazine St</v>
      </c>
      <c r="W2003" t="str">
        <f t="shared" si="457"/>
        <v/>
      </c>
      <c r="X2003" t="str">
        <f>IF(ISBLANK(S2003),"Intersection","Non-Intersection")</f>
        <v>Intersection</v>
      </c>
      <c r="Y2003" t="s">
        <v>176</v>
      </c>
      <c r="Z2003" t="str">
        <f t="shared" si="458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45"/>
        <v>40544</v>
      </c>
      <c r="D2004" s="4">
        <f t="shared" si="446"/>
        <v>0.24383561643835616</v>
      </c>
      <c r="E2004" s="3">
        <f t="shared" si="447"/>
        <v>2011</v>
      </c>
      <c r="F2004" s="3">
        <f t="shared" si="448"/>
        <v>3</v>
      </c>
      <c r="G2004" s="3">
        <f t="shared" si="449"/>
        <v>31</v>
      </c>
      <c r="H2004" s="3">
        <f t="shared" si="450"/>
        <v>6</v>
      </c>
      <c r="I2004" s="3">
        <f t="shared" si="451"/>
        <v>30</v>
      </c>
      <c r="J2004" s="3">
        <f t="shared" si="452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53"/>
        <v>YES</v>
      </c>
      <c r="Q2004" t="str">
        <f t="shared" si="454"/>
        <v>NO</v>
      </c>
      <c r="R2004" t="str">
        <f t="shared" si="455"/>
        <v>NO</v>
      </c>
      <c r="T2004" t="s">
        <v>19</v>
      </c>
      <c r="U2004" t="str">
        <f t="shared" si="456"/>
        <v>Cambridge St</v>
      </c>
      <c r="V2004" t="s">
        <v>3054</v>
      </c>
      <c r="W2004" t="str">
        <f t="shared" si="457"/>
        <v>Oakland St</v>
      </c>
      <c r="X2004" t="str">
        <f>IF(ISBLANK(S2004),"Intersection","Non-Intersection")</f>
        <v>Intersection</v>
      </c>
      <c r="Y2004" t="s">
        <v>3055</v>
      </c>
      <c r="Z2004" t="str">
        <f t="shared" si="458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45"/>
        <v>40544</v>
      </c>
      <c r="D2005" s="4">
        <f t="shared" si="446"/>
        <v>0.24383561643835616</v>
      </c>
      <c r="E2005" s="3">
        <f t="shared" si="447"/>
        <v>2011</v>
      </c>
      <c r="F2005" s="3">
        <f t="shared" si="448"/>
        <v>3</v>
      </c>
      <c r="G2005" s="3">
        <f t="shared" si="449"/>
        <v>31</v>
      </c>
      <c r="H2005" s="3">
        <f t="shared" si="450"/>
        <v>14</v>
      </c>
      <c r="I2005" s="3">
        <f t="shared" si="451"/>
        <v>29</v>
      </c>
      <c r="J2005" s="3">
        <f t="shared" si="452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53"/>
        <v>YES</v>
      </c>
      <c r="Q2005" t="str">
        <f t="shared" si="454"/>
        <v>NO</v>
      </c>
      <c r="R2005" t="str">
        <f t="shared" si="455"/>
        <v>NO</v>
      </c>
      <c r="S2005">
        <v>128</v>
      </c>
      <c r="T2005" t="s">
        <v>19</v>
      </c>
      <c r="U2005" t="str">
        <f t="shared" si="456"/>
        <v>Cambridge St</v>
      </c>
      <c r="W2005" t="str">
        <f t="shared" si="457"/>
        <v/>
      </c>
      <c r="X2005" t="str">
        <f>IF(ISBLANK(S2005),"Intersection","Non-Intersection")</f>
        <v>Non-Intersection</v>
      </c>
      <c r="Y2005" t="s">
        <v>3057</v>
      </c>
      <c r="Z2005" t="str">
        <f t="shared" si="458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45"/>
        <v>40544</v>
      </c>
      <c r="D2006" s="4">
        <f t="shared" si="446"/>
        <v>0.24383561643835616</v>
      </c>
      <c r="E2006" s="3">
        <f t="shared" si="447"/>
        <v>2011</v>
      </c>
      <c r="F2006" s="3">
        <f t="shared" si="448"/>
        <v>3</v>
      </c>
      <c r="G2006" s="3">
        <f t="shared" si="449"/>
        <v>31</v>
      </c>
      <c r="H2006" s="3">
        <f t="shared" si="450"/>
        <v>19</v>
      </c>
      <c r="I2006" s="3">
        <f t="shared" si="451"/>
        <v>34</v>
      </c>
      <c r="J2006" s="3">
        <f t="shared" si="452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53"/>
        <v>YES</v>
      </c>
      <c r="Q2006" t="str">
        <f t="shared" si="454"/>
        <v>NO</v>
      </c>
      <c r="R2006" t="str">
        <f t="shared" si="455"/>
        <v>NO</v>
      </c>
      <c r="T2006" t="s">
        <v>14</v>
      </c>
      <c r="U2006" t="str">
        <f t="shared" si="456"/>
        <v>Massachusetts Ave</v>
      </c>
      <c r="V2006" t="s">
        <v>675</v>
      </c>
      <c r="W2006" t="str">
        <f t="shared" si="457"/>
        <v>Roseland St</v>
      </c>
      <c r="X2006" t="str">
        <f>IF(ISBLANK(S2006),"Intersection","Non-Intersection")</f>
        <v>Intersection</v>
      </c>
      <c r="Y2006" t="s">
        <v>1882</v>
      </c>
      <c r="Z2006" t="str">
        <f t="shared" si="458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45"/>
        <v>40544</v>
      </c>
      <c r="D2007" s="4">
        <f t="shared" si="446"/>
        <v>0.24657534246575341</v>
      </c>
      <c r="E2007" s="3">
        <f t="shared" si="447"/>
        <v>2011</v>
      </c>
      <c r="F2007" s="3">
        <f t="shared" si="448"/>
        <v>4</v>
      </c>
      <c r="G2007" s="3">
        <f t="shared" si="449"/>
        <v>1</v>
      </c>
      <c r="H2007" s="3">
        <f t="shared" si="450"/>
        <v>2</v>
      </c>
      <c r="I2007" s="3">
        <f t="shared" si="451"/>
        <v>39</v>
      </c>
      <c r="J2007" s="3">
        <f t="shared" si="452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53"/>
        <v>YES</v>
      </c>
      <c r="Q2007" t="str">
        <f t="shared" si="454"/>
        <v>NO</v>
      </c>
      <c r="R2007" t="str">
        <f t="shared" si="455"/>
        <v>NO</v>
      </c>
      <c r="S2007">
        <v>688</v>
      </c>
      <c r="T2007" t="s">
        <v>19</v>
      </c>
      <c r="U2007" t="str">
        <f t="shared" si="456"/>
        <v>Cambridge St</v>
      </c>
      <c r="W2007" t="str">
        <f t="shared" si="457"/>
        <v/>
      </c>
      <c r="X2007" t="str">
        <f>IF(ISBLANK(S2007),"Intersection","Non-Intersection")</f>
        <v>Non-Intersection</v>
      </c>
      <c r="Y2007" t="s">
        <v>3058</v>
      </c>
      <c r="Z2007" t="str">
        <f t="shared" si="458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45"/>
        <v>40544</v>
      </c>
      <c r="D2008" s="4">
        <f t="shared" si="446"/>
        <v>0.24657534246575341</v>
      </c>
      <c r="E2008" s="3">
        <f t="shared" si="447"/>
        <v>2011</v>
      </c>
      <c r="F2008" s="3">
        <f t="shared" si="448"/>
        <v>4</v>
      </c>
      <c r="G2008" s="3">
        <f t="shared" si="449"/>
        <v>1</v>
      </c>
      <c r="H2008" s="3">
        <f t="shared" si="450"/>
        <v>14</v>
      </c>
      <c r="I2008" s="3">
        <f t="shared" si="451"/>
        <v>0</v>
      </c>
      <c r="J2008" s="3">
        <f t="shared" si="452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53"/>
        <v>YES</v>
      </c>
      <c r="Q2008" t="str">
        <f t="shared" si="454"/>
        <v>NO</v>
      </c>
      <c r="R2008" t="str">
        <f t="shared" si="455"/>
        <v>NO</v>
      </c>
      <c r="S2008">
        <v>300</v>
      </c>
      <c r="T2008" t="s">
        <v>142</v>
      </c>
      <c r="U2008" t="str">
        <f t="shared" si="456"/>
        <v>Huron Ave</v>
      </c>
      <c r="W2008" t="str">
        <f t="shared" si="457"/>
        <v/>
      </c>
      <c r="X2008" t="str">
        <f>IF(ISBLANK(S2008),"Intersection","Non-Intersection")</f>
        <v>Non-Intersection</v>
      </c>
      <c r="Y2008" t="s">
        <v>3060</v>
      </c>
      <c r="Z2008" t="str">
        <f t="shared" si="458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45"/>
        <v>40544</v>
      </c>
      <c r="D2009" s="4">
        <f t="shared" si="446"/>
        <v>0.24657534246575341</v>
      </c>
      <c r="E2009" s="3">
        <f t="shared" si="447"/>
        <v>2011</v>
      </c>
      <c r="F2009" s="3">
        <f t="shared" si="448"/>
        <v>4</v>
      </c>
      <c r="G2009" s="3">
        <f t="shared" si="449"/>
        <v>1</v>
      </c>
      <c r="H2009" s="3">
        <f t="shared" si="450"/>
        <v>15</v>
      </c>
      <c r="I2009" s="3">
        <f t="shared" si="451"/>
        <v>0</v>
      </c>
      <c r="J2009" s="3">
        <f t="shared" si="452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53"/>
        <v>YES</v>
      </c>
      <c r="Q2009" t="str">
        <f t="shared" si="454"/>
        <v>NO</v>
      </c>
      <c r="R2009" t="str">
        <f t="shared" si="455"/>
        <v>NO</v>
      </c>
      <c r="T2009" t="s">
        <v>209</v>
      </c>
      <c r="U2009" t="str">
        <f t="shared" si="456"/>
        <v>Binney St</v>
      </c>
      <c r="V2009" t="s">
        <v>32</v>
      </c>
      <c r="W2009" t="str">
        <f t="shared" si="457"/>
        <v>Main St</v>
      </c>
      <c r="X2009" t="str">
        <f>IF(ISBLANK(S2009),"Intersection","Non-Intersection")</f>
        <v>Intersection</v>
      </c>
      <c r="Y2009" t="s">
        <v>3062</v>
      </c>
      <c r="Z2009" t="str">
        <f t="shared" si="458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45"/>
        <v>40544</v>
      </c>
      <c r="D2010" s="4">
        <f t="shared" si="446"/>
        <v>0.24657534246575341</v>
      </c>
      <c r="E2010" s="3">
        <f t="shared" si="447"/>
        <v>2011</v>
      </c>
      <c r="F2010" s="3">
        <f t="shared" si="448"/>
        <v>4</v>
      </c>
      <c r="G2010" s="3">
        <f t="shared" si="449"/>
        <v>1</v>
      </c>
      <c r="H2010" s="3">
        <f t="shared" si="450"/>
        <v>19</v>
      </c>
      <c r="I2010" s="3">
        <f t="shared" si="451"/>
        <v>47</v>
      </c>
      <c r="J2010" s="3">
        <f t="shared" si="452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53"/>
        <v>YES</v>
      </c>
      <c r="Q2010" t="str">
        <f t="shared" si="454"/>
        <v>NO</v>
      </c>
      <c r="R2010" t="str">
        <f t="shared" si="455"/>
        <v>YES</v>
      </c>
      <c r="T2010" t="s">
        <v>32</v>
      </c>
      <c r="U2010" t="str">
        <f t="shared" si="456"/>
        <v>Main St</v>
      </c>
      <c r="V2010" t="s">
        <v>202</v>
      </c>
      <c r="W2010" t="str">
        <f t="shared" si="457"/>
        <v>Vassar St</v>
      </c>
      <c r="X2010" t="str">
        <f>IF(ISBLANK(S2010),"Intersection","Non-Intersection")</f>
        <v>Intersection</v>
      </c>
      <c r="Y2010" t="s">
        <v>772</v>
      </c>
      <c r="Z2010" t="str">
        <f t="shared" si="458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45"/>
        <v>40544</v>
      </c>
      <c r="D2011" s="4">
        <f t="shared" si="446"/>
        <v>0.24657534246575341</v>
      </c>
      <c r="E2011" s="3">
        <f t="shared" si="447"/>
        <v>2011</v>
      </c>
      <c r="F2011" s="3">
        <f t="shared" si="448"/>
        <v>4</v>
      </c>
      <c r="G2011" s="3">
        <f t="shared" si="449"/>
        <v>1</v>
      </c>
      <c r="H2011" s="3">
        <f t="shared" si="450"/>
        <v>2</v>
      </c>
      <c r="I2011" s="3">
        <f t="shared" si="451"/>
        <v>38</v>
      </c>
      <c r="J2011" s="3">
        <f t="shared" si="452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53"/>
        <v>YES</v>
      </c>
      <c r="Q2011" t="str">
        <f t="shared" si="454"/>
        <v>NO</v>
      </c>
      <c r="R2011" t="str">
        <f t="shared" si="455"/>
        <v>NO</v>
      </c>
      <c r="S2011">
        <v>585</v>
      </c>
      <c r="T2011" t="s">
        <v>198</v>
      </c>
      <c r="U2011" t="str">
        <f t="shared" si="456"/>
        <v>Mount Auburn St</v>
      </c>
      <c r="W2011" t="str">
        <f t="shared" si="457"/>
        <v/>
      </c>
      <c r="X2011" t="str">
        <f>IF(ISBLANK(S2011),"Intersection","Non-Intersection")</f>
        <v>Non-Intersection</v>
      </c>
      <c r="Y2011" t="s">
        <v>3063</v>
      </c>
      <c r="Z2011" t="str">
        <f t="shared" si="458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45"/>
        <v>40544</v>
      </c>
      <c r="D2012" s="4">
        <f t="shared" si="446"/>
        <v>0.24931506849315069</v>
      </c>
      <c r="E2012" s="3">
        <f t="shared" si="447"/>
        <v>2011</v>
      </c>
      <c r="F2012" s="3">
        <f t="shared" si="448"/>
        <v>4</v>
      </c>
      <c r="G2012" s="3">
        <f t="shared" si="449"/>
        <v>2</v>
      </c>
      <c r="H2012" s="3">
        <f t="shared" si="450"/>
        <v>13</v>
      </c>
      <c r="I2012" s="3">
        <f t="shared" si="451"/>
        <v>50</v>
      </c>
      <c r="J2012" s="3">
        <f t="shared" si="452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53"/>
        <v>YES</v>
      </c>
      <c r="Q2012" t="str">
        <f t="shared" si="454"/>
        <v>NO</v>
      </c>
      <c r="R2012" t="str">
        <f t="shared" si="455"/>
        <v>NO</v>
      </c>
      <c r="S2012">
        <v>2</v>
      </c>
      <c r="T2012" t="s">
        <v>19</v>
      </c>
      <c r="U2012" t="str">
        <f t="shared" si="456"/>
        <v>Cambridge St</v>
      </c>
      <c r="V2012" t="s">
        <v>61</v>
      </c>
      <c r="W2012" t="str">
        <f t="shared" si="457"/>
        <v>First St</v>
      </c>
      <c r="X2012" t="str">
        <f>IF(ISBLANK(S2012),"Intersection","Non-Intersection")</f>
        <v>Non-Intersection</v>
      </c>
      <c r="Y2012" t="s">
        <v>3065</v>
      </c>
      <c r="Z2012" t="str">
        <f t="shared" si="458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59">EOMONTH(B2013,MONTH(B2013)*-1)+1</f>
        <v>40544</v>
      </c>
      <c r="D2013" s="4">
        <f t="shared" ref="D2013:D2073" si="460">YEARFRAC(C2013,B2013,1)</f>
        <v>0.24931506849315069</v>
      </c>
      <c r="E2013" s="3">
        <f t="shared" ref="E2013:E2073" si="461">YEAR(B2013)</f>
        <v>2011</v>
      </c>
      <c r="F2013" s="3">
        <f t="shared" ref="F2013:F2073" si="462">MONTH(B2013)</f>
        <v>4</v>
      </c>
      <c r="G2013" s="3">
        <f t="shared" ref="G2013:G2073" si="463">DAY(B2013)</f>
        <v>2</v>
      </c>
      <c r="H2013" s="3">
        <f t="shared" ref="H2013:H2073" si="464">HOUR(B2013)</f>
        <v>15</v>
      </c>
      <c r="I2013" s="3">
        <f t="shared" ref="I2013:I2073" si="465">MINUTE(B2013)</f>
        <v>20</v>
      </c>
      <c r="J2013" s="3">
        <f t="shared" ref="J2013:J2073" si="466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67">IF(OR(N2013="Auto",O2013="Auto"),"YES",IF(OR(N2013="Taxi",O2013="Taxi"),"YES",IF(OR(N2013="Van",O2013="Van"),"YES",IF(OR(N2013="Truck",O2013="Truck"),"YES","NO"))))</f>
        <v>YES</v>
      </c>
      <c r="Q2013" t="str">
        <f t="shared" ref="Q2013:Q2073" si="468">IF(OR(N2013="Bicycle",O2013="Bicycle"),"YES","NO")</f>
        <v>NO</v>
      </c>
      <c r="R2013" t="str">
        <f t="shared" ref="R2013:R2073" si="469">IF(OR(N2013="Pedestrian",O2013="Pedestrian"),"YES","NO")</f>
        <v>NO</v>
      </c>
      <c r="S2013">
        <v>1</v>
      </c>
      <c r="T2013" t="s">
        <v>1062</v>
      </c>
      <c r="U2013" t="str">
        <f t="shared" si="456"/>
        <v>Cambridgeside Pl</v>
      </c>
      <c r="V2013" t="s">
        <v>2580</v>
      </c>
      <c r="W2013" t="str">
        <f t="shared" si="457"/>
        <v>Land Blvd</v>
      </c>
      <c r="X2013" t="str">
        <f>IF(ISBLANK(S2013),"Intersection","Non-Intersection")</f>
        <v>Non-Intersection</v>
      </c>
      <c r="Y2013" t="s">
        <v>1063</v>
      </c>
      <c r="Z2013" t="str">
        <f t="shared" si="458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59"/>
        <v>40544</v>
      </c>
      <c r="D2014" s="4">
        <f t="shared" si="460"/>
        <v>0.24931506849315069</v>
      </c>
      <c r="E2014" s="3">
        <f t="shared" si="461"/>
        <v>2011</v>
      </c>
      <c r="F2014" s="3">
        <f t="shared" si="462"/>
        <v>4</v>
      </c>
      <c r="G2014" s="3">
        <f t="shared" si="463"/>
        <v>2</v>
      </c>
      <c r="H2014" s="3">
        <f t="shared" si="464"/>
        <v>15</v>
      </c>
      <c r="I2014" s="3">
        <f t="shared" si="465"/>
        <v>59</v>
      </c>
      <c r="J2014" s="3">
        <f t="shared" si="466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67"/>
        <v>YES</v>
      </c>
      <c r="Q2014" t="str">
        <f t="shared" si="468"/>
        <v>NO</v>
      </c>
      <c r="R2014" t="str">
        <f t="shared" si="469"/>
        <v>NO</v>
      </c>
      <c r="S2014">
        <v>55</v>
      </c>
      <c r="T2014" t="s">
        <v>315</v>
      </c>
      <c r="U2014" t="str">
        <f t="shared" si="456"/>
        <v>Essex St</v>
      </c>
      <c r="W2014" t="str">
        <f t="shared" si="457"/>
        <v/>
      </c>
      <c r="X2014" t="str">
        <f>IF(ISBLANK(S2014),"Intersection","Non-Intersection")</f>
        <v>Non-Intersection</v>
      </c>
      <c r="Y2014" t="s">
        <v>3066</v>
      </c>
      <c r="Z2014" t="str">
        <f t="shared" si="458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59"/>
        <v>40544</v>
      </c>
      <c r="D2015" s="4">
        <f t="shared" si="460"/>
        <v>0.24931506849315069</v>
      </c>
      <c r="E2015" s="3">
        <f t="shared" si="461"/>
        <v>2011</v>
      </c>
      <c r="F2015" s="3">
        <f t="shared" si="462"/>
        <v>4</v>
      </c>
      <c r="G2015" s="3">
        <f t="shared" si="463"/>
        <v>2</v>
      </c>
      <c r="H2015" s="3">
        <f t="shared" si="464"/>
        <v>16</v>
      </c>
      <c r="I2015" s="3">
        <f t="shared" si="465"/>
        <v>34</v>
      </c>
      <c r="J2015" s="3">
        <f t="shared" si="466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67"/>
        <v>YES</v>
      </c>
      <c r="Q2015" t="str">
        <f t="shared" si="468"/>
        <v>NO</v>
      </c>
      <c r="R2015" t="str">
        <f t="shared" si="469"/>
        <v>NO</v>
      </c>
      <c r="T2015" t="s">
        <v>14</v>
      </c>
      <c r="U2015" t="str">
        <f t="shared" si="456"/>
        <v>Massachusetts Ave</v>
      </c>
      <c r="V2015" t="s">
        <v>94</v>
      </c>
      <c r="W2015" t="str">
        <f t="shared" si="457"/>
        <v>Shepard St</v>
      </c>
      <c r="X2015" t="str">
        <f>IF(ISBLANK(S2015),"Intersection","Non-Intersection")</f>
        <v>Intersection</v>
      </c>
      <c r="Y2015" t="s">
        <v>95</v>
      </c>
      <c r="Z2015" t="str">
        <f t="shared" si="458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59"/>
        <v>40544</v>
      </c>
      <c r="D2016" s="4">
        <f t="shared" si="460"/>
        <v>0.24931506849315069</v>
      </c>
      <c r="E2016" s="3">
        <f t="shared" si="461"/>
        <v>2011</v>
      </c>
      <c r="F2016" s="3">
        <f t="shared" si="462"/>
        <v>4</v>
      </c>
      <c r="G2016" s="3">
        <f t="shared" si="463"/>
        <v>2</v>
      </c>
      <c r="H2016" s="3">
        <f t="shared" si="464"/>
        <v>18</v>
      </c>
      <c r="I2016" s="3">
        <f t="shared" si="465"/>
        <v>49</v>
      </c>
      <c r="J2016" s="3">
        <f t="shared" si="466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67"/>
        <v>YES</v>
      </c>
      <c r="Q2016" t="str">
        <f t="shared" si="468"/>
        <v>NO</v>
      </c>
      <c r="R2016" t="str">
        <f t="shared" si="469"/>
        <v>NO</v>
      </c>
      <c r="S2016">
        <v>2</v>
      </c>
      <c r="T2016" t="s">
        <v>351</v>
      </c>
      <c r="U2016" t="str">
        <f t="shared" si="456"/>
        <v>Cambridge Ctr</v>
      </c>
      <c r="W2016" t="str">
        <f t="shared" si="457"/>
        <v/>
      </c>
      <c r="X2016" t="str">
        <f>IF(ISBLANK(S2016),"Intersection","Non-Intersection")</f>
        <v>Non-Intersection</v>
      </c>
      <c r="Y2016" t="s">
        <v>3068</v>
      </c>
      <c r="Z2016" t="str">
        <f t="shared" si="458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59"/>
        <v>40544</v>
      </c>
      <c r="D2017" s="4">
        <f t="shared" si="460"/>
        <v>0.24931506849315069</v>
      </c>
      <c r="E2017" s="3">
        <f t="shared" si="461"/>
        <v>2011</v>
      </c>
      <c r="F2017" s="3">
        <f t="shared" si="462"/>
        <v>4</v>
      </c>
      <c r="G2017" s="3">
        <f t="shared" si="463"/>
        <v>2</v>
      </c>
      <c r="H2017" s="3">
        <f t="shared" si="464"/>
        <v>21</v>
      </c>
      <c r="I2017" s="3">
        <f t="shared" si="465"/>
        <v>20</v>
      </c>
      <c r="J2017" s="3">
        <f t="shared" si="466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67"/>
        <v>YES</v>
      </c>
      <c r="Q2017" t="str">
        <f t="shared" si="468"/>
        <v>NO</v>
      </c>
      <c r="R2017" t="str">
        <f t="shared" si="469"/>
        <v>NO</v>
      </c>
      <c r="T2017" t="s">
        <v>14</v>
      </c>
      <c r="U2017" t="str">
        <f t="shared" si="456"/>
        <v>Massachusetts Ave</v>
      </c>
      <c r="V2017" t="s">
        <v>453</v>
      </c>
      <c r="W2017" t="str">
        <f t="shared" si="457"/>
        <v>Brookline St</v>
      </c>
      <c r="X2017" t="str">
        <f>IF(ISBLANK(S2017),"Intersection","Non-Intersection")</f>
        <v>Intersection</v>
      </c>
      <c r="Y2017" t="s">
        <v>3069</v>
      </c>
      <c r="Z2017" t="str">
        <f t="shared" si="458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59"/>
        <v>40544</v>
      </c>
      <c r="D2018" s="4">
        <f t="shared" si="460"/>
        <v>0.25205479452054796</v>
      </c>
      <c r="E2018" s="3">
        <f t="shared" si="461"/>
        <v>2011</v>
      </c>
      <c r="F2018" s="3">
        <f t="shared" si="462"/>
        <v>4</v>
      </c>
      <c r="G2018" s="3">
        <f t="shared" si="463"/>
        <v>3</v>
      </c>
      <c r="H2018" s="3">
        <f t="shared" si="464"/>
        <v>15</v>
      </c>
      <c r="I2018" s="3">
        <f t="shared" si="465"/>
        <v>10</v>
      </c>
      <c r="J2018" s="3">
        <f t="shared" si="466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67"/>
        <v>YES</v>
      </c>
      <c r="Q2018" t="str">
        <f t="shared" si="468"/>
        <v>YES</v>
      </c>
      <c r="R2018" t="str">
        <f t="shared" si="469"/>
        <v>NO</v>
      </c>
      <c r="T2018" t="s">
        <v>198</v>
      </c>
      <c r="U2018" t="str">
        <f t="shared" si="456"/>
        <v>Mount Auburn St</v>
      </c>
      <c r="V2018" t="s">
        <v>678</v>
      </c>
      <c r="W2018" t="str">
        <f t="shared" si="457"/>
        <v>Athens St</v>
      </c>
      <c r="X2018" t="str">
        <f>IF(ISBLANK(S2018),"Intersection","Non-Intersection")</f>
        <v>Intersection</v>
      </c>
      <c r="Y2018" t="s">
        <v>3070</v>
      </c>
      <c r="Z2018" t="str">
        <f t="shared" si="458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59"/>
        <v>40544</v>
      </c>
      <c r="D2019" s="4">
        <f t="shared" si="460"/>
        <v>0.25479452054794521</v>
      </c>
      <c r="E2019" s="3">
        <f t="shared" si="461"/>
        <v>2011</v>
      </c>
      <c r="F2019" s="3">
        <f t="shared" si="462"/>
        <v>4</v>
      </c>
      <c r="G2019" s="3">
        <f t="shared" si="463"/>
        <v>4</v>
      </c>
      <c r="H2019" s="3">
        <f t="shared" si="464"/>
        <v>6</v>
      </c>
      <c r="I2019" s="3">
        <f t="shared" si="465"/>
        <v>59</v>
      </c>
      <c r="J2019" s="3">
        <f t="shared" si="466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67"/>
        <v>YES</v>
      </c>
      <c r="Q2019" t="str">
        <f t="shared" si="468"/>
        <v>YES</v>
      </c>
      <c r="R2019" t="str">
        <f t="shared" si="469"/>
        <v>NO</v>
      </c>
      <c r="T2019" t="s">
        <v>19</v>
      </c>
      <c r="U2019" t="str">
        <f t="shared" si="456"/>
        <v>Cambridge St</v>
      </c>
      <c r="V2019" t="s">
        <v>1174</v>
      </c>
      <c r="W2019" t="str">
        <f t="shared" si="457"/>
        <v>Roberts Rd</v>
      </c>
      <c r="X2019" t="str">
        <f>IF(ISBLANK(S2019),"Intersection","Non-Intersection")</f>
        <v>Intersection</v>
      </c>
      <c r="Y2019" t="s">
        <v>1175</v>
      </c>
      <c r="Z2019" t="str">
        <f t="shared" si="458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59"/>
        <v>40544</v>
      </c>
      <c r="D2020" s="4">
        <f t="shared" si="460"/>
        <v>0.25479452054794521</v>
      </c>
      <c r="E2020" s="3">
        <f t="shared" si="461"/>
        <v>2011</v>
      </c>
      <c r="F2020" s="3">
        <f t="shared" si="462"/>
        <v>4</v>
      </c>
      <c r="G2020" s="3">
        <f t="shared" si="463"/>
        <v>4</v>
      </c>
      <c r="H2020" s="3">
        <f t="shared" si="464"/>
        <v>1</v>
      </c>
      <c r="I2020" s="3">
        <f t="shared" si="465"/>
        <v>9</v>
      </c>
      <c r="J2020" s="3">
        <f t="shared" si="466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67"/>
        <v>YES</v>
      </c>
      <c r="Q2020" t="str">
        <f t="shared" si="468"/>
        <v>NO</v>
      </c>
      <c r="R2020" t="str">
        <f t="shared" si="469"/>
        <v>NO</v>
      </c>
      <c r="S2020">
        <v>489</v>
      </c>
      <c r="T2020" t="s">
        <v>105</v>
      </c>
      <c r="U2020" t="str">
        <f t="shared" si="456"/>
        <v>Broadway</v>
      </c>
      <c r="W2020" t="str">
        <f t="shared" si="457"/>
        <v/>
      </c>
      <c r="X2020" t="str">
        <f>IF(ISBLANK(S2020),"Intersection","Non-Intersection")</f>
        <v>Non-Intersection</v>
      </c>
      <c r="Y2020" t="s">
        <v>3072</v>
      </c>
      <c r="Z2020" t="str">
        <f t="shared" si="458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59"/>
        <v>40544</v>
      </c>
      <c r="D2021" s="4">
        <f t="shared" si="460"/>
        <v>0.25479452054794521</v>
      </c>
      <c r="E2021" s="3">
        <f t="shared" si="461"/>
        <v>2011</v>
      </c>
      <c r="F2021" s="3">
        <f t="shared" si="462"/>
        <v>4</v>
      </c>
      <c r="G2021" s="3">
        <f t="shared" si="463"/>
        <v>4</v>
      </c>
      <c r="H2021" s="3">
        <f t="shared" si="464"/>
        <v>19</v>
      </c>
      <c r="I2021" s="3">
        <f t="shared" si="465"/>
        <v>11</v>
      </c>
      <c r="J2021" s="3">
        <f t="shared" si="466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67"/>
        <v>YES</v>
      </c>
      <c r="Q2021" t="str">
        <f t="shared" si="468"/>
        <v>YES</v>
      </c>
      <c r="R2021" t="str">
        <f t="shared" si="469"/>
        <v>NO</v>
      </c>
      <c r="T2021" t="s">
        <v>19</v>
      </c>
      <c r="U2021" t="str">
        <f t="shared" si="456"/>
        <v>Cambridge St</v>
      </c>
      <c r="V2021" t="s">
        <v>667</v>
      </c>
      <c r="W2021" t="str">
        <f t="shared" si="457"/>
        <v>Tremont St</v>
      </c>
      <c r="X2021" t="str">
        <f>IF(ISBLANK(S2021),"Intersection","Non-Intersection")</f>
        <v>Intersection</v>
      </c>
      <c r="Y2021" t="s">
        <v>3074</v>
      </c>
      <c r="Z2021" t="str">
        <f t="shared" si="458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59"/>
        <v>40544</v>
      </c>
      <c r="D2022" s="4">
        <f t="shared" si="460"/>
        <v>0.26027397260273971</v>
      </c>
      <c r="E2022" s="3">
        <f t="shared" si="461"/>
        <v>2011</v>
      </c>
      <c r="F2022" s="3">
        <f t="shared" si="462"/>
        <v>4</v>
      </c>
      <c r="G2022" s="3">
        <f t="shared" si="463"/>
        <v>6</v>
      </c>
      <c r="H2022" s="3">
        <f t="shared" si="464"/>
        <v>1</v>
      </c>
      <c r="I2022" s="3">
        <f t="shared" si="465"/>
        <v>15</v>
      </c>
      <c r="J2022" s="3">
        <f t="shared" si="466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67"/>
        <v>YES</v>
      </c>
      <c r="Q2022" t="str">
        <f t="shared" si="468"/>
        <v>NO</v>
      </c>
      <c r="R2022" t="str">
        <f t="shared" si="469"/>
        <v>NO</v>
      </c>
      <c r="S2022">
        <v>154</v>
      </c>
      <c r="T2022" t="s">
        <v>942</v>
      </c>
      <c r="U2022" t="str">
        <f t="shared" si="456"/>
        <v>Amory St</v>
      </c>
      <c r="W2022" t="str">
        <f t="shared" si="457"/>
        <v/>
      </c>
      <c r="X2022" t="str">
        <f>IF(ISBLANK(S2022),"Intersection","Non-Intersection")</f>
        <v>Non-Intersection</v>
      </c>
      <c r="Y2022" t="s">
        <v>3075</v>
      </c>
      <c r="Z2022" t="str">
        <f t="shared" si="458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59"/>
        <v>40544</v>
      </c>
      <c r="D2023" s="4">
        <f t="shared" si="460"/>
        <v>0.26027397260273971</v>
      </c>
      <c r="E2023" s="3">
        <f t="shared" si="461"/>
        <v>2011</v>
      </c>
      <c r="F2023" s="3">
        <f t="shared" si="462"/>
        <v>4</v>
      </c>
      <c r="G2023" s="3">
        <f t="shared" si="463"/>
        <v>6</v>
      </c>
      <c r="H2023" s="3">
        <f t="shared" si="464"/>
        <v>8</v>
      </c>
      <c r="I2023" s="3">
        <f t="shared" si="465"/>
        <v>55</v>
      </c>
      <c r="J2023" s="3">
        <f t="shared" si="466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67"/>
        <v>YES</v>
      </c>
      <c r="Q2023" t="str">
        <f t="shared" si="468"/>
        <v>NO</v>
      </c>
      <c r="R2023" t="str">
        <f t="shared" si="469"/>
        <v>NO</v>
      </c>
      <c r="T2023" t="s">
        <v>185</v>
      </c>
      <c r="U2023" t="str">
        <f t="shared" si="456"/>
        <v>Garden St</v>
      </c>
      <c r="V2023" t="s">
        <v>14</v>
      </c>
      <c r="W2023" t="str">
        <f t="shared" si="457"/>
        <v>Massachusetts Ave</v>
      </c>
      <c r="X2023" t="str">
        <f>IF(ISBLANK(S2023),"Intersection","Non-Intersection")</f>
        <v>Intersection</v>
      </c>
      <c r="Y2023" t="s">
        <v>1003</v>
      </c>
      <c r="Z2023" t="str">
        <f t="shared" si="458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59"/>
        <v>40544</v>
      </c>
      <c r="D2024" s="4">
        <f t="shared" si="460"/>
        <v>0.26027397260273971</v>
      </c>
      <c r="E2024" s="3">
        <f t="shared" si="461"/>
        <v>2011</v>
      </c>
      <c r="F2024" s="3">
        <f t="shared" si="462"/>
        <v>4</v>
      </c>
      <c r="G2024" s="3">
        <f t="shared" si="463"/>
        <v>6</v>
      </c>
      <c r="H2024" s="3">
        <f t="shared" si="464"/>
        <v>10</v>
      </c>
      <c r="I2024" s="3">
        <f t="shared" si="465"/>
        <v>30</v>
      </c>
      <c r="J2024" s="3">
        <f t="shared" si="466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67"/>
        <v>YES</v>
      </c>
      <c r="Q2024" t="str">
        <f t="shared" si="468"/>
        <v>NO</v>
      </c>
      <c r="R2024" t="str">
        <f t="shared" si="469"/>
        <v>NO</v>
      </c>
      <c r="S2024">
        <v>725</v>
      </c>
      <c r="T2024" t="s">
        <v>186</v>
      </c>
      <c r="U2024" t="str">
        <f t="shared" si="456"/>
        <v>Concord Ave</v>
      </c>
      <c r="W2024" t="str">
        <f t="shared" si="457"/>
        <v/>
      </c>
      <c r="X2024" t="str">
        <f>IF(ISBLANK(S2024),"Intersection","Non-Intersection")</f>
        <v>Non-Intersection</v>
      </c>
      <c r="Y2024" t="s">
        <v>617</v>
      </c>
      <c r="Z2024" t="str">
        <f t="shared" si="458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59"/>
        <v>40544</v>
      </c>
      <c r="D2025" s="4">
        <f t="shared" si="460"/>
        <v>0.26027397260273971</v>
      </c>
      <c r="E2025" s="3">
        <f t="shared" si="461"/>
        <v>2011</v>
      </c>
      <c r="F2025" s="3">
        <f t="shared" si="462"/>
        <v>4</v>
      </c>
      <c r="G2025" s="3">
        <f t="shared" si="463"/>
        <v>6</v>
      </c>
      <c r="H2025" s="3">
        <f t="shared" si="464"/>
        <v>13</v>
      </c>
      <c r="I2025" s="3">
        <f t="shared" si="465"/>
        <v>15</v>
      </c>
      <c r="J2025" s="3">
        <f t="shared" si="466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67"/>
        <v>YES</v>
      </c>
      <c r="Q2025" t="str">
        <f t="shared" si="468"/>
        <v>NO</v>
      </c>
      <c r="R2025" t="str">
        <f t="shared" si="469"/>
        <v>NO</v>
      </c>
      <c r="T2025" t="s">
        <v>260</v>
      </c>
      <c r="U2025" t="str">
        <f t="shared" si="456"/>
        <v>Third St</v>
      </c>
      <c r="V2025" t="s">
        <v>3077</v>
      </c>
      <c r="W2025" t="str">
        <f t="shared" si="457"/>
        <v>Athenaeum St</v>
      </c>
      <c r="X2025" t="str">
        <f>IF(ISBLANK(S2025),"Intersection","Non-Intersection")</f>
        <v>Intersection</v>
      </c>
      <c r="Y2025" t="s">
        <v>3078</v>
      </c>
      <c r="Z2025" t="str">
        <f t="shared" si="458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59"/>
        <v>40544</v>
      </c>
      <c r="D2026" s="4">
        <f t="shared" si="460"/>
        <v>0.26027397260273971</v>
      </c>
      <c r="E2026" s="3">
        <f t="shared" si="461"/>
        <v>2011</v>
      </c>
      <c r="F2026" s="3">
        <f t="shared" si="462"/>
        <v>4</v>
      </c>
      <c r="G2026" s="3">
        <f t="shared" si="463"/>
        <v>6</v>
      </c>
      <c r="H2026" s="3">
        <f t="shared" si="464"/>
        <v>19</v>
      </c>
      <c r="I2026" s="3">
        <f t="shared" si="465"/>
        <v>19</v>
      </c>
      <c r="J2026" s="3">
        <f t="shared" si="466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67"/>
        <v>YES</v>
      </c>
      <c r="Q2026" t="str">
        <f t="shared" si="468"/>
        <v>NO</v>
      </c>
      <c r="R2026" t="str">
        <f t="shared" si="469"/>
        <v>NO</v>
      </c>
      <c r="S2026">
        <v>575</v>
      </c>
      <c r="T2026" t="s">
        <v>203</v>
      </c>
      <c r="U2026" t="str">
        <f t="shared" si="456"/>
        <v>Memorial Dr</v>
      </c>
      <c r="W2026" t="str">
        <f t="shared" si="457"/>
        <v/>
      </c>
      <c r="X2026" t="str">
        <f>IF(ISBLANK(S2026),"Intersection","Non-Intersection")</f>
        <v>Non-Intersection</v>
      </c>
      <c r="Y2026" t="s">
        <v>347</v>
      </c>
      <c r="Z2026" t="str">
        <f t="shared" si="458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59"/>
        <v>40544</v>
      </c>
      <c r="D2027" s="4">
        <f t="shared" si="460"/>
        <v>0.26301369863013696</v>
      </c>
      <c r="E2027" s="3">
        <f t="shared" si="461"/>
        <v>2011</v>
      </c>
      <c r="F2027" s="3">
        <f t="shared" si="462"/>
        <v>4</v>
      </c>
      <c r="G2027" s="3">
        <f t="shared" si="463"/>
        <v>7</v>
      </c>
      <c r="H2027" s="3">
        <f t="shared" si="464"/>
        <v>11</v>
      </c>
      <c r="I2027" s="3">
        <f t="shared" si="465"/>
        <v>29</v>
      </c>
      <c r="J2027" s="3">
        <f t="shared" si="466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67"/>
        <v>YES</v>
      </c>
      <c r="Q2027" t="str">
        <f t="shared" si="468"/>
        <v>YES</v>
      </c>
      <c r="R2027" t="str">
        <f t="shared" si="469"/>
        <v>NO</v>
      </c>
      <c r="S2027">
        <v>743</v>
      </c>
      <c r="T2027" t="s">
        <v>14</v>
      </c>
      <c r="U2027" t="str">
        <f t="shared" si="456"/>
        <v>Massachusetts Ave</v>
      </c>
      <c r="W2027" t="str">
        <f t="shared" si="457"/>
        <v/>
      </c>
      <c r="X2027" t="str">
        <f>IF(ISBLANK(S2027),"Intersection","Non-Intersection")</f>
        <v>Non-Intersection</v>
      </c>
      <c r="Y2027" t="s">
        <v>3080</v>
      </c>
      <c r="Z2027" t="str">
        <f t="shared" si="458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59"/>
        <v>40544</v>
      </c>
      <c r="D2028" s="4">
        <f t="shared" si="460"/>
        <v>0.26301369863013696</v>
      </c>
      <c r="E2028" s="3">
        <f t="shared" si="461"/>
        <v>2011</v>
      </c>
      <c r="F2028" s="3">
        <f t="shared" si="462"/>
        <v>4</v>
      </c>
      <c r="G2028" s="3">
        <f t="shared" si="463"/>
        <v>7</v>
      </c>
      <c r="H2028" s="3">
        <f t="shared" si="464"/>
        <v>17</v>
      </c>
      <c r="I2028" s="3">
        <f t="shared" si="465"/>
        <v>7</v>
      </c>
      <c r="J2028" s="3">
        <f t="shared" si="466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67"/>
        <v>YES</v>
      </c>
      <c r="Q2028" t="str">
        <f t="shared" si="468"/>
        <v>NO</v>
      </c>
      <c r="R2028" t="str">
        <f t="shared" si="469"/>
        <v>NO</v>
      </c>
      <c r="S2028" t="s">
        <v>3082</v>
      </c>
      <c r="T2028" t="s">
        <v>899</v>
      </c>
      <c r="U2028" t="str">
        <f t="shared" si="456"/>
        <v>Cushing St</v>
      </c>
      <c r="V2028" t="s">
        <v>50</v>
      </c>
      <c r="W2028" t="str">
        <f t="shared" si="457"/>
        <v>Belmont St</v>
      </c>
      <c r="X2028" t="str">
        <f>IF(ISBLANK(S2028),"Intersection","Non-Intersection")</f>
        <v>Non-Intersection</v>
      </c>
      <c r="Y2028" t="s">
        <v>3083</v>
      </c>
      <c r="Z2028" t="str">
        <f t="shared" si="458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59"/>
        <v>40544</v>
      </c>
      <c r="D2029" s="4">
        <f t="shared" si="460"/>
        <v>0.26301369863013696</v>
      </c>
      <c r="E2029" s="3">
        <f t="shared" si="461"/>
        <v>2011</v>
      </c>
      <c r="F2029" s="3">
        <f t="shared" si="462"/>
        <v>4</v>
      </c>
      <c r="G2029" s="3">
        <f t="shared" si="463"/>
        <v>7</v>
      </c>
      <c r="H2029" s="3">
        <f t="shared" si="464"/>
        <v>18</v>
      </c>
      <c r="I2029" s="3">
        <f t="shared" si="465"/>
        <v>14</v>
      </c>
      <c r="J2029" s="3">
        <f t="shared" si="466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67"/>
        <v>YES</v>
      </c>
      <c r="Q2029" t="str">
        <f t="shared" si="468"/>
        <v>NO</v>
      </c>
      <c r="R2029" t="str">
        <f t="shared" si="469"/>
        <v>NO</v>
      </c>
      <c r="S2029">
        <v>207</v>
      </c>
      <c r="T2029" t="s">
        <v>37</v>
      </c>
      <c r="U2029" t="str">
        <f t="shared" si="456"/>
        <v>Magazine St</v>
      </c>
      <c r="W2029" t="str">
        <f t="shared" si="457"/>
        <v/>
      </c>
      <c r="X2029" t="str">
        <f>IF(ISBLANK(S2029),"Intersection","Non-Intersection")</f>
        <v>Non-Intersection</v>
      </c>
      <c r="Y2029" t="s">
        <v>3084</v>
      </c>
      <c r="Z2029" t="str">
        <f t="shared" si="458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59"/>
        <v>40544</v>
      </c>
      <c r="D2030" s="4">
        <f t="shared" si="460"/>
        <v>0.26301369863013696</v>
      </c>
      <c r="E2030" s="3">
        <f t="shared" si="461"/>
        <v>2011</v>
      </c>
      <c r="F2030" s="3">
        <f t="shared" si="462"/>
        <v>4</v>
      </c>
      <c r="G2030" s="3">
        <f t="shared" si="463"/>
        <v>7</v>
      </c>
      <c r="H2030" s="3">
        <f t="shared" si="464"/>
        <v>20</v>
      </c>
      <c r="I2030" s="3">
        <f t="shared" si="465"/>
        <v>0</v>
      </c>
      <c r="J2030" s="3">
        <f t="shared" si="466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67"/>
        <v>YES</v>
      </c>
      <c r="Q2030" t="str">
        <f t="shared" si="468"/>
        <v>NO</v>
      </c>
      <c r="R2030" t="str">
        <f t="shared" si="469"/>
        <v>NO</v>
      </c>
      <c r="S2030">
        <v>364</v>
      </c>
      <c r="T2030" t="s">
        <v>15</v>
      </c>
      <c r="U2030" t="str">
        <f t="shared" si="456"/>
        <v>Rindge Ave</v>
      </c>
      <c r="W2030" t="str">
        <f t="shared" si="457"/>
        <v/>
      </c>
      <c r="X2030" t="str">
        <f>IF(ISBLANK(S2030),"Intersection","Non-Intersection")</f>
        <v>Non-Intersection</v>
      </c>
      <c r="Y2030" t="s">
        <v>542</v>
      </c>
      <c r="Z2030" t="str">
        <f t="shared" si="458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59"/>
        <v>40544</v>
      </c>
      <c r="D2031" s="4">
        <f t="shared" si="460"/>
        <v>0.26575342465753427</v>
      </c>
      <c r="E2031" s="3">
        <f t="shared" si="461"/>
        <v>2011</v>
      </c>
      <c r="F2031" s="3">
        <f t="shared" si="462"/>
        <v>4</v>
      </c>
      <c r="G2031" s="3">
        <f t="shared" si="463"/>
        <v>8</v>
      </c>
      <c r="H2031" s="3">
        <f t="shared" si="464"/>
        <v>8</v>
      </c>
      <c r="I2031" s="3">
        <f t="shared" si="465"/>
        <v>57</v>
      </c>
      <c r="J2031" s="3">
        <f t="shared" si="466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67"/>
        <v>YES</v>
      </c>
      <c r="Q2031" t="str">
        <f t="shared" si="468"/>
        <v>NO</v>
      </c>
      <c r="R2031" t="str">
        <f t="shared" si="469"/>
        <v>NO</v>
      </c>
      <c r="T2031" t="s">
        <v>41</v>
      </c>
      <c r="U2031" t="str">
        <f t="shared" si="456"/>
        <v>River St</v>
      </c>
      <c r="V2031" t="s">
        <v>757</v>
      </c>
      <c r="W2031" t="str">
        <f t="shared" si="457"/>
        <v>Blackstone St</v>
      </c>
      <c r="X2031" t="str">
        <f>IF(ISBLANK(S2031),"Intersection","Non-Intersection")</f>
        <v>Intersection</v>
      </c>
      <c r="Y2031" t="s">
        <v>758</v>
      </c>
      <c r="Z2031" t="str">
        <f t="shared" si="458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59"/>
        <v>40544</v>
      </c>
      <c r="D2032" s="4">
        <f t="shared" si="460"/>
        <v>0.26575342465753427</v>
      </c>
      <c r="E2032" s="3">
        <f t="shared" si="461"/>
        <v>2011</v>
      </c>
      <c r="F2032" s="3">
        <f t="shared" si="462"/>
        <v>4</v>
      </c>
      <c r="G2032" s="3">
        <f t="shared" si="463"/>
        <v>8</v>
      </c>
      <c r="H2032" s="3">
        <f t="shared" si="464"/>
        <v>9</v>
      </c>
      <c r="I2032" s="3">
        <f t="shared" si="465"/>
        <v>20</v>
      </c>
      <c r="J2032" s="3">
        <f t="shared" si="466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67"/>
        <v>YES</v>
      </c>
      <c r="Q2032" t="str">
        <f t="shared" si="468"/>
        <v>NO</v>
      </c>
      <c r="R2032" t="str">
        <f t="shared" si="469"/>
        <v>YES</v>
      </c>
      <c r="T2032" t="s">
        <v>198</v>
      </c>
      <c r="U2032" t="str">
        <f t="shared" si="456"/>
        <v>Mount Auburn St</v>
      </c>
      <c r="V2032" t="s">
        <v>2716</v>
      </c>
      <c r="W2032" t="str">
        <f t="shared" si="457"/>
        <v>Gibson St</v>
      </c>
      <c r="X2032" t="str">
        <f>IF(ISBLANK(S2032),"Intersection","Non-Intersection")</f>
        <v>Intersection</v>
      </c>
      <c r="Y2032" t="s">
        <v>3086</v>
      </c>
      <c r="Z2032" t="str">
        <f t="shared" si="458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59"/>
        <v>40544</v>
      </c>
      <c r="D2033" s="4">
        <f t="shared" si="460"/>
        <v>0.26575342465753427</v>
      </c>
      <c r="E2033" s="3">
        <f t="shared" si="461"/>
        <v>2011</v>
      </c>
      <c r="F2033" s="3">
        <f t="shared" si="462"/>
        <v>4</v>
      </c>
      <c r="G2033" s="3">
        <f t="shared" si="463"/>
        <v>8</v>
      </c>
      <c r="H2033" s="3">
        <f t="shared" si="464"/>
        <v>12</v>
      </c>
      <c r="I2033" s="3">
        <f t="shared" si="465"/>
        <v>40</v>
      </c>
      <c r="J2033" s="3">
        <f t="shared" si="466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67"/>
        <v>YES</v>
      </c>
      <c r="Q2033" t="str">
        <f t="shared" si="468"/>
        <v>NO</v>
      </c>
      <c r="R2033" t="str">
        <f t="shared" si="469"/>
        <v>NO</v>
      </c>
      <c r="T2033" t="s">
        <v>198</v>
      </c>
      <c r="U2033" t="str">
        <f t="shared" si="456"/>
        <v>Mount Auburn St</v>
      </c>
      <c r="V2033" t="s">
        <v>1813</v>
      </c>
      <c r="W2033" t="str">
        <f t="shared" si="457"/>
        <v>University Rd</v>
      </c>
      <c r="X2033" t="str">
        <f>IF(ISBLANK(S2033),"Intersection","Non-Intersection")</f>
        <v>Intersection</v>
      </c>
      <c r="Y2033" t="s">
        <v>3088</v>
      </c>
      <c r="Z2033" t="str">
        <f t="shared" si="458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59"/>
        <v>40544</v>
      </c>
      <c r="D2034" s="4">
        <f t="shared" si="460"/>
        <v>0.26575342465753427</v>
      </c>
      <c r="E2034" s="3">
        <f t="shared" si="461"/>
        <v>2011</v>
      </c>
      <c r="F2034" s="3">
        <f t="shared" si="462"/>
        <v>4</v>
      </c>
      <c r="G2034" s="3">
        <f t="shared" si="463"/>
        <v>8</v>
      </c>
      <c r="H2034" s="3">
        <f t="shared" si="464"/>
        <v>16</v>
      </c>
      <c r="I2034" s="3">
        <f t="shared" si="465"/>
        <v>15</v>
      </c>
      <c r="J2034" s="3">
        <f t="shared" si="466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67"/>
        <v>YES</v>
      </c>
      <c r="Q2034" t="str">
        <f t="shared" si="468"/>
        <v>NO</v>
      </c>
      <c r="R2034" t="str">
        <f t="shared" si="469"/>
        <v>NO</v>
      </c>
      <c r="T2034" t="s">
        <v>14</v>
      </c>
      <c r="U2034" t="str">
        <f t="shared" si="456"/>
        <v>Massachusetts Ave</v>
      </c>
      <c r="V2034" t="s">
        <v>354</v>
      </c>
      <c r="W2034" t="str">
        <f t="shared" si="457"/>
        <v>Linnaean St</v>
      </c>
      <c r="X2034" t="str">
        <f>IF(ISBLANK(S2034),"Intersection","Non-Intersection")</f>
        <v>Intersection</v>
      </c>
      <c r="Y2034" t="s">
        <v>1234</v>
      </c>
      <c r="Z2034" t="str">
        <f t="shared" si="458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59"/>
        <v>40544</v>
      </c>
      <c r="D2035" s="4">
        <f t="shared" si="460"/>
        <v>0.26575342465753427</v>
      </c>
      <c r="E2035" s="3">
        <f t="shared" si="461"/>
        <v>2011</v>
      </c>
      <c r="F2035" s="3">
        <f t="shared" si="462"/>
        <v>4</v>
      </c>
      <c r="G2035" s="3">
        <f t="shared" si="463"/>
        <v>8</v>
      </c>
      <c r="H2035" s="3">
        <f t="shared" si="464"/>
        <v>9</v>
      </c>
      <c r="I2035" s="3">
        <f t="shared" si="465"/>
        <v>0</v>
      </c>
      <c r="J2035" s="3">
        <f t="shared" si="466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67"/>
        <v>YES</v>
      </c>
      <c r="Q2035" t="str">
        <f t="shared" si="468"/>
        <v>NO</v>
      </c>
      <c r="R2035" t="str">
        <f t="shared" si="469"/>
        <v>NO</v>
      </c>
      <c r="S2035">
        <v>830</v>
      </c>
      <c r="T2035" t="s">
        <v>203</v>
      </c>
      <c r="U2035" t="str">
        <f t="shared" si="456"/>
        <v>Memorial Dr</v>
      </c>
      <c r="W2035" t="str">
        <f t="shared" si="457"/>
        <v/>
      </c>
      <c r="X2035" t="str">
        <f>IF(ISBLANK(S2035),"Intersection","Non-Intersection")</f>
        <v>Non-Intersection</v>
      </c>
      <c r="Y2035" t="s">
        <v>3090</v>
      </c>
      <c r="Z2035" t="str">
        <f t="shared" si="458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59"/>
        <v>40544</v>
      </c>
      <c r="D2036" s="4">
        <f t="shared" si="460"/>
        <v>0.27123287671232876</v>
      </c>
      <c r="E2036" s="3">
        <f t="shared" si="461"/>
        <v>2011</v>
      </c>
      <c r="F2036" s="3">
        <f t="shared" si="462"/>
        <v>4</v>
      </c>
      <c r="G2036" s="3">
        <f t="shared" si="463"/>
        <v>10</v>
      </c>
      <c r="H2036" s="3">
        <f t="shared" si="464"/>
        <v>17</v>
      </c>
      <c r="I2036" s="3">
        <f t="shared" si="465"/>
        <v>10</v>
      </c>
      <c r="J2036" s="3">
        <f t="shared" si="466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67"/>
        <v>YES</v>
      </c>
      <c r="Q2036" t="str">
        <f t="shared" si="468"/>
        <v>NO</v>
      </c>
      <c r="R2036" t="str">
        <f t="shared" si="469"/>
        <v>NO</v>
      </c>
      <c r="T2036" t="s">
        <v>1062</v>
      </c>
      <c r="U2036" t="str">
        <f t="shared" si="456"/>
        <v>Cambridgeside Pl</v>
      </c>
      <c r="V2036" t="s">
        <v>2580</v>
      </c>
      <c r="W2036" t="str">
        <f t="shared" si="457"/>
        <v>Land Blvd</v>
      </c>
      <c r="X2036" t="str">
        <f>IF(ISBLANK(S2036),"Intersection","Non-Intersection")</f>
        <v>Intersection</v>
      </c>
      <c r="Y2036" t="s">
        <v>3092</v>
      </c>
      <c r="Z2036" t="str">
        <f t="shared" si="458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59"/>
        <v>40544</v>
      </c>
      <c r="D2037" s="4">
        <f t="shared" si="460"/>
        <v>0.27123287671232876</v>
      </c>
      <c r="E2037" s="3">
        <f t="shared" si="461"/>
        <v>2011</v>
      </c>
      <c r="F2037" s="3">
        <f t="shared" si="462"/>
        <v>4</v>
      </c>
      <c r="G2037" s="3">
        <f t="shared" si="463"/>
        <v>10</v>
      </c>
      <c r="H2037" s="3">
        <f t="shared" si="464"/>
        <v>23</v>
      </c>
      <c r="I2037" s="3">
        <f t="shared" si="465"/>
        <v>29</v>
      </c>
      <c r="J2037" s="3">
        <f t="shared" si="466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67"/>
        <v>YES</v>
      </c>
      <c r="Q2037" t="str">
        <f t="shared" si="468"/>
        <v>NO</v>
      </c>
      <c r="R2037" t="str">
        <f t="shared" si="469"/>
        <v>NO</v>
      </c>
      <c r="T2037" t="s">
        <v>14</v>
      </c>
      <c r="U2037" t="str">
        <f t="shared" si="456"/>
        <v>Massachusetts Ave</v>
      </c>
      <c r="V2037" t="s">
        <v>202</v>
      </c>
      <c r="W2037" t="str">
        <f t="shared" si="457"/>
        <v>Vassar St</v>
      </c>
      <c r="X2037" t="str">
        <f>IF(ISBLANK(S2037),"Intersection","Non-Intersection")</f>
        <v>Intersection</v>
      </c>
      <c r="Y2037" t="s">
        <v>361</v>
      </c>
      <c r="Z2037" t="str">
        <f t="shared" si="458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59"/>
        <v>40544</v>
      </c>
      <c r="D2038" s="4">
        <f t="shared" si="460"/>
        <v>0.27123287671232876</v>
      </c>
      <c r="E2038" s="3">
        <f t="shared" si="461"/>
        <v>2011</v>
      </c>
      <c r="F2038" s="3">
        <f t="shared" si="462"/>
        <v>4</v>
      </c>
      <c r="G2038" s="3">
        <f t="shared" si="463"/>
        <v>10</v>
      </c>
      <c r="H2038" s="3">
        <f t="shared" si="464"/>
        <v>6</v>
      </c>
      <c r="I2038" s="3">
        <f t="shared" si="465"/>
        <v>14</v>
      </c>
      <c r="J2038" s="3">
        <f t="shared" si="466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67"/>
        <v>YES</v>
      </c>
      <c r="Q2038" t="str">
        <f t="shared" si="468"/>
        <v>NO</v>
      </c>
      <c r="R2038" t="str">
        <f t="shared" si="469"/>
        <v>NO</v>
      </c>
      <c r="S2038">
        <v>777</v>
      </c>
      <c r="T2038" t="s">
        <v>203</v>
      </c>
      <c r="U2038" t="str">
        <f t="shared" si="456"/>
        <v>Memorial Dr</v>
      </c>
      <c r="W2038" t="str">
        <f t="shared" si="457"/>
        <v/>
      </c>
      <c r="X2038" t="str">
        <f>IF(ISBLANK(S2038),"Intersection","Non-Intersection")</f>
        <v>Non-Intersection</v>
      </c>
      <c r="Y2038" t="s">
        <v>496</v>
      </c>
      <c r="Z2038" t="str">
        <f t="shared" si="458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59"/>
        <v>40544</v>
      </c>
      <c r="D2039" s="4">
        <f t="shared" si="460"/>
        <v>0.27397260273972601</v>
      </c>
      <c r="E2039" s="3">
        <f t="shared" si="461"/>
        <v>2011</v>
      </c>
      <c r="F2039" s="3">
        <f t="shared" si="462"/>
        <v>4</v>
      </c>
      <c r="G2039" s="3">
        <f t="shared" si="463"/>
        <v>11</v>
      </c>
      <c r="H2039" s="3">
        <f t="shared" si="464"/>
        <v>9</v>
      </c>
      <c r="I2039" s="3">
        <f t="shared" si="465"/>
        <v>40</v>
      </c>
      <c r="J2039" s="3">
        <f t="shared" si="466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67"/>
        <v>YES</v>
      </c>
      <c r="Q2039" t="str">
        <f t="shared" si="468"/>
        <v>NO</v>
      </c>
      <c r="R2039" t="str">
        <f t="shared" si="469"/>
        <v>NO</v>
      </c>
      <c r="S2039">
        <v>1740</v>
      </c>
      <c r="T2039" t="s">
        <v>14</v>
      </c>
      <c r="U2039" t="str">
        <f t="shared" si="456"/>
        <v>Massachusetts Ave</v>
      </c>
      <c r="W2039" t="str">
        <f t="shared" si="457"/>
        <v/>
      </c>
      <c r="X2039" t="str">
        <f>IF(ISBLANK(S2039),"Intersection","Non-Intersection")</f>
        <v>Non-Intersection</v>
      </c>
      <c r="Y2039" t="s">
        <v>3093</v>
      </c>
      <c r="Z2039" t="str">
        <f t="shared" si="458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59"/>
        <v>40544</v>
      </c>
      <c r="D2040" s="4">
        <f t="shared" si="460"/>
        <v>0.27397260273972601</v>
      </c>
      <c r="E2040" s="3">
        <f t="shared" si="461"/>
        <v>2011</v>
      </c>
      <c r="F2040" s="3">
        <f t="shared" si="462"/>
        <v>4</v>
      </c>
      <c r="G2040" s="3">
        <f t="shared" si="463"/>
        <v>11</v>
      </c>
      <c r="H2040" s="3">
        <f t="shared" si="464"/>
        <v>17</v>
      </c>
      <c r="I2040" s="3">
        <f t="shared" si="465"/>
        <v>39</v>
      </c>
      <c r="J2040" s="3">
        <f t="shared" si="466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67"/>
        <v>YES</v>
      </c>
      <c r="Q2040" t="str">
        <f t="shared" si="468"/>
        <v>NO</v>
      </c>
      <c r="R2040" t="str">
        <f t="shared" si="469"/>
        <v>NO</v>
      </c>
      <c r="S2040">
        <v>2400</v>
      </c>
      <c r="T2040" t="s">
        <v>14</v>
      </c>
      <c r="U2040" t="str">
        <f t="shared" si="456"/>
        <v>Massachusetts Ave</v>
      </c>
      <c r="W2040" t="str">
        <f t="shared" si="457"/>
        <v/>
      </c>
      <c r="X2040" t="str">
        <f>IF(ISBLANK(S2040),"Intersection","Non-Intersection")</f>
        <v>Non-Intersection</v>
      </c>
      <c r="Y2040" t="s">
        <v>3095</v>
      </c>
      <c r="Z2040" t="str">
        <f t="shared" si="458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59"/>
        <v>40544</v>
      </c>
      <c r="D2041" s="4">
        <f t="shared" si="460"/>
        <v>0.27397260273972601</v>
      </c>
      <c r="E2041" s="3">
        <f t="shared" si="461"/>
        <v>2011</v>
      </c>
      <c r="F2041" s="3">
        <f t="shared" si="462"/>
        <v>4</v>
      </c>
      <c r="G2041" s="3">
        <f t="shared" si="463"/>
        <v>11</v>
      </c>
      <c r="H2041" s="3">
        <f t="shared" si="464"/>
        <v>18</v>
      </c>
      <c r="I2041" s="3">
        <f t="shared" si="465"/>
        <v>24</v>
      </c>
      <c r="J2041" s="3">
        <f t="shared" si="466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67"/>
        <v>YES</v>
      </c>
      <c r="Q2041" t="str">
        <f t="shared" si="468"/>
        <v>YES</v>
      </c>
      <c r="R2041" t="str">
        <f t="shared" si="469"/>
        <v>NO</v>
      </c>
      <c r="T2041" t="s">
        <v>14</v>
      </c>
      <c r="U2041" t="str">
        <f t="shared" si="456"/>
        <v>Massachusetts Ave</v>
      </c>
      <c r="V2041" t="s">
        <v>192</v>
      </c>
      <c r="W2041" t="str">
        <f t="shared" si="457"/>
        <v>Hancock St</v>
      </c>
      <c r="X2041" t="str">
        <f>IF(ISBLANK(S2041),"Intersection","Non-Intersection")</f>
        <v>Intersection</v>
      </c>
      <c r="Y2041" t="s">
        <v>193</v>
      </c>
      <c r="Z2041" t="str">
        <f t="shared" si="458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59"/>
        <v>40544</v>
      </c>
      <c r="D2042" s="4">
        <f t="shared" si="460"/>
        <v>0.27397260273972601</v>
      </c>
      <c r="E2042" s="3">
        <f t="shared" si="461"/>
        <v>2011</v>
      </c>
      <c r="F2042" s="3">
        <f t="shared" si="462"/>
        <v>4</v>
      </c>
      <c r="G2042" s="3">
        <f t="shared" si="463"/>
        <v>11</v>
      </c>
      <c r="H2042" s="3">
        <f t="shared" si="464"/>
        <v>22</v>
      </c>
      <c r="I2042" s="3">
        <f t="shared" si="465"/>
        <v>48</v>
      </c>
      <c r="J2042" s="3">
        <f t="shared" si="466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67"/>
        <v>YES</v>
      </c>
      <c r="Q2042" t="str">
        <f t="shared" si="468"/>
        <v>NO</v>
      </c>
      <c r="R2042" t="str">
        <f t="shared" si="469"/>
        <v>NO</v>
      </c>
      <c r="T2042" t="s">
        <v>198</v>
      </c>
      <c r="U2042" t="str">
        <f t="shared" si="456"/>
        <v>Mount Auburn St</v>
      </c>
      <c r="V2042" t="s">
        <v>24</v>
      </c>
      <c r="W2042" t="str">
        <f t="shared" si="457"/>
        <v>Coolidge Ave</v>
      </c>
      <c r="X2042" t="str">
        <f>IF(ISBLANK(S2042),"Intersection","Non-Intersection")</f>
        <v>Intersection</v>
      </c>
      <c r="Y2042" t="s">
        <v>2019</v>
      </c>
      <c r="Z2042" t="str">
        <f t="shared" si="458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59"/>
        <v>40544</v>
      </c>
      <c r="D2043" s="4">
        <f t="shared" si="460"/>
        <v>0.27671232876712326</v>
      </c>
      <c r="E2043" s="3">
        <f t="shared" si="461"/>
        <v>2011</v>
      </c>
      <c r="F2043" s="3">
        <f t="shared" si="462"/>
        <v>4</v>
      </c>
      <c r="G2043" s="3">
        <f t="shared" si="463"/>
        <v>12</v>
      </c>
      <c r="H2043" s="3">
        <f t="shared" si="464"/>
        <v>16</v>
      </c>
      <c r="I2043" s="3">
        <f t="shared" si="465"/>
        <v>54</v>
      </c>
      <c r="J2043" s="3">
        <f t="shared" si="466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67"/>
        <v>YES</v>
      </c>
      <c r="Q2043" t="str">
        <f t="shared" si="468"/>
        <v>NO</v>
      </c>
      <c r="R2043" t="str">
        <f t="shared" si="469"/>
        <v>NO</v>
      </c>
      <c r="T2043" t="s">
        <v>105</v>
      </c>
      <c r="U2043" t="str">
        <f t="shared" si="456"/>
        <v>Broadway</v>
      </c>
      <c r="V2043" t="s">
        <v>3097</v>
      </c>
      <c r="W2043" t="str">
        <f t="shared" si="457"/>
        <v>Scouting Way</v>
      </c>
      <c r="X2043" t="str">
        <f>IF(ISBLANK(S2043),"Intersection","Non-Intersection")</f>
        <v>Intersection</v>
      </c>
      <c r="Y2043" t="s">
        <v>3098</v>
      </c>
      <c r="Z2043" t="str">
        <f t="shared" si="458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59"/>
        <v>40544</v>
      </c>
      <c r="D2044" s="4">
        <f t="shared" si="460"/>
        <v>0.27671232876712326</v>
      </c>
      <c r="E2044" s="3">
        <f t="shared" si="461"/>
        <v>2011</v>
      </c>
      <c r="F2044" s="3">
        <f t="shared" si="462"/>
        <v>4</v>
      </c>
      <c r="G2044" s="3">
        <f t="shared" si="463"/>
        <v>12</v>
      </c>
      <c r="H2044" s="3">
        <f t="shared" si="464"/>
        <v>15</v>
      </c>
      <c r="I2044" s="3">
        <f t="shared" si="465"/>
        <v>59</v>
      </c>
      <c r="J2044" s="3">
        <f t="shared" si="466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67"/>
        <v>YES</v>
      </c>
      <c r="Q2044" t="str">
        <f t="shared" si="468"/>
        <v>NO</v>
      </c>
      <c r="R2044" t="str">
        <f t="shared" si="469"/>
        <v>NO</v>
      </c>
      <c r="S2044">
        <v>777</v>
      </c>
      <c r="T2044" t="s">
        <v>186</v>
      </c>
      <c r="U2044" t="str">
        <f t="shared" si="456"/>
        <v>Concord Ave</v>
      </c>
      <c r="W2044" t="str">
        <f t="shared" si="457"/>
        <v/>
      </c>
      <c r="X2044" t="str">
        <f>IF(ISBLANK(S2044),"Intersection","Non-Intersection")</f>
        <v>Non-Intersection</v>
      </c>
      <c r="Y2044" t="s">
        <v>3100</v>
      </c>
      <c r="Z2044" t="str">
        <f t="shared" si="458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59"/>
        <v>40544</v>
      </c>
      <c r="D2045" s="4">
        <f t="shared" si="460"/>
        <v>0.27945205479452057</v>
      </c>
      <c r="E2045" s="3">
        <f t="shared" si="461"/>
        <v>2011</v>
      </c>
      <c r="F2045" s="3">
        <f t="shared" si="462"/>
        <v>4</v>
      </c>
      <c r="G2045" s="3">
        <f t="shared" si="463"/>
        <v>13</v>
      </c>
      <c r="H2045" s="3">
        <f t="shared" si="464"/>
        <v>16</v>
      </c>
      <c r="I2045" s="3">
        <f t="shared" si="465"/>
        <v>12</v>
      </c>
      <c r="J2045" s="3">
        <f t="shared" si="466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67"/>
        <v>YES</v>
      </c>
      <c r="Q2045" t="str">
        <f t="shared" si="468"/>
        <v>NO</v>
      </c>
      <c r="R2045" t="str">
        <f t="shared" si="469"/>
        <v>NO</v>
      </c>
      <c r="T2045" t="s">
        <v>185</v>
      </c>
      <c r="U2045" t="str">
        <f t="shared" si="456"/>
        <v>Garden St</v>
      </c>
      <c r="V2045" t="s">
        <v>449</v>
      </c>
      <c r="W2045" t="str">
        <f t="shared" si="457"/>
        <v>Appian Way</v>
      </c>
      <c r="X2045" t="str">
        <f>IF(ISBLANK(S2045),"Intersection","Non-Intersection")</f>
        <v>Intersection</v>
      </c>
      <c r="Y2045" t="s">
        <v>729</v>
      </c>
      <c r="Z2045" t="str">
        <f t="shared" si="458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59"/>
        <v>40544</v>
      </c>
      <c r="D2046" s="4">
        <f t="shared" si="460"/>
        <v>0.27945205479452057</v>
      </c>
      <c r="E2046" s="3">
        <f t="shared" si="461"/>
        <v>2011</v>
      </c>
      <c r="F2046" s="3">
        <f t="shared" si="462"/>
        <v>4</v>
      </c>
      <c r="G2046" s="3">
        <f t="shared" si="463"/>
        <v>13</v>
      </c>
      <c r="H2046" s="3">
        <f t="shared" si="464"/>
        <v>17</v>
      </c>
      <c r="I2046" s="3">
        <f t="shared" si="465"/>
        <v>49</v>
      </c>
      <c r="J2046" s="3">
        <f t="shared" si="466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67"/>
        <v>YES</v>
      </c>
      <c r="Q2046" t="str">
        <f t="shared" si="468"/>
        <v>NO</v>
      </c>
      <c r="R2046" t="str">
        <f t="shared" si="469"/>
        <v>NO</v>
      </c>
      <c r="T2046" t="s">
        <v>316</v>
      </c>
      <c r="U2046" t="str">
        <f t="shared" si="456"/>
        <v>Bishop Allen Dr</v>
      </c>
      <c r="W2046" t="str">
        <f t="shared" si="457"/>
        <v/>
      </c>
      <c r="X2046" t="str">
        <f>IF(ISBLANK(S2046),"Intersection","Non-Intersection")</f>
        <v>Intersection</v>
      </c>
      <c r="Y2046" t="s">
        <v>1374</v>
      </c>
      <c r="Z2046" t="str">
        <f t="shared" si="458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59"/>
        <v>40544</v>
      </c>
      <c r="D2047" s="4">
        <f t="shared" si="460"/>
        <v>0.27945205479452057</v>
      </c>
      <c r="E2047" s="3">
        <f t="shared" si="461"/>
        <v>2011</v>
      </c>
      <c r="F2047" s="3">
        <f t="shared" si="462"/>
        <v>4</v>
      </c>
      <c r="G2047" s="3">
        <f t="shared" si="463"/>
        <v>13</v>
      </c>
      <c r="H2047" s="3">
        <f t="shared" si="464"/>
        <v>23</v>
      </c>
      <c r="I2047" s="3">
        <f t="shared" si="465"/>
        <v>35</v>
      </c>
      <c r="J2047" s="3">
        <f t="shared" si="466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67"/>
        <v>YES</v>
      </c>
      <c r="Q2047" t="str">
        <f t="shared" si="468"/>
        <v>NO</v>
      </c>
      <c r="R2047" t="str">
        <f t="shared" si="469"/>
        <v>NO</v>
      </c>
      <c r="T2047" t="s">
        <v>14</v>
      </c>
      <c r="U2047" t="str">
        <f t="shared" si="456"/>
        <v>Massachusetts Ave</v>
      </c>
      <c r="V2047" t="s">
        <v>1182</v>
      </c>
      <c r="W2047" t="str">
        <f t="shared" si="457"/>
        <v>Amherst St</v>
      </c>
      <c r="X2047" t="str">
        <f>IF(ISBLANK(S2047),"Intersection","Non-Intersection")</f>
        <v>Intersection</v>
      </c>
      <c r="Y2047" t="s">
        <v>1240</v>
      </c>
      <c r="Z2047" t="str">
        <f t="shared" si="458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59"/>
        <v>40544</v>
      </c>
      <c r="D2048" s="4">
        <f t="shared" si="460"/>
        <v>0.27945205479452057</v>
      </c>
      <c r="E2048" s="3">
        <f t="shared" si="461"/>
        <v>2011</v>
      </c>
      <c r="F2048" s="3">
        <f t="shared" si="462"/>
        <v>4</v>
      </c>
      <c r="G2048" s="3">
        <f t="shared" si="463"/>
        <v>13</v>
      </c>
      <c r="H2048" s="3">
        <f t="shared" si="464"/>
        <v>8</v>
      </c>
      <c r="I2048" s="3">
        <f t="shared" si="465"/>
        <v>48</v>
      </c>
      <c r="J2048" s="3">
        <f t="shared" si="466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67"/>
        <v>YES</v>
      </c>
      <c r="Q2048" t="str">
        <f t="shared" si="468"/>
        <v>NO</v>
      </c>
      <c r="R2048" t="str">
        <f t="shared" si="469"/>
        <v>NO</v>
      </c>
      <c r="T2048" t="s">
        <v>14</v>
      </c>
      <c r="U2048" t="str">
        <f t="shared" si="456"/>
        <v>Massachusetts Ave</v>
      </c>
      <c r="V2048" t="s">
        <v>1426</v>
      </c>
      <c r="W2048" t="str">
        <f t="shared" si="457"/>
        <v>Rice St</v>
      </c>
      <c r="X2048" t="str">
        <f>IF(ISBLANK(S2048),"Intersection","Non-Intersection")</f>
        <v>Intersection</v>
      </c>
      <c r="Y2048" t="s">
        <v>2369</v>
      </c>
      <c r="Z2048" t="str">
        <f t="shared" si="458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59"/>
        <v>40544</v>
      </c>
      <c r="D2049" s="4">
        <f t="shared" si="460"/>
        <v>0.27945205479452057</v>
      </c>
      <c r="E2049" s="3">
        <f t="shared" si="461"/>
        <v>2011</v>
      </c>
      <c r="F2049" s="3">
        <f t="shared" si="462"/>
        <v>4</v>
      </c>
      <c r="G2049" s="3">
        <f t="shared" si="463"/>
        <v>13</v>
      </c>
      <c r="H2049" s="3">
        <f t="shared" si="464"/>
        <v>16</v>
      </c>
      <c r="I2049" s="3">
        <f t="shared" si="465"/>
        <v>50</v>
      </c>
      <c r="J2049" s="3">
        <f t="shared" si="466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67"/>
        <v>YES</v>
      </c>
      <c r="Q2049" t="str">
        <f t="shared" si="468"/>
        <v>NO</v>
      </c>
      <c r="R2049" t="str">
        <f t="shared" si="469"/>
        <v>NO</v>
      </c>
      <c r="T2049" t="s">
        <v>105</v>
      </c>
      <c r="U2049" t="str">
        <f t="shared" si="456"/>
        <v>Broadway</v>
      </c>
      <c r="V2049" t="s">
        <v>79</v>
      </c>
      <c r="W2049" t="str">
        <f t="shared" si="457"/>
        <v>Ames St</v>
      </c>
      <c r="X2049" t="str">
        <f>IF(ISBLANK(S2049),"Intersection","Non-Intersection")</f>
        <v>Intersection</v>
      </c>
      <c r="Y2049" t="s">
        <v>1346</v>
      </c>
      <c r="Z2049" t="str">
        <f t="shared" si="458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59"/>
        <v>40544</v>
      </c>
      <c r="D2050" s="4">
        <f t="shared" si="460"/>
        <v>0.27945205479452057</v>
      </c>
      <c r="E2050" s="3">
        <f t="shared" si="461"/>
        <v>2011</v>
      </c>
      <c r="F2050" s="3">
        <f t="shared" si="462"/>
        <v>4</v>
      </c>
      <c r="G2050" s="3">
        <f t="shared" si="463"/>
        <v>13</v>
      </c>
      <c r="H2050" s="3">
        <f t="shared" si="464"/>
        <v>8</v>
      </c>
      <c r="I2050" s="3">
        <f t="shared" si="465"/>
        <v>49</v>
      </c>
      <c r="J2050" s="3">
        <f t="shared" si="466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67"/>
        <v>YES</v>
      </c>
      <c r="Q2050" t="str">
        <f t="shared" si="468"/>
        <v>NO</v>
      </c>
      <c r="R2050" t="str">
        <f t="shared" si="469"/>
        <v>YES</v>
      </c>
      <c r="S2050">
        <v>721</v>
      </c>
      <c r="T2050" t="s">
        <v>19</v>
      </c>
      <c r="U2050" t="str">
        <f t="shared" si="456"/>
        <v>Cambridge St</v>
      </c>
      <c r="V2050" t="s">
        <v>129</v>
      </c>
      <c r="W2050" t="str">
        <f t="shared" si="457"/>
        <v>Cardinal Medeiros Ave</v>
      </c>
      <c r="X2050" t="str">
        <f>IF(ISBLANK(S2050),"Intersection","Non-Intersection")</f>
        <v>Non-Intersection</v>
      </c>
      <c r="Y2050" t="s">
        <v>3102</v>
      </c>
      <c r="Z2050" t="str">
        <f t="shared" si="458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59"/>
        <v>40544</v>
      </c>
      <c r="D2051" s="4">
        <f t="shared" si="460"/>
        <v>0.27945205479452057</v>
      </c>
      <c r="E2051" s="3">
        <f t="shared" si="461"/>
        <v>2011</v>
      </c>
      <c r="F2051" s="3">
        <f t="shared" si="462"/>
        <v>4</v>
      </c>
      <c r="G2051" s="3">
        <f t="shared" si="463"/>
        <v>13</v>
      </c>
      <c r="H2051" s="3">
        <f t="shared" si="464"/>
        <v>21</v>
      </c>
      <c r="I2051" s="3">
        <f t="shared" si="465"/>
        <v>36</v>
      </c>
      <c r="J2051" s="3">
        <f t="shared" si="466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67"/>
        <v>YES</v>
      </c>
      <c r="Q2051" t="str">
        <f t="shared" si="468"/>
        <v>NO</v>
      </c>
      <c r="R2051" t="str">
        <f t="shared" si="469"/>
        <v>NO</v>
      </c>
      <c r="T2051" t="s">
        <v>74</v>
      </c>
      <c r="U2051" t="str">
        <f t="shared" ref="U2051:U2114" si="470">TRIM(PROPER(T2051))</f>
        <v>Hampshire St</v>
      </c>
      <c r="V2051" t="s">
        <v>907</v>
      </c>
      <c r="W2051" t="str">
        <f t="shared" ref="W2051:W2114" si="471">TRIM(PROPER(V2051))</f>
        <v>Union St</v>
      </c>
      <c r="X2051" t="str">
        <f>IF(ISBLANK(S2051),"Intersection","Non-Intersection")</f>
        <v>Intersection</v>
      </c>
      <c r="Y2051" t="s">
        <v>908</v>
      </c>
      <c r="Z2051" t="str">
        <f t="shared" ref="Z2051:Z2114" si="472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59"/>
        <v>40544</v>
      </c>
      <c r="D2052" s="4">
        <f t="shared" si="460"/>
        <v>0.28219178082191781</v>
      </c>
      <c r="E2052" s="3">
        <f t="shared" si="461"/>
        <v>2011</v>
      </c>
      <c r="F2052" s="3">
        <f t="shared" si="462"/>
        <v>4</v>
      </c>
      <c r="G2052" s="3">
        <f t="shared" si="463"/>
        <v>14</v>
      </c>
      <c r="H2052" s="3">
        <f t="shared" si="464"/>
        <v>9</v>
      </c>
      <c r="I2052" s="3">
        <f t="shared" si="465"/>
        <v>0</v>
      </c>
      <c r="J2052" s="3">
        <f t="shared" si="466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67"/>
        <v>YES</v>
      </c>
      <c r="Q2052" t="str">
        <f t="shared" si="468"/>
        <v>NO</v>
      </c>
      <c r="R2052" t="str">
        <f t="shared" si="469"/>
        <v>NO</v>
      </c>
      <c r="S2052">
        <v>50</v>
      </c>
      <c r="T2052" t="s">
        <v>1132</v>
      </c>
      <c r="U2052" t="str">
        <f t="shared" si="470"/>
        <v>Moulton St</v>
      </c>
      <c r="W2052" t="str">
        <f t="shared" si="471"/>
        <v/>
      </c>
      <c r="X2052" t="str">
        <f>IF(ISBLANK(S2052),"Intersection","Non-Intersection")</f>
        <v>Non-Intersection</v>
      </c>
      <c r="Y2052" t="s">
        <v>3104</v>
      </c>
      <c r="Z2052" t="str">
        <f t="shared" si="472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59"/>
        <v>40544</v>
      </c>
      <c r="D2053" s="4">
        <f t="shared" si="460"/>
        <v>0.28219178082191781</v>
      </c>
      <c r="E2053" s="3">
        <f t="shared" si="461"/>
        <v>2011</v>
      </c>
      <c r="F2053" s="3">
        <f t="shared" si="462"/>
        <v>4</v>
      </c>
      <c r="G2053" s="3">
        <f t="shared" si="463"/>
        <v>14</v>
      </c>
      <c r="H2053" s="3">
        <f t="shared" si="464"/>
        <v>21</v>
      </c>
      <c r="I2053" s="3">
        <f t="shared" si="465"/>
        <v>24</v>
      </c>
      <c r="J2053" s="3">
        <f t="shared" si="466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67"/>
        <v>YES</v>
      </c>
      <c r="Q2053" t="str">
        <f t="shared" si="468"/>
        <v>NO</v>
      </c>
      <c r="R2053" t="str">
        <f t="shared" si="469"/>
        <v>NO</v>
      </c>
      <c r="S2053">
        <v>52</v>
      </c>
      <c r="T2053" t="s">
        <v>326</v>
      </c>
      <c r="U2053" t="str">
        <f t="shared" si="470"/>
        <v>Jfk St</v>
      </c>
      <c r="W2053" t="str">
        <f t="shared" si="471"/>
        <v/>
      </c>
      <c r="X2053" t="str">
        <f>IF(ISBLANK(S2053),"Intersection","Non-Intersection")</f>
        <v>Non-Intersection</v>
      </c>
      <c r="Y2053" t="s">
        <v>3106</v>
      </c>
      <c r="Z2053" t="str">
        <f t="shared" si="472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59"/>
        <v>40544</v>
      </c>
      <c r="D2054" s="4">
        <f t="shared" si="460"/>
        <v>0.28219178082191781</v>
      </c>
      <c r="E2054" s="3">
        <f t="shared" si="461"/>
        <v>2011</v>
      </c>
      <c r="F2054" s="3">
        <f t="shared" si="462"/>
        <v>4</v>
      </c>
      <c r="G2054" s="3">
        <f t="shared" si="463"/>
        <v>14</v>
      </c>
      <c r="H2054" s="3">
        <f t="shared" si="464"/>
        <v>11</v>
      </c>
      <c r="I2054" s="3">
        <f t="shared" si="465"/>
        <v>0</v>
      </c>
      <c r="J2054" s="3">
        <f t="shared" si="466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67"/>
        <v>YES</v>
      </c>
      <c r="Q2054" t="str">
        <f t="shared" si="468"/>
        <v>NO</v>
      </c>
      <c r="R2054" t="str">
        <f t="shared" si="469"/>
        <v>NO</v>
      </c>
      <c r="T2054" t="s">
        <v>129</v>
      </c>
      <c r="U2054" t="str">
        <f t="shared" si="470"/>
        <v>Cardinal Medeiros Ave</v>
      </c>
      <c r="V2054" t="s">
        <v>2325</v>
      </c>
      <c r="W2054" t="str">
        <f t="shared" si="471"/>
        <v>Marcella St</v>
      </c>
      <c r="X2054" t="str">
        <f>IF(ISBLANK(S2054),"Intersection","Non-Intersection")</f>
        <v>Intersection</v>
      </c>
      <c r="Y2054" t="s">
        <v>3108</v>
      </c>
      <c r="Z2054" t="str">
        <f t="shared" si="472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59"/>
        <v>40544</v>
      </c>
      <c r="D2055" s="4">
        <f t="shared" si="460"/>
        <v>0.28219178082191781</v>
      </c>
      <c r="E2055" s="3">
        <f t="shared" si="461"/>
        <v>2011</v>
      </c>
      <c r="F2055" s="3">
        <f t="shared" si="462"/>
        <v>4</v>
      </c>
      <c r="G2055" s="3">
        <f t="shared" si="463"/>
        <v>14</v>
      </c>
      <c r="H2055" s="3">
        <f t="shared" si="464"/>
        <v>7</v>
      </c>
      <c r="I2055" s="3">
        <f t="shared" si="465"/>
        <v>15</v>
      </c>
      <c r="J2055" s="3">
        <f t="shared" si="466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67"/>
        <v>YES</v>
      </c>
      <c r="Q2055" t="str">
        <f t="shared" si="468"/>
        <v>NO</v>
      </c>
      <c r="R2055" t="str">
        <f t="shared" si="469"/>
        <v>YES</v>
      </c>
      <c r="T2055" t="s">
        <v>41</v>
      </c>
      <c r="U2055" t="str">
        <f t="shared" si="470"/>
        <v>River St</v>
      </c>
      <c r="V2055" t="s">
        <v>203</v>
      </c>
      <c r="W2055" t="str">
        <f t="shared" si="471"/>
        <v>Memorial Dr</v>
      </c>
      <c r="X2055" t="str">
        <f>IF(ISBLANK(S2055),"Intersection","Non-Intersection")</f>
        <v>Intersection</v>
      </c>
      <c r="Y2055" t="s">
        <v>3110</v>
      </c>
      <c r="Z2055" t="str">
        <f t="shared" si="472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59"/>
        <v>40544</v>
      </c>
      <c r="D2056" s="4">
        <f t="shared" si="460"/>
        <v>0.28219178082191781</v>
      </c>
      <c r="E2056" s="3">
        <f t="shared" si="461"/>
        <v>2011</v>
      </c>
      <c r="F2056" s="3">
        <f t="shared" si="462"/>
        <v>4</v>
      </c>
      <c r="G2056" s="3">
        <f t="shared" si="463"/>
        <v>14</v>
      </c>
      <c r="H2056" s="3">
        <f t="shared" si="464"/>
        <v>12</v>
      </c>
      <c r="I2056" s="3">
        <f t="shared" si="465"/>
        <v>59</v>
      </c>
      <c r="J2056" s="3">
        <f t="shared" si="466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67"/>
        <v>YES</v>
      </c>
      <c r="Q2056" t="str">
        <f t="shared" si="468"/>
        <v>NO</v>
      </c>
      <c r="R2056" t="str">
        <f t="shared" si="469"/>
        <v>NO</v>
      </c>
      <c r="S2056">
        <v>17</v>
      </c>
      <c r="T2056" t="s">
        <v>2683</v>
      </c>
      <c r="U2056" t="str">
        <f t="shared" si="470"/>
        <v>Channing St</v>
      </c>
      <c r="W2056" t="str">
        <f t="shared" si="471"/>
        <v/>
      </c>
      <c r="X2056" t="str">
        <f>IF(ISBLANK(S2056),"Intersection","Non-Intersection")</f>
        <v>Non-Intersection</v>
      </c>
      <c r="Y2056" t="s">
        <v>3112</v>
      </c>
      <c r="Z2056" t="str">
        <f t="shared" si="472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59"/>
        <v>40544</v>
      </c>
      <c r="D2057" s="4">
        <f t="shared" si="460"/>
        <v>0.28493150684931506</v>
      </c>
      <c r="E2057" s="3">
        <f t="shared" si="461"/>
        <v>2011</v>
      </c>
      <c r="F2057" s="3">
        <f t="shared" si="462"/>
        <v>4</v>
      </c>
      <c r="G2057" s="3">
        <f t="shared" si="463"/>
        <v>15</v>
      </c>
      <c r="H2057" s="3">
        <f t="shared" si="464"/>
        <v>8</v>
      </c>
      <c r="I2057" s="3">
        <f t="shared" si="465"/>
        <v>29</v>
      </c>
      <c r="J2057" s="3">
        <f t="shared" si="466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67"/>
        <v>YES</v>
      </c>
      <c r="Q2057" t="str">
        <f t="shared" si="468"/>
        <v>NO</v>
      </c>
      <c r="R2057" t="str">
        <f t="shared" si="469"/>
        <v>NO</v>
      </c>
      <c r="S2057">
        <v>1</v>
      </c>
      <c r="T2057" t="s">
        <v>32</v>
      </c>
      <c r="U2057" t="str">
        <f t="shared" si="470"/>
        <v>Main St</v>
      </c>
      <c r="W2057" t="str">
        <f t="shared" si="471"/>
        <v/>
      </c>
      <c r="X2057" t="str">
        <f>IF(ISBLANK(S2057),"Intersection","Non-Intersection")</f>
        <v>Non-Intersection</v>
      </c>
      <c r="Y2057" t="s">
        <v>3114</v>
      </c>
      <c r="Z2057" t="str">
        <f t="shared" si="472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59"/>
        <v>40544</v>
      </c>
      <c r="D2058" s="4">
        <f t="shared" si="460"/>
        <v>0.28493150684931506</v>
      </c>
      <c r="E2058" s="3">
        <f t="shared" si="461"/>
        <v>2011</v>
      </c>
      <c r="F2058" s="3">
        <f t="shared" si="462"/>
        <v>4</v>
      </c>
      <c r="G2058" s="3">
        <f t="shared" si="463"/>
        <v>15</v>
      </c>
      <c r="H2058" s="3">
        <f t="shared" si="464"/>
        <v>23</v>
      </c>
      <c r="I2058" s="3">
        <f t="shared" si="465"/>
        <v>0</v>
      </c>
      <c r="J2058" s="3">
        <f t="shared" si="466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67"/>
        <v>YES</v>
      </c>
      <c r="Q2058" t="str">
        <f t="shared" si="468"/>
        <v>NO</v>
      </c>
      <c r="R2058" t="str">
        <f t="shared" si="469"/>
        <v>NO</v>
      </c>
      <c r="T2058" t="s">
        <v>185</v>
      </c>
      <c r="U2058" t="str">
        <f t="shared" si="470"/>
        <v>Garden St</v>
      </c>
      <c r="V2058" t="s">
        <v>186</v>
      </c>
      <c r="W2058" t="str">
        <f t="shared" si="471"/>
        <v>Concord Ave</v>
      </c>
      <c r="X2058" t="str">
        <f>IF(ISBLANK(S2058),"Intersection","Non-Intersection")</f>
        <v>Intersection</v>
      </c>
      <c r="Y2058" t="s">
        <v>187</v>
      </c>
      <c r="Z2058" t="str">
        <f t="shared" si="472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59"/>
        <v>40544</v>
      </c>
      <c r="D2059" s="4">
        <f t="shared" si="460"/>
        <v>0.28493150684931506</v>
      </c>
      <c r="E2059" s="3">
        <f t="shared" si="461"/>
        <v>2011</v>
      </c>
      <c r="F2059" s="3">
        <f t="shared" si="462"/>
        <v>4</v>
      </c>
      <c r="G2059" s="3">
        <f t="shared" si="463"/>
        <v>15</v>
      </c>
      <c r="H2059" s="3">
        <f t="shared" si="464"/>
        <v>15</v>
      </c>
      <c r="I2059" s="3">
        <f t="shared" si="465"/>
        <v>0</v>
      </c>
      <c r="J2059" s="3">
        <f t="shared" si="466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67"/>
        <v>YES</v>
      </c>
      <c r="Q2059" t="str">
        <f t="shared" si="468"/>
        <v>NO</v>
      </c>
      <c r="R2059" t="str">
        <f t="shared" si="469"/>
        <v>NO</v>
      </c>
      <c r="T2059" t="s">
        <v>32</v>
      </c>
      <c r="U2059" t="str">
        <f t="shared" si="470"/>
        <v>Main St</v>
      </c>
      <c r="W2059" t="str">
        <f t="shared" si="471"/>
        <v/>
      </c>
      <c r="X2059" t="str">
        <f>IF(ISBLANK(S2059),"Intersection","Non-Intersection")</f>
        <v>Intersection</v>
      </c>
      <c r="Y2059" t="s">
        <v>2991</v>
      </c>
      <c r="Z2059" t="str">
        <f t="shared" si="472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59"/>
        <v>40544</v>
      </c>
      <c r="D2060" s="4">
        <f t="shared" si="460"/>
        <v>0.28493150684931506</v>
      </c>
      <c r="E2060" s="3">
        <f t="shared" si="461"/>
        <v>2011</v>
      </c>
      <c r="F2060" s="3">
        <f t="shared" si="462"/>
        <v>4</v>
      </c>
      <c r="G2060" s="3">
        <f t="shared" si="463"/>
        <v>15</v>
      </c>
      <c r="H2060" s="3">
        <f t="shared" si="464"/>
        <v>11</v>
      </c>
      <c r="I2060" s="3">
        <f t="shared" si="465"/>
        <v>7</v>
      </c>
      <c r="J2060" s="3">
        <f t="shared" si="466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67"/>
        <v>YES</v>
      </c>
      <c r="Q2060" t="str">
        <f t="shared" si="468"/>
        <v>NO</v>
      </c>
      <c r="R2060" t="str">
        <f t="shared" si="469"/>
        <v>NO</v>
      </c>
      <c r="S2060">
        <v>124</v>
      </c>
      <c r="T2060" t="s">
        <v>198</v>
      </c>
      <c r="U2060" t="str">
        <f t="shared" si="470"/>
        <v>Mount Auburn St</v>
      </c>
      <c r="W2060" t="str">
        <f t="shared" si="471"/>
        <v/>
      </c>
      <c r="X2060" t="str">
        <f>IF(ISBLANK(S2060),"Intersection","Non-Intersection")</f>
        <v>Non-Intersection</v>
      </c>
      <c r="Y2060" t="s">
        <v>3116</v>
      </c>
      <c r="Z2060" t="str">
        <f t="shared" si="472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59"/>
        <v>40544</v>
      </c>
      <c r="D2061" s="4">
        <f t="shared" si="460"/>
        <v>0.28493150684931506</v>
      </c>
      <c r="E2061" s="3">
        <f t="shared" si="461"/>
        <v>2011</v>
      </c>
      <c r="F2061" s="3">
        <f t="shared" si="462"/>
        <v>4</v>
      </c>
      <c r="G2061" s="3">
        <f t="shared" si="463"/>
        <v>15</v>
      </c>
      <c r="H2061" s="3">
        <f t="shared" si="464"/>
        <v>11</v>
      </c>
      <c r="I2061" s="3">
        <f t="shared" si="465"/>
        <v>7</v>
      </c>
      <c r="J2061" s="3">
        <f t="shared" si="466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67"/>
        <v>YES</v>
      </c>
      <c r="Q2061" t="str">
        <f t="shared" si="468"/>
        <v>NO</v>
      </c>
      <c r="R2061" t="str">
        <f t="shared" si="469"/>
        <v>NO</v>
      </c>
      <c r="S2061">
        <v>124</v>
      </c>
      <c r="T2061" t="s">
        <v>198</v>
      </c>
      <c r="U2061" t="str">
        <f t="shared" si="470"/>
        <v>Mount Auburn St</v>
      </c>
      <c r="W2061" t="str">
        <f t="shared" si="471"/>
        <v/>
      </c>
      <c r="X2061" t="str">
        <f>IF(ISBLANK(S2061),"Intersection","Non-Intersection")</f>
        <v>Non-Intersection</v>
      </c>
      <c r="Y2061" t="s">
        <v>3116</v>
      </c>
      <c r="Z2061" t="str">
        <f t="shared" si="472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59"/>
        <v>40544</v>
      </c>
      <c r="D2062" s="4">
        <f t="shared" si="460"/>
        <v>0.28493150684931506</v>
      </c>
      <c r="E2062" s="3">
        <f t="shared" si="461"/>
        <v>2011</v>
      </c>
      <c r="F2062" s="3">
        <f t="shared" si="462"/>
        <v>4</v>
      </c>
      <c r="G2062" s="3">
        <f t="shared" si="463"/>
        <v>15</v>
      </c>
      <c r="H2062" s="3">
        <f t="shared" si="464"/>
        <v>15</v>
      </c>
      <c r="I2062" s="3">
        <f t="shared" si="465"/>
        <v>34</v>
      </c>
      <c r="J2062" s="3">
        <f t="shared" si="466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67"/>
        <v>YES</v>
      </c>
      <c r="Q2062" t="str">
        <f t="shared" si="468"/>
        <v>NO</v>
      </c>
      <c r="R2062" t="str">
        <f t="shared" si="469"/>
        <v>NO</v>
      </c>
      <c r="T2062" t="s">
        <v>14</v>
      </c>
      <c r="U2062" t="str">
        <f t="shared" si="470"/>
        <v>Massachusetts Ave</v>
      </c>
      <c r="V2062" t="s">
        <v>202</v>
      </c>
      <c r="W2062" t="str">
        <f t="shared" si="471"/>
        <v>Vassar St</v>
      </c>
      <c r="X2062" t="str">
        <f>IF(ISBLANK(S2062),"Intersection","Non-Intersection")</f>
        <v>Intersection</v>
      </c>
      <c r="Y2062" t="s">
        <v>361</v>
      </c>
      <c r="Z2062" t="str">
        <f t="shared" si="472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59"/>
        <v>40544</v>
      </c>
      <c r="D2063" s="4">
        <f t="shared" si="460"/>
        <v>0.28767123287671231</v>
      </c>
      <c r="E2063" s="3">
        <f t="shared" si="461"/>
        <v>2011</v>
      </c>
      <c r="F2063" s="3">
        <f t="shared" si="462"/>
        <v>4</v>
      </c>
      <c r="G2063" s="3">
        <f t="shared" si="463"/>
        <v>16</v>
      </c>
      <c r="H2063" s="3">
        <f t="shared" si="464"/>
        <v>20</v>
      </c>
      <c r="I2063" s="3">
        <f t="shared" si="465"/>
        <v>46</v>
      </c>
      <c r="J2063" s="3">
        <f t="shared" si="466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67"/>
        <v>NO</v>
      </c>
      <c r="Q2063" t="str">
        <f t="shared" si="468"/>
        <v>NO</v>
      </c>
      <c r="R2063" t="str">
        <f t="shared" si="469"/>
        <v>YES</v>
      </c>
      <c r="T2063" t="s">
        <v>14</v>
      </c>
      <c r="U2063" t="str">
        <f t="shared" si="470"/>
        <v>Massachusetts Ave</v>
      </c>
      <c r="V2063" t="s">
        <v>342</v>
      </c>
      <c r="W2063" t="str">
        <f t="shared" si="471"/>
        <v>Prospect St</v>
      </c>
      <c r="X2063" t="str">
        <f>IF(ISBLANK(S2063),"Intersection","Non-Intersection")</f>
        <v>Intersection</v>
      </c>
      <c r="Y2063" t="s">
        <v>2590</v>
      </c>
      <c r="Z2063" t="str">
        <f t="shared" si="472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59"/>
        <v>40544</v>
      </c>
      <c r="D2064" s="4">
        <f t="shared" si="460"/>
        <v>0.28767123287671231</v>
      </c>
      <c r="E2064" s="3">
        <f t="shared" si="461"/>
        <v>2011</v>
      </c>
      <c r="F2064" s="3">
        <f t="shared" si="462"/>
        <v>4</v>
      </c>
      <c r="G2064" s="3">
        <f t="shared" si="463"/>
        <v>16</v>
      </c>
      <c r="H2064" s="3">
        <f t="shared" si="464"/>
        <v>11</v>
      </c>
      <c r="I2064" s="3">
        <f t="shared" si="465"/>
        <v>15</v>
      </c>
      <c r="J2064" s="3">
        <f t="shared" si="466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67"/>
        <v>YES</v>
      </c>
      <c r="Q2064" t="str">
        <f t="shared" si="468"/>
        <v>NO</v>
      </c>
      <c r="R2064" t="str">
        <f t="shared" si="469"/>
        <v>NO</v>
      </c>
      <c r="T2064" t="s">
        <v>170</v>
      </c>
      <c r="U2064" t="str">
        <f t="shared" si="470"/>
        <v>Alewife Brook Pky</v>
      </c>
      <c r="W2064" t="str">
        <f t="shared" si="471"/>
        <v/>
      </c>
      <c r="X2064" t="str">
        <f>IF(ISBLANK(S2064),"Intersection","Non-Intersection")</f>
        <v>Intersection</v>
      </c>
      <c r="Y2064" t="s">
        <v>604</v>
      </c>
      <c r="Z2064" t="str">
        <f t="shared" si="472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59"/>
        <v>40544</v>
      </c>
      <c r="D2065" s="4">
        <f t="shared" si="460"/>
        <v>0.28767123287671231</v>
      </c>
      <c r="E2065" s="3">
        <f t="shared" si="461"/>
        <v>2011</v>
      </c>
      <c r="F2065" s="3">
        <f t="shared" si="462"/>
        <v>4</v>
      </c>
      <c r="G2065" s="3">
        <f t="shared" si="463"/>
        <v>16</v>
      </c>
      <c r="H2065" s="3">
        <f t="shared" si="464"/>
        <v>14</v>
      </c>
      <c r="I2065" s="3">
        <f t="shared" si="465"/>
        <v>0</v>
      </c>
      <c r="J2065" s="3">
        <f t="shared" si="466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67"/>
        <v>YES</v>
      </c>
      <c r="Q2065" t="str">
        <f t="shared" si="468"/>
        <v>NO</v>
      </c>
      <c r="R2065" t="str">
        <f t="shared" si="469"/>
        <v>NO</v>
      </c>
      <c r="S2065">
        <v>699</v>
      </c>
      <c r="T2065" t="s">
        <v>198</v>
      </c>
      <c r="U2065" t="str">
        <f t="shared" si="470"/>
        <v>Mount Auburn St</v>
      </c>
      <c r="W2065" t="str">
        <f t="shared" si="471"/>
        <v/>
      </c>
      <c r="X2065" t="str">
        <f>IF(ISBLANK(S2065),"Intersection","Non-Intersection")</f>
        <v>Non-Intersection</v>
      </c>
      <c r="Y2065" t="s">
        <v>585</v>
      </c>
      <c r="Z2065" t="str">
        <f t="shared" si="472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59"/>
        <v>40544</v>
      </c>
      <c r="D2066" s="4">
        <f t="shared" si="460"/>
        <v>0.29041095890410956</v>
      </c>
      <c r="E2066" s="3">
        <f t="shared" si="461"/>
        <v>2011</v>
      </c>
      <c r="F2066" s="3">
        <f t="shared" si="462"/>
        <v>4</v>
      </c>
      <c r="G2066" s="3">
        <f t="shared" si="463"/>
        <v>17</v>
      </c>
      <c r="H2066" s="3">
        <f t="shared" si="464"/>
        <v>16</v>
      </c>
      <c r="I2066" s="3">
        <f t="shared" si="465"/>
        <v>15</v>
      </c>
      <c r="J2066" s="3">
        <f t="shared" si="466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67"/>
        <v>YES</v>
      </c>
      <c r="Q2066" t="str">
        <f t="shared" si="468"/>
        <v>NO</v>
      </c>
      <c r="R2066" t="str">
        <f t="shared" si="469"/>
        <v>NO</v>
      </c>
      <c r="T2066" t="s">
        <v>170</v>
      </c>
      <c r="U2066" t="str">
        <f t="shared" si="470"/>
        <v>Alewife Brook Pky</v>
      </c>
      <c r="W2066" t="str">
        <f t="shared" si="471"/>
        <v/>
      </c>
      <c r="X2066" t="str">
        <f>IF(ISBLANK(S2066),"Intersection","Non-Intersection")</f>
        <v>Intersection</v>
      </c>
      <c r="Y2066" t="s">
        <v>604</v>
      </c>
      <c r="Z2066" t="str">
        <f t="shared" si="472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59"/>
        <v>40544</v>
      </c>
      <c r="D2067" s="4">
        <f t="shared" si="460"/>
        <v>0.29041095890410956</v>
      </c>
      <c r="E2067" s="3">
        <f t="shared" si="461"/>
        <v>2011</v>
      </c>
      <c r="F2067" s="3">
        <f t="shared" si="462"/>
        <v>4</v>
      </c>
      <c r="G2067" s="3">
        <f t="shared" si="463"/>
        <v>17</v>
      </c>
      <c r="H2067" s="3">
        <f t="shared" si="464"/>
        <v>12</v>
      </c>
      <c r="I2067" s="3">
        <f t="shared" si="465"/>
        <v>59</v>
      </c>
      <c r="J2067" s="3">
        <f t="shared" si="466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67"/>
        <v>YES</v>
      </c>
      <c r="Q2067" t="str">
        <f t="shared" si="468"/>
        <v>NO</v>
      </c>
      <c r="R2067" t="str">
        <f t="shared" si="469"/>
        <v>NO</v>
      </c>
      <c r="S2067" t="s">
        <v>3118</v>
      </c>
      <c r="T2067" t="s">
        <v>14</v>
      </c>
      <c r="U2067" t="str">
        <f t="shared" si="470"/>
        <v>Massachusetts Ave</v>
      </c>
      <c r="W2067" t="str">
        <f t="shared" si="471"/>
        <v/>
      </c>
      <c r="X2067" t="str">
        <f>IF(ISBLANK(S2067),"Intersection","Non-Intersection")</f>
        <v>Non-Intersection</v>
      </c>
      <c r="Y2067" t="s">
        <v>3119</v>
      </c>
      <c r="Z2067" t="str">
        <f t="shared" si="472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59"/>
        <v>40544</v>
      </c>
      <c r="D2068" s="4">
        <f t="shared" si="460"/>
        <v>0.29041095890410956</v>
      </c>
      <c r="E2068" s="3">
        <f t="shared" si="461"/>
        <v>2011</v>
      </c>
      <c r="F2068" s="3">
        <f t="shared" si="462"/>
        <v>4</v>
      </c>
      <c r="G2068" s="3">
        <f t="shared" si="463"/>
        <v>17</v>
      </c>
      <c r="H2068" s="3">
        <f t="shared" si="464"/>
        <v>21</v>
      </c>
      <c r="I2068" s="3">
        <f t="shared" si="465"/>
        <v>4</v>
      </c>
      <c r="J2068" s="3">
        <f t="shared" si="466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67"/>
        <v>YES</v>
      </c>
      <c r="Q2068" t="str">
        <f t="shared" si="468"/>
        <v>NO</v>
      </c>
      <c r="R2068" t="str">
        <f t="shared" si="469"/>
        <v>NO</v>
      </c>
      <c r="T2068" t="s">
        <v>126</v>
      </c>
      <c r="U2068" t="str">
        <f t="shared" si="470"/>
        <v>Somerville Ave</v>
      </c>
      <c r="V2068" t="s">
        <v>268</v>
      </c>
      <c r="W2068" t="str">
        <f t="shared" si="471"/>
        <v>White St</v>
      </c>
      <c r="X2068" t="str">
        <f>IF(ISBLANK(S2068),"Intersection","Non-Intersection")</f>
        <v>Intersection</v>
      </c>
      <c r="Y2068" t="s">
        <v>768</v>
      </c>
      <c r="Z2068" t="str">
        <f t="shared" si="472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59"/>
        <v>40544</v>
      </c>
      <c r="D2069" s="4">
        <f t="shared" si="460"/>
        <v>0.29041095890410956</v>
      </c>
      <c r="E2069" s="3">
        <f t="shared" si="461"/>
        <v>2011</v>
      </c>
      <c r="F2069" s="3">
        <f t="shared" si="462"/>
        <v>4</v>
      </c>
      <c r="G2069" s="3">
        <f t="shared" si="463"/>
        <v>17</v>
      </c>
      <c r="H2069" s="3">
        <f t="shared" si="464"/>
        <v>0</v>
      </c>
      <c r="I2069" s="3">
        <f t="shared" si="465"/>
        <v>23</v>
      </c>
      <c r="J2069" s="3">
        <f t="shared" si="466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67"/>
        <v>YES</v>
      </c>
      <c r="Q2069" t="str">
        <f t="shared" si="468"/>
        <v>NO</v>
      </c>
      <c r="R2069" t="str">
        <f t="shared" si="469"/>
        <v>NO</v>
      </c>
      <c r="T2069" t="s">
        <v>14</v>
      </c>
      <c r="U2069" t="str">
        <f t="shared" si="470"/>
        <v>Massachusetts Ave</v>
      </c>
      <c r="V2069" t="s">
        <v>249</v>
      </c>
      <c r="W2069" t="str">
        <f t="shared" si="471"/>
        <v>Landsdowne St</v>
      </c>
      <c r="X2069" t="str">
        <f>IF(ISBLANK(S2069),"Intersection","Non-Intersection")</f>
        <v>Intersection</v>
      </c>
      <c r="Y2069" t="s">
        <v>250</v>
      </c>
      <c r="Z2069" t="str">
        <f t="shared" si="472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59"/>
        <v>40544</v>
      </c>
      <c r="D2070" s="4">
        <f t="shared" si="460"/>
        <v>0.29315068493150687</v>
      </c>
      <c r="E2070" s="3">
        <f t="shared" si="461"/>
        <v>2011</v>
      </c>
      <c r="F2070" s="3">
        <f t="shared" si="462"/>
        <v>4</v>
      </c>
      <c r="G2070" s="3">
        <f t="shared" si="463"/>
        <v>18</v>
      </c>
      <c r="H2070" s="3">
        <f t="shared" si="464"/>
        <v>23</v>
      </c>
      <c r="I2070" s="3">
        <f t="shared" si="465"/>
        <v>39</v>
      </c>
      <c r="J2070" s="3">
        <f t="shared" si="466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67"/>
        <v>YES</v>
      </c>
      <c r="Q2070" t="str">
        <f t="shared" si="468"/>
        <v>NO</v>
      </c>
      <c r="R2070" t="str">
        <f t="shared" si="469"/>
        <v>NO</v>
      </c>
      <c r="T2070" t="s">
        <v>198</v>
      </c>
      <c r="U2070" t="str">
        <f t="shared" si="470"/>
        <v>Mount Auburn St</v>
      </c>
      <c r="V2070" t="s">
        <v>50</v>
      </c>
      <c r="W2070" t="str">
        <f t="shared" si="471"/>
        <v>Belmont St</v>
      </c>
      <c r="X2070" t="str">
        <f>IF(ISBLANK(S2070),"Intersection","Non-Intersection")</f>
        <v>Intersection</v>
      </c>
      <c r="Y2070" t="s">
        <v>3121</v>
      </c>
      <c r="Z2070" t="str">
        <f t="shared" si="472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59"/>
        <v>40544</v>
      </c>
      <c r="D2071" s="4">
        <f t="shared" si="460"/>
        <v>0.29315068493150687</v>
      </c>
      <c r="E2071" s="3">
        <f t="shared" si="461"/>
        <v>2011</v>
      </c>
      <c r="F2071" s="3">
        <f t="shared" si="462"/>
        <v>4</v>
      </c>
      <c r="G2071" s="3">
        <f t="shared" si="463"/>
        <v>18</v>
      </c>
      <c r="H2071" s="3">
        <f t="shared" si="464"/>
        <v>15</v>
      </c>
      <c r="I2071" s="3">
        <f t="shared" si="465"/>
        <v>59</v>
      </c>
      <c r="J2071" s="3">
        <f t="shared" si="466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67"/>
        <v>YES</v>
      </c>
      <c r="Q2071" t="str">
        <f t="shared" si="468"/>
        <v>NO</v>
      </c>
      <c r="R2071" t="str">
        <f t="shared" si="469"/>
        <v>NO</v>
      </c>
      <c r="S2071">
        <v>29</v>
      </c>
      <c r="T2071" t="s">
        <v>268</v>
      </c>
      <c r="U2071" t="str">
        <f t="shared" si="470"/>
        <v>White St</v>
      </c>
      <c r="W2071" t="str">
        <f t="shared" si="471"/>
        <v/>
      </c>
      <c r="X2071" t="str">
        <f>IF(ISBLANK(S2071),"Intersection","Non-Intersection")</f>
        <v>Non-Intersection</v>
      </c>
      <c r="Y2071" t="s">
        <v>3122</v>
      </c>
      <c r="Z2071" t="str">
        <f t="shared" si="472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59"/>
        <v>40544</v>
      </c>
      <c r="D2072" s="4">
        <f t="shared" si="460"/>
        <v>0.29315068493150687</v>
      </c>
      <c r="E2072" s="3">
        <f t="shared" si="461"/>
        <v>2011</v>
      </c>
      <c r="F2072" s="3">
        <f t="shared" si="462"/>
        <v>4</v>
      </c>
      <c r="G2072" s="3">
        <f t="shared" si="463"/>
        <v>18</v>
      </c>
      <c r="H2072" s="3">
        <f t="shared" si="464"/>
        <v>16</v>
      </c>
      <c r="I2072" s="3">
        <f t="shared" si="465"/>
        <v>30</v>
      </c>
      <c r="J2072" s="3">
        <f t="shared" si="466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67"/>
        <v>YES</v>
      </c>
      <c r="Q2072" t="str">
        <f t="shared" si="468"/>
        <v>NO</v>
      </c>
      <c r="R2072" t="str">
        <f t="shared" si="469"/>
        <v>NO</v>
      </c>
      <c r="S2072">
        <v>210</v>
      </c>
      <c r="T2072" t="s">
        <v>342</v>
      </c>
      <c r="U2072" t="str">
        <f t="shared" si="470"/>
        <v>Prospect St</v>
      </c>
      <c r="W2072" t="str">
        <f t="shared" si="471"/>
        <v/>
      </c>
      <c r="X2072" t="str">
        <f>IF(ISBLANK(S2072),"Intersection","Non-Intersection")</f>
        <v>Non-Intersection</v>
      </c>
      <c r="Y2072" t="s">
        <v>3124</v>
      </c>
      <c r="Z2072" t="str">
        <f t="shared" si="472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59"/>
        <v>40544</v>
      </c>
      <c r="D2073" s="4">
        <f t="shared" si="460"/>
        <v>0.29315068493150687</v>
      </c>
      <c r="E2073" s="3">
        <f t="shared" si="461"/>
        <v>2011</v>
      </c>
      <c r="F2073" s="3">
        <f t="shared" si="462"/>
        <v>4</v>
      </c>
      <c r="G2073" s="3">
        <f t="shared" si="463"/>
        <v>18</v>
      </c>
      <c r="H2073" s="3">
        <f t="shared" si="464"/>
        <v>19</v>
      </c>
      <c r="I2073" s="3">
        <f t="shared" si="465"/>
        <v>15</v>
      </c>
      <c r="J2073" s="3">
        <f t="shared" si="466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67"/>
        <v>YES</v>
      </c>
      <c r="Q2073" t="str">
        <f t="shared" si="468"/>
        <v>NO</v>
      </c>
      <c r="R2073" t="str">
        <f t="shared" si="469"/>
        <v>NO</v>
      </c>
      <c r="T2073" t="s">
        <v>189</v>
      </c>
      <c r="U2073" t="str">
        <f t="shared" si="470"/>
        <v>Windsor St</v>
      </c>
      <c r="V2073" t="s">
        <v>1114</v>
      </c>
      <c r="W2073" t="str">
        <f t="shared" si="471"/>
        <v>Market St</v>
      </c>
      <c r="X2073" t="str">
        <f>IF(ISBLANK(S2073),"Intersection","Non-Intersection")</f>
        <v>Intersection</v>
      </c>
      <c r="Y2073" t="s">
        <v>3126</v>
      </c>
      <c r="Z2073" t="str">
        <f t="shared" si="472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473">EOMONTH(B2074,MONTH(B2074)*-1)+1</f>
        <v>40544</v>
      </c>
      <c r="D2074" s="4">
        <f t="shared" ref="D2074:D2133" si="474">YEARFRAC(C2074,B2074,1)</f>
        <v>0.29589041095890412</v>
      </c>
      <c r="E2074" s="3">
        <f t="shared" ref="E2074:E2133" si="475">YEAR(B2074)</f>
        <v>2011</v>
      </c>
      <c r="F2074" s="3">
        <f t="shared" ref="F2074:F2133" si="476">MONTH(B2074)</f>
        <v>4</v>
      </c>
      <c r="G2074" s="3">
        <f t="shared" ref="G2074:G2133" si="477">DAY(B2074)</f>
        <v>19</v>
      </c>
      <c r="H2074" s="3">
        <f t="shared" ref="H2074:H2133" si="478">HOUR(B2074)</f>
        <v>16</v>
      </c>
      <c r="I2074" s="3">
        <f t="shared" ref="I2074:I2133" si="479">MINUTE(B2074)</f>
        <v>5</v>
      </c>
      <c r="J2074" s="3">
        <f t="shared" ref="J2074:J2133" si="480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481">IF(OR(N2074="Auto",O2074="Auto"),"YES",IF(OR(N2074="Taxi",O2074="Taxi"),"YES",IF(OR(N2074="Van",O2074="Van"),"YES",IF(OR(N2074="Truck",O2074="Truck"),"YES","NO"))))</f>
        <v>YES</v>
      </c>
      <c r="Q2074" t="str">
        <f t="shared" ref="Q2074:Q2133" si="482">IF(OR(N2074="Bicycle",O2074="Bicycle"),"YES","NO")</f>
        <v>NO</v>
      </c>
      <c r="R2074" t="str">
        <f t="shared" ref="R2074:R2133" si="483">IF(OR(N2074="Pedestrian",O2074="Pedestrian"),"YES","NO")</f>
        <v>NO</v>
      </c>
      <c r="T2074" t="s">
        <v>19</v>
      </c>
      <c r="U2074" t="str">
        <f t="shared" si="470"/>
        <v>Cambridge St</v>
      </c>
      <c r="V2074" t="s">
        <v>685</v>
      </c>
      <c r="W2074" t="str">
        <f t="shared" si="471"/>
        <v>Warren St</v>
      </c>
      <c r="X2074" t="str">
        <f>IF(ISBLANK(S2074),"Intersection","Non-Intersection")</f>
        <v>Intersection</v>
      </c>
      <c r="Y2074" t="s">
        <v>1217</v>
      </c>
      <c r="Z2074" t="str">
        <f t="shared" si="472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473"/>
        <v>40544</v>
      </c>
      <c r="D2075" s="4">
        <f t="shared" si="474"/>
        <v>0.29589041095890412</v>
      </c>
      <c r="E2075" s="3">
        <f t="shared" si="475"/>
        <v>2011</v>
      </c>
      <c r="F2075" s="3">
        <f t="shared" si="476"/>
        <v>4</v>
      </c>
      <c r="G2075" s="3">
        <f t="shared" si="477"/>
        <v>19</v>
      </c>
      <c r="H2075" s="3">
        <f t="shared" si="478"/>
        <v>17</v>
      </c>
      <c r="I2075" s="3">
        <f t="shared" si="479"/>
        <v>49</v>
      </c>
      <c r="J2075" s="3">
        <f t="shared" si="480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481"/>
        <v>YES</v>
      </c>
      <c r="Q2075" t="str">
        <f t="shared" si="482"/>
        <v>YES</v>
      </c>
      <c r="R2075" t="str">
        <f t="shared" si="483"/>
        <v>NO</v>
      </c>
      <c r="T2075" t="s">
        <v>42</v>
      </c>
      <c r="U2075" t="str">
        <f t="shared" si="470"/>
        <v>Putnam Ave</v>
      </c>
      <c r="V2075" t="s">
        <v>178</v>
      </c>
      <c r="W2075" t="str">
        <f t="shared" si="471"/>
        <v>Pleasant St</v>
      </c>
      <c r="X2075" t="str">
        <f>IF(ISBLANK(S2075),"Intersection","Non-Intersection")</f>
        <v>Intersection</v>
      </c>
      <c r="Y2075" t="s">
        <v>179</v>
      </c>
      <c r="Z2075" t="str">
        <f t="shared" si="472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473"/>
        <v>40544</v>
      </c>
      <c r="D2076" s="4">
        <f t="shared" si="474"/>
        <v>0.29589041095890412</v>
      </c>
      <c r="E2076" s="3">
        <f t="shared" si="475"/>
        <v>2011</v>
      </c>
      <c r="F2076" s="3">
        <f t="shared" si="476"/>
        <v>4</v>
      </c>
      <c r="G2076" s="3">
        <f t="shared" si="477"/>
        <v>19</v>
      </c>
      <c r="H2076" s="3">
        <f t="shared" si="478"/>
        <v>10</v>
      </c>
      <c r="I2076" s="3">
        <f t="shared" si="479"/>
        <v>30</v>
      </c>
      <c r="J2076" s="3">
        <f t="shared" si="480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481"/>
        <v>YES</v>
      </c>
      <c r="Q2076" t="str">
        <f t="shared" si="482"/>
        <v>NO</v>
      </c>
      <c r="R2076" t="str">
        <f t="shared" si="483"/>
        <v>YES</v>
      </c>
      <c r="T2076" t="s">
        <v>57</v>
      </c>
      <c r="U2076" t="str">
        <f t="shared" si="470"/>
        <v>Everett St</v>
      </c>
      <c r="V2076" t="s">
        <v>456</v>
      </c>
      <c r="W2076" t="str">
        <f t="shared" si="471"/>
        <v>Oxford St</v>
      </c>
      <c r="X2076" t="str">
        <f>IF(ISBLANK(S2076),"Intersection","Non-Intersection")</f>
        <v>Intersection</v>
      </c>
      <c r="Y2076" t="s">
        <v>3128</v>
      </c>
      <c r="Z2076" t="str">
        <f t="shared" si="472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473"/>
        <v>40544</v>
      </c>
      <c r="D2077" s="4">
        <f t="shared" si="474"/>
        <v>0.29863013698630136</v>
      </c>
      <c r="E2077" s="3">
        <f t="shared" si="475"/>
        <v>2011</v>
      </c>
      <c r="F2077" s="3">
        <f t="shared" si="476"/>
        <v>4</v>
      </c>
      <c r="G2077" s="3">
        <f t="shared" si="477"/>
        <v>20</v>
      </c>
      <c r="H2077" s="3">
        <f t="shared" si="478"/>
        <v>15</v>
      </c>
      <c r="I2077" s="3">
        <f t="shared" si="479"/>
        <v>1</v>
      </c>
      <c r="J2077" s="3">
        <f t="shared" si="480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481"/>
        <v>YES</v>
      </c>
      <c r="Q2077" t="str">
        <f t="shared" si="482"/>
        <v>NO</v>
      </c>
      <c r="R2077" t="str">
        <f t="shared" si="483"/>
        <v>NO</v>
      </c>
      <c r="T2077" t="s">
        <v>203</v>
      </c>
      <c r="U2077" t="str">
        <f t="shared" si="470"/>
        <v>Memorial Dr</v>
      </c>
      <c r="W2077" t="str">
        <f t="shared" si="471"/>
        <v/>
      </c>
      <c r="X2077" t="str">
        <f>IF(ISBLANK(S2077),"Intersection","Non-Intersection")</f>
        <v>Intersection</v>
      </c>
      <c r="Y2077" t="s">
        <v>2085</v>
      </c>
      <c r="Z2077" t="str">
        <f t="shared" si="472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473"/>
        <v>40544</v>
      </c>
      <c r="D2078" s="4">
        <f t="shared" si="474"/>
        <v>0.30136986301369861</v>
      </c>
      <c r="E2078" s="3">
        <f t="shared" si="475"/>
        <v>2011</v>
      </c>
      <c r="F2078" s="3">
        <f t="shared" si="476"/>
        <v>4</v>
      </c>
      <c r="G2078" s="3">
        <f t="shared" si="477"/>
        <v>21</v>
      </c>
      <c r="H2078" s="3">
        <f t="shared" si="478"/>
        <v>10</v>
      </c>
      <c r="I2078" s="3">
        <f t="shared" si="479"/>
        <v>31</v>
      </c>
      <c r="J2078" s="3">
        <f t="shared" si="480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481"/>
        <v>YES</v>
      </c>
      <c r="Q2078" t="str">
        <f t="shared" si="482"/>
        <v>NO</v>
      </c>
      <c r="R2078" t="str">
        <f t="shared" si="483"/>
        <v>NO</v>
      </c>
      <c r="S2078">
        <v>104</v>
      </c>
      <c r="T2078" t="s">
        <v>198</v>
      </c>
      <c r="U2078" t="str">
        <f t="shared" si="470"/>
        <v>Mount Auburn St</v>
      </c>
      <c r="V2078" t="s">
        <v>325</v>
      </c>
      <c r="W2078" t="str">
        <f t="shared" si="471"/>
        <v>Eliot St</v>
      </c>
      <c r="X2078" t="str">
        <f>IF(ISBLANK(S2078),"Intersection","Non-Intersection")</f>
        <v>Non-Intersection</v>
      </c>
      <c r="Y2078" t="s">
        <v>1505</v>
      </c>
      <c r="Z2078" t="str">
        <f t="shared" si="472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473"/>
        <v>40544</v>
      </c>
      <c r="D2079" s="4">
        <f t="shared" si="474"/>
        <v>0.30136986301369861</v>
      </c>
      <c r="E2079" s="3">
        <f t="shared" si="475"/>
        <v>2011</v>
      </c>
      <c r="F2079" s="3">
        <f t="shared" si="476"/>
        <v>4</v>
      </c>
      <c r="G2079" s="3">
        <f t="shared" si="477"/>
        <v>21</v>
      </c>
      <c r="H2079" s="3">
        <f t="shared" si="478"/>
        <v>11</v>
      </c>
      <c r="I2079" s="3">
        <f t="shared" si="479"/>
        <v>16</v>
      </c>
      <c r="J2079" s="3">
        <f t="shared" si="480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481"/>
        <v>YES</v>
      </c>
      <c r="Q2079" t="str">
        <f t="shared" si="482"/>
        <v>NO</v>
      </c>
      <c r="R2079" t="str">
        <f t="shared" si="483"/>
        <v>NO</v>
      </c>
      <c r="T2079" t="s">
        <v>14</v>
      </c>
      <c r="U2079" t="str">
        <f t="shared" si="470"/>
        <v>Massachusetts Ave</v>
      </c>
      <c r="V2079" t="s">
        <v>315</v>
      </c>
      <c r="W2079" t="str">
        <f t="shared" si="471"/>
        <v>Essex St</v>
      </c>
      <c r="X2079" t="str">
        <f>IF(ISBLANK(S2079),"Intersection","Non-Intersection")</f>
        <v>Intersection</v>
      </c>
      <c r="Y2079" t="s">
        <v>1383</v>
      </c>
      <c r="Z2079" t="str">
        <f t="shared" si="472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473"/>
        <v>40544</v>
      </c>
      <c r="D2080" s="4">
        <f t="shared" si="474"/>
        <v>0.30136986301369861</v>
      </c>
      <c r="E2080" s="3">
        <f t="shared" si="475"/>
        <v>2011</v>
      </c>
      <c r="F2080" s="3">
        <f t="shared" si="476"/>
        <v>4</v>
      </c>
      <c r="G2080" s="3">
        <f t="shared" si="477"/>
        <v>21</v>
      </c>
      <c r="H2080" s="3">
        <f t="shared" si="478"/>
        <v>8</v>
      </c>
      <c r="I2080" s="3">
        <f t="shared" si="479"/>
        <v>15</v>
      </c>
      <c r="J2080" s="3">
        <f t="shared" si="480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481"/>
        <v>YES</v>
      </c>
      <c r="Q2080" t="str">
        <f t="shared" si="482"/>
        <v>YES</v>
      </c>
      <c r="R2080" t="str">
        <f t="shared" si="483"/>
        <v>NO</v>
      </c>
      <c r="T2080" t="s">
        <v>105</v>
      </c>
      <c r="U2080" t="str">
        <f t="shared" si="470"/>
        <v>Broadway</v>
      </c>
      <c r="V2080" t="s">
        <v>79</v>
      </c>
      <c r="W2080" t="str">
        <f t="shared" si="471"/>
        <v>Ames St</v>
      </c>
      <c r="X2080" t="str">
        <f>IF(ISBLANK(S2080),"Intersection","Non-Intersection")</f>
        <v>Intersection</v>
      </c>
      <c r="Y2080" t="s">
        <v>1346</v>
      </c>
      <c r="Z2080" t="str">
        <f t="shared" si="472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473"/>
        <v>40544</v>
      </c>
      <c r="D2081" s="4">
        <f t="shared" si="474"/>
        <v>0.30410958904109592</v>
      </c>
      <c r="E2081" s="3">
        <f t="shared" si="475"/>
        <v>2011</v>
      </c>
      <c r="F2081" s="3">
        <f t="shared" si="476"/>
        <v>4</v>
      </c>
      <c r="G2081" s="3">
        <f t="shared" si="477"/>
        <v>22</v>
      </c>
      <c r="H2081" s="3">
        <f t="shared" si="478"/>
        <v>21</v>
      </c>
      <c r="I2081" s="3">
        <f t="shared" si="479"/>
        <v>10</v>
      </c>
      <c r="J2081" s="3">
        <f t="shared" si="480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481"/>
        <v>YES</v>
      </c>
      <c r="Q2081" t="str">
        <f t="shared" si="482"/>
        <v>NO</v>
      </c>
      <c r="R2081" t="str">
        <f t="shared" si="483"/>
        <v>NO</v>
      </c>
      <c r="T2081" t="s">
        <v>19</v>
      </c>
      <c r="U2081" t="str">
        <f t="shared" si="470"/>
        <v>Cambridge St</v>
      </c>
      <c r="V2081" t="s">
        <v>260</v>
      </c>
      <c r="W2081" t="str">
        <f t="shared" si="471"/>
        <v>Third St</v>
      </c>
      <c r="X2081" t="str">
        <f>IF(ISBLANK(S2081),"Intersection","Non-Intersection")</f>
        <v>Intersection</v>
      </c>
      <c r="Y2081" t="s">
        <v>640</v>
      </c>
      <c r="Z2081" t="str">
        <f t="shared" si="472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473"/>
        <v>40544</v>
      </c>
      <c r="D2082" s="4">
        <f t="shared" si="474"/>
        <v>0.30410958904109592</v>
      </c>
      <c r="E2082" s="3">
        <f t="shared" si="475"/>
        <v>2011</v>
      </c>
      <c r="F2082" s="3">
        <f t="shared" si="476"/>
        <v>4</v>
      </c>
      <c r="G2082" s="3">
        <f t="shared" si="477"/>
        <v>22</v>
      </c>
      <c r="H2082" s="3">
        <f t="shared" si="478"/>
        <v>10</v>
      </c>
      <c r="I2082" s="3">
        <f t="shared" si="479"/>
        <v>44</v>
      </c>
      <c r="J2082" s="3">
        <f t="shared" si="480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481"/>
        <v>YES</v>
      </c>
      <c r="Q2082" t="str">
        <f t="shared" si="482"/>
        <v>NO</v>
      </c>
      <c r="R2082" t="str">
        <f t="shared" si="483"/>
        <v>NO</v>
      </c>
      <c r="S2082">
        <v>440</v>
      </c>
      <c r="T2082" t="s">
        <v>14</v>
      </c>
      <c r="U2082" t="str">
        <f t="shared" si="470"/>
        <v>Massachusetts Ave</v>
      </c>
      <c r="W2082" t="str">
        <f t="shared" si="471"/>
        <v/>
      </c>
      <c r="X2082" t="str">
        <f>IF(ISBLANK(S2082),"Intersection","Non-Intersection")</f>
        <v>Non-Intersection</v>
      </c>
      <c r="Y2082" t="s">
        <v>3130</v>
      </c>
      <c r="Z2082" t="str">
        <f t="shared" si="472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473"/>
        <v>40544</v>
      </c>
      <c r="D2083" s="4">
        <f t="shared" si="474"/>
        <v>0.30684931506849317</v>
      </c>
      <c r="E2083" s="3">
        <f t="shared" si="475"/>
        <v>2011</v>
      </c>
      <c r="F2083" s="3">
        <f t="shared" si="476"/>
        <v>4</v>
      </c>
      <c r="G2083" s="3">
        <f t="shared" si="477"/>
        <v>23</v>
      </c>
      <c r="H2083" s="3">
        <f t="shared" si="478"/>
        <v>1</v>
      </c>
      <c r="I2083" s="3">
        <f t="shared" si="479"/>
        <v>34</v>
      </c>
      <c r="J2083" s="3">
        <f t="shared" si="480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481"/>
        <v>YES</v>
      </c>
      <c r="Q2083" t="str">
        <f t="shared" si="482"/>
        <v>NO</v>
      </c>
      <c r="R2083" t="str">
        <f t="shared" si="483"/>
        <v>NO</v>
      </c>
      <c r="T2083" t="s">
        <v>195</v>
      </c>
      <c r="U2083" t="str">
        <f t="shared" si="470"/>
        <v>Sidney St</v>
      </c>
      <c r="V2083" t="s">
        <v>42</v>
      </c>
      <c r="W2083" t="str">
        <f t="shared" si="471"/>
        <v>Putnam Ave</v>
      </c>
      <c r="X2083" t="str">
        <f>IF(ISBLANK(S2083),"Intersection","Non-Intersection")</f>
        <v>Intersection</v>
      </c>
      <c r="Y2083" t="s">
        <v>1483</v>
      </c>
      <c r="Z2083" t="str">
        <f t="shared" si="472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473"/>
        <v>40544</v>
      </c>
      <c r="D2084" s="4">
        <f t="shared" si="474"/>
        <v>0.30684931506849317</v>
      </c>
      <c r="E2084" s="3">
        <f t="shared" si="475"/>
        <v>2011</v>
      </c>
      <c r="F2084" s="3">
        <f t="shared" si="476"/>
        <v>4</v>
      </c>
      <c r="G2084" s="3">
        <f t="shared" si="477"/>
        <v>23</v>
      </c>
      <c r="H2084" s="3">
        <f t="shared" si="478"/>
        <v>15</v>
      </c>
      <c r="I2084" s="3">
        <f t="shared" si="479"/>
        <v>14</v>
      </c>
      <c r="J2084" s="3">
        <f t="shared" si="480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481"/>
        <v>YES</v>
      </c>
      <c r="Q2084" t="str">
        <f t="shared" si="482"/>
        <v>NO</v>
      </c>
      <c r="R2084" t="str">
        <f t="shared" si="483"/>
        <v>NO</v>
      </c>
      <c r="T2084" t="s">
        <v>326</v>
      </c>
      <c r="U2084" t="str">
        <f t="shared" si="470"/>
        <v>Jfk St</v>
      </c>
      <c r="V2084" t="s">
        <v>325</v>
      </c>
      <c r="W2084" t="str">
        <f t="shared" si="471"/>
        <v>Eliot St</v>
      </c>
      <c r="X2084" t="str">
        <f>IF(ISBLANK(S2084),"Intersection","Non-Intersection")</f>
        <v>Intersection</v>
      </c>
      <c r="Y2084" t="s">
        <v>1420</v>
      </c>
      <c r="Z2084" t="str">
        <f t="shared" si="472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473"/>
        <v>40544</v>
      </c>
      <c r="D2085" s="4">
        <f t="shared" si="474"/>
        <v>0.30684931506849317</v>
      </c>
      <c r="E2085" s="3">
        <f t="shared" si="475"/>
        <v>2011</v>
      </c>
      <c r="F2085" s="3">
        <f t="shared" si="476"/>
        <v>4</v>
      </c>
      <c r="G2085" s="3">
        <f t="shared" si="477"/>
        <v>23</v>
      </c>
      <c r="H2085" s="3">
        <f t="shared" si="478"/>
        <v>18</v>
      </c>
      <c r="I2085" s="3">
        <f t="shared" si="479"/>
        <v>31</v>
      </c>
      <c r="J2085" s="3">
        <f t="shared" si="480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481"/>
        <v>YES</v>
      </c>
      <c r="Q2085" t="str">
        <f t="shared" si="482"/>
        <v>NO</v>
      </c>
      <c r="R2085" t="str">
        <f t="shared" si="483"/>
        <v>NO</v>
      </c>
      <c r="S2085">
        <v>321</v>
      </c>
      <c r="T2085" t="s">
        <v>105</v>
      </c>
      <c r="U2085" t="str">
        <f t="shared" si="470"/>
        <v>Broadway</v>
      </c>
      <c r="W2085" t="str">
        <f t="shared" si="471"/>
        <v/>
      </c>
      <c r="X2085" t="str">
        <f>IF(ISBLANK(S2085),"Intersection","Non-Intersection")</f>
        <v>Non-Intersection</v>
      </c>
      <c r="Y2085" t="s">
        <v>1901</v>
      </c>
      <c r="Z2085" t="str">
        <f t="shared" si="472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473"/>
        <v>40544</v>
      </c>
      <c r="D2086" s="4">
        <f t="shared" si="474"/>
        <v>0.30958904109589042</v>
      </c>
      <c r="E2086" s="3">
        <f t="shared" si="475"/>
        <v>2011</v>
      </c>
      <c r="F2086" s="3">
        <f t="shared" si="476"/>
        <v>4</v>
      </c>
      <c r="G2086" s="3">
        <f t="shared" si="477"/>
        <v>24</v>
      </c>
      <c r="H2086" s="3">
        <f t="shared" si="478"/>
        <v>12</v>
      </c>
      <c r="I2086" s="3">
        <f t="shared" si="479"/>
        <v>56</v>
      </c>
      <c r="J2086" s="3">
        <f t="shared" si="480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481"/>
        <v>YES</v>
      </c>
      <c r="Q2086" t="str">
        <f t="shared" si="482"/>
        <v>NO</v>
      </c>
      <c r="R2086" t="str">
        <f t="shared" si="483"/>
        <v>NO</v>
      </c>
      <c r="S2086">
        <v>149</v>
      </c>
      <c r="T2086" t="s">
        <v>170</v>
      </c>
      <c r="U2086" t="str">
        <f t="shared" si="470"/>
        <v>Alewife Brook Pky</v>
      </c>
      <c r="W2086" t="str">
        <f t="shared" si="471"/>
        <v/>
      </c>
      <c r="X2086" t="str">
        <f>IF(ISBLANK(S2086),"Intersection","Non-Intersection")</f>
        <v>Non-Intersection</v>
      </c>
      <c r="Y2086" t="s">
        <v>720</v>
      </c>
      <c r="Z2086" t="str">
        <f t="shared" si="472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473"/>
        <v>40544</v>
      </c>
      <c r="D2087" s="4">
        <f t="shared" si="474"/>
        <v>0.31232876712328766</v>
      </c>
      <c r="E2087" s="3">
        <f t="shared" si="475"/>
        <v>2011</v>
      </c>
      <c r="F2087" s="3">
        <f t="shared" si="476"/>
        <v>4</v>
      </c>
      <c r="G2087" s="3">
        <f t="shared" si="477"/>
        <v>25</v>
      </c>
      <c r="H2087" s="3">
        <f t="shared" si="478"/>
        <v>8</v>
      </c>
      <c r="I2087" s="3">
        <f t="shared" si="479"/>
        <v>48</v>
      </c>
      <c r="J2087" s="3">
        <f t="shared" si="480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481"/>
        <v>YES</v>
      </c>
      <c r="Q2087" t="str">
        <f t="shared" si="482"/>
        <v>NO</v>
      </c>
      <c r="R2087" t="str">
        <f t="shared" si="483"/>
        <v>NO</v>
      </c>
      <c r="S2087">
        <v>699</v>
      </c>
      <c r="T2087" t="s">
        <v>198</v>
      </c>
      <c r="U2087" t="str">
        <f t="shared" si="470"/>
        <v>Mount Auburn St</v>
      </c>
      <c r="W2087" t="str">
        <f t="shared" si="471"/>
        <v/>
      </c>
      <c r="X2087" t="str">
        <f>IF(ISBLANK(S2087),"Intersection","Non-Intersection")</f>
        <v>Non-Intersection</v>
      </c>
      <c r="Y2087" t="s">
        <v>585</v>
      </c>
      <c r="Z2087" t="str">
        <f t="shared" si="472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473"/>
        <v>40544</v>
      </c>
      <c r="D2088" s="4">
        <f t="shared" si="474"/>
        <v>0.31232876712328766</v>
      </c>
      <c r="E2088" s="3">
        <f t="shared" si="475"/>
        <v>2011</v>
      </c>
      <c r="F2088" s="3">
        <f t="shared" si="476"/>
        <v>4</v>
      </c>
      <c r="G2088" s="3">
        <f t="shared" si="477"/>
        <v>25</v>
      </c>
      <c r="H2088" s="3">
        <f t="shared" si="478"/>
        <v>12</v>
      </c>
      <c r="I2088" s="3">
        <f t="shared" si="479"/>
        <v>30</v>
      </c>
      <c r="J2088" s="3">
        <f t="shared" si="480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481"/>
        <v>YES</v>
      </c>
      <c r="Q2088" t="str">
        <f t="shared" si="482"/>
        <v>NO</v>
      </c>
      <c r="R2088" t="str">
        <f t="shared" si="483"/>
        <v>NO</v>
      </c>
      <c r="S2088">
        <v>2411</v>
      </c>
      <c r="T2088" t="s">
        <v>14</v>
      </c>
      <c r="U2088" t="str">
        <f t="shared" si="470"/>
        <v>Massachusetts Ave</v>
      </c>
      <c r="W2088" t="str">
        <f t="shared" si="471"/>
        <v/>
      </c>
      <c r="X2088" t="str">
        <f>IF(ISBLANK(S2088),"Intersection","Non-Intersection")</f>
        <v>Non-Intersection</v>
      </c>
      <c r="Y2088" t="s">
        <v>3132</v>
      </c>
      <c r="Z2088" t="str">
        <f t="shared" si="472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473"/>
        <v>40544</v>
      </c>
      <c r="D2089" s="4">
        <f t="shared" si="474"/>
        <v>0.31506849315068491</v>
      </c>
      <c r="E2089" s="3">
        <f t="shared" si="475"/>
        <v>2011</v>
      </c>
      <c r="F2089" s="3">
        <f t="shared" si="476"/>
        <v>4</v>
      </c>
      <c r="G2089" s="3">
        <f t="shared" si="477"/>
        <v>26</v>
      </c>
      <c r="H2089" s="3">
        <f t="shared" si="478"/>
        <v>21</v>
      </c>
      <c r="I2089" s="3">
        <f t="shared" si="479"/>
        <v>59</v>
      </c>
      <c r="J2089" s="3">
        <f t="shared" si="480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481"/>
        <v>YES</v>
      </c>
      <c r="Q2089" t="str">
        <f t="shared" si="482"/>
        <v>NO</v>
      </c>
      <c r="R2089" t="str">
        <f t="shared" si="483"/>
        <v>NO</v>
      </c>
      <c r="S2089">
        <v>61</v>
      </c>
      <c r="T2089" t="s">
        <v>208</v>
      </c>
      <c r="U2089" t="str">
        <f t="shared" si="470"/>
        <v>Sparks St</v>
      </c>
      <c r="W2089" t="str">
        <f t="shared" si="471"/>
        <v/>
      </c>
      <c r="X2089" t="str">
        <f>IF(ISBLANK(S2089),"Intersection","Non-Intersection")</f>
        <v>Non-Intersection</v>
      </c>
      <c r="Y2089" t="s">
        <v>3133</v>
      </c>
      <c r="Z2089" t="str">
        <f t="shared" si="472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473"/>
        <v>40544</v>
      </c>
      <c r="D2090" s="4">
        <f t="shared" si="474"/>
        <v>0.31506849315068491</v>
      </c>
      <c r="E2090" s="3">
        <f t="shared" si="475"/>
        <v>2011</v>
      </c>
      <c r="F2090" s="3">
        <f t="shared" si="476"/>
        <v>4</v>
      </c>
      <c r="G2090" s="3">
        <f t="shared" si="477"/>
        <v>26</v>
      </c>
      <c r="H2090" s="3">
        <f t="shared" si="478"/>
        <v>19</v>
      </c>
      <c r="I2090" s="3">
        <f t="shared" si="479"/>
        <v>18</v>
      </c>
      <c r="J2090" s="3">
        <f t="shared" si="480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481"/>
        <v>YES</v>
      </c>
      <c r="Q2090" t="str">
        <f t="shared" si="482"/>
        <v>NO</v>
      </c>
      <c r="R2090" t="str">
        <f t="shared" si="483"/>
        <v>YES</v>
      </c>
      <c r="S2090">
        <v>355</v>
      </c>
      <c r="T2090" t="s">
        <v>209</v>
      </c>
      <c r="U2090" t="str">
        <f t="shared" si="470"/>
        <v>Binney St</v>
      </c>
      <c r="W2090" t="str">
        <f t="shared" si="471"/>
        <v/>
      </c>
      <c r="X2090" t="str">
        <f>IF(ISBLANK(S2090),"Intersection","Non-Intersection")</f>
        <v>Non-Intersection</v>
      </c>
      <c r="Y2090" t="s">
        <v>1688</v>
      </c>
      <c r="Z2090" t="str">
        <f t="shared" si="472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473"/>
        <v>40544</v>
      </c>
      <c r="D2091" s="4">
        <f t="shared" si="474"/>
        <v>0.31506849315068491</v>
      </c>
      <c r="E2091" s="3">
        <f t="shared" si="475"/>
        <v>2011</v>
      </c>
      <c r="F2091" s="3">
        <f t="shared" si="476"/>
        <v>4</v>
      </c>
      <c r="G2091" s="3">
        <f t="shared" si="477"/>
        <v>26</v>
      </c>
      <c r="H2091" s="3">
        <f t="shared" si="478"/>
        <v>11</v>
      </c>
      <c r="I2091" s="3">
        <f t="shared" si="479"/>
        <v>33</v>
      </c>
      <c r="J2091" s="3">
        <f t="shared" si="480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481"/>
        <v>YES</v>
      </c>
      <c r="Q2091" t="str">
        <f t="shared" si="482"/>
        <v>NO</v>
      </c>
      <c r="R2091" t="str">
        <f t="shared" si="483"/>
        <v>NO</v>
      </c>
      <c r="T2091" t="s">
        <v>105</v>
      </c>
      <c r="U2091" t="str">
        <f t="shared" si="470"/>
        <v>Broadway</v>
      </c>
      <c r="V2091" t="s">
        <v>79</v>
      </c>
      <c r="W2091" t="str">
        <f t="shared" si="471"/>
        <v>Ames St</v>
      </c>
      <c r="X2091" t="str">
        <f>IF(ISBLANK(S2091),"Intersection","Non-Intersection")</f>
        <v>Intersection</v>
      </c>
      <c r="Y2091" t="s">
        <v>1346</v>
      </c>
      <c r="Z2091" t="str">
        <f t="shared" si="472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473"/>
        <v>40544</v>
      </c>
      <c r="D2092" s="4">
        <f t="shared" si="474"/>
        <v>0.31506849315068491</v>
      </c>
      <c r="E2092" s="3">
        <f t="shared" si="475"/>
        <v>2011</v>
      </c>
      <c r="F2092" s="3">
        <f t="shared" si="476"/>
        <v>4</v>
      </c>
      <c r="G2092" s="3">
        <f t="shared" si="477"/>
        <v>26</v>
      </c>
      <c r="H2092" s="3">
        <f t="shared" si="478"/>
        <v>12</v>
      </c>
      <c r="I2092" s="3">
        <f t="shared" si="479"/>
        <v>21</v>
      </c>
      <c r="J2092" s="3">
        <f t="shared" si="480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481"/>
        <v>YES</v>
      </c>
      <c r="Q2092" t="str">
        <f t="shared" si="482"/>
        <v>NO</v>
      </c>
      <c r="R2092" t="str">
        <f t="shared" si="483"/>
        <v>NO</v>
      </c>
      <c r="T2092" t="s">
        <v>342</v>
      </c>
      <c r="U2092" t="str">
        <f t="shared" si="470"/>
        <v>Prospect St</v>
      </c>
      <c r="V2092" t="s">
        <v>133</v>
      </c>
      <c r="W2092" t="str">
        <f t="shared" si="471"/>
        <v>Harvard St</v>
      </c>
      <c r="X2092" t="str">
        <f>IF(ISBLANK(S2092),"Intersection","Non-Intersection")</f>
        <v>Intersection</v>
      </c>
      <c r="Y2092" t="s">
        <v>884</v>
      </c>
      <c r="Z2092" t="str">
        <f t="shared" si="472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473"/>
        <v>40544</v>
      </c>
      <c r="D2093" s="4">
        <f t="shared" si="474"/>
        <v>0.31506849315068491</v>
      </c>
      <c r="E2093" s="3">
        <f t="shared" si="475"/>
        <v>2011</v>
      </c>
      <c r="F2093" s="3">
        <f t="shared" si="476"/>
        <v>4</v>
      </c>
      <c r="G2093" s="3">
        <f t="shared" si="477"/>
        <v>26</v>
      </c>
      <c r="H2093" s="3">
        <f t="shared" si="478"/>
        <v>18</v>
      </c>
      <c r="I2093" s="3">
        <f t="shared" si="479"/>
        <v>59</v>
      </c>
      <c r="J2093" s="3">
        <f t="shared" si="480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481"/>
        <v>YES</v>
      </c>
      <c r="Q2093" t="str">
        <f t="shared" si="482"/>
        <v>NO</v>
      </c>
      <c r="R2093" t="str">
        <f t="shared" si="483"/>
        <v>NO</v>
      </c>
      <c r="S2093">
        <v>9</v>
      </c>
      <c r="T2093" t="s">
        <v>985</v>
      </c>
      <c r="U2093" t="str">
        <f t="shared" si="470"/>
        <v>Plymouth St</v>
      </c>
      <c r="W2093" t="str">
        <f t="shared" si="471"/>
        <v/>
      </c>
      <c r="X2093" t="str">
        <f>IF(ISBLANK(S2093),"Intersection","Non-Intersection")</f>
        <v>Non-Intersection</v>
      </c>
      <c r="Y2093" t="s">
        <v>3135</v>
      </c>
      <c r="Z2093" t="str">
        <f t="shared" si="472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473"/>
        <v>40544</v>
      </c>
      <c r="D2094" s="4">
        <f t="shared" si="474"/>
        <v>0.31506849315068491</v>
      </c>
      <c r="E2094" s="3">
        <f t="shared" si="475"/>
        <v>2011</v>
      </c>
      <c r="F2094" s="3">
        <f t="shared" si="476"/>
        <v>4</v>
      </c>
      <c r="G2094" s="3">
        <f t="shared" si="477"/>
        <v>26</v>
      </c>
      <c r="H2094" s="3">
        <f t="shared" si="478"/>
        <v>9</v>
      </c>
      <c r="I2094" s="3">
        <f t="shared" si="479"/>
        <v>0</v>
      </c>
      <c r="J2094" s="3">
        <f t="shared" si="480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481"/>
        <v>YES</v>
      </c>
      <c r="Q2094" t="str">
        <f t="shared" si="482"/>
        <v>YES</v>
      </c>
      <c r="R2094" t="str">
        <f t="shared" si="483"/>
        <v>NO</v>
      </c>
      <c r="T2094" t="s">
        <v>342</v>
      </c>
      <c r="U2094" t="str">
        <f t="shared" si="470"/>
        <v>Prospect St</v>
      </c>
      <c r="V2094" t="s">
        <v>133</v>
      </c>
      <c r="W2094" t="str">
        <f t="shared" si="471"/>
        <v>Harvard St</v>
      </c>
      <c r="X2094" t="str">
        <f>IF(ISBLANK(S2094),"Intersection","Non-Intersection")</f>
        <v>Intersection</v>
      </c>
      <c r="Y2094" t="s">
        <v>884</v>
      </c>
      <c r="Z2094" t="str">
        <f t="shared" si="472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473"/>
        <v>40544</v>
      </c>
      <c r="D2095" s="4">
        <f t="shared" si="474"/>
        <v>0.31780821917808222</v>
      </c>
      <c r="E2095" s="3">
        <f t="shared" si="475"/>
        <v>2011</v>
      </c>
      <c r="F2095" s="3">
        <f t="shared" si="476"/>
        <v>4</v>
      </c>
      <c r="G2095" s="3">
        <f t="shared" si="477"/>
        <v>27</v>
      </c>
      <c r="H2095" s="3">
        <f t="shared" si="478"/>
        <v>13</v>
      </c>
      <c r="I2095" s="3">
        <f t="shared" si="479"/>
        <v>47</v>
      </c>
      <c r="J2095" s="3">
        <f t="shared" si="480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481"/>
        <v>YES</v>
      </c>
      <c r="Q2095" t="str">
        <f t="shared" si="482"/>
        <v>NO</v>
      </c>
      <c r="R2095" t="str">
        <f t="shared" si="483"/>
        <v>NO</v>
      </c>
      <c r="S2095">
        <v>125</v>
      </c>
      <c r="T2095" t="s">
        <v>195</v>
      </c>
      <c r="U2095" t="str">
        <f t="shared" si="470"/>
        <v>Sidney St</v>
      </c>
      <c r="W2095" t="str">
        <f t="shared" si="471"/>
        <v/>
      </c>
      <c r="X2095" t="str">
        <f>IF(ISBLANK(S2095),"Intersection","Non-Intersection")</f>
        <v>Non-Intersection</v>
      </c>
      <c r="Y2095" t="s">
        <v>3137</v>
      </c>
      <c r="Z2095" t="str">
        <f t="shared" si="472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473"/>
        <v>40544</v>
      </c>
      <c r="D2096" s="4">
        <f t="shared" si="474"/>
        <v>0.31780821917808222</v>
      </c>
      <c r="E2096" s="3">
        <f t="shared" si="475"/>
        <v>2011</v>
      </c>
      <c r="F2096" s="3">
        <f t="shared" si="476"/>
        <v>4</v>
      </c>
      <c r="G2096" s="3">
        <f t="shared" si="477"/>
        <v>27</v>
      </c>
      <c r="H2096" s="3">
        <f t="shared" si="478"/>
        <v>19</v>
      </c>
      <c r="I2096" s="3">
        <f t="shared" si="479"/>
        <v>2</v>
      </c>
      <c r="J2096" s="3">
        <f t="shared" si="480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481"/>
        <v>YES</v>
      </c>
      <c r="Q2096" t="str">
        <f t="shared" si="482"/>
        <v>NO</v>
      </c>
      <c r="R2096" t="str">
        <f t="shared" si="483"/>
        <v>NO</v>
      </c>
      <c r="S2096">
        <v>10</v>
      </c>
      <c r="T2096" t="s">
        <v>3139</v>
      </c>
      <c r="U2096" t="str">
        <f t="shared" si="470"/>
        <v>Corporal Mcternan St</v>
      </c>
      <c r="W2096" t="str">
        <f t="shared" si="471"/>
        <v/>
      </c>
      <c r="X2096" t="str">
        <f>IF(ISBLANK(S2096),"Intersection","Non-Intersection")</f>
        <v>Non-Intersection</v>
      </c>
      <c r="Y2096" t="s">
        <v>3140</v>
      </c>
      <c r="Z2096" t="str">
        <f t="shared" si="472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473"/>
        <v>40544</v>
      </c>
      <c r="D2097" s="4">
        <f t="shared" si="474"/>
        <v>0.32054794520547947</v>
      </c>
      <c r="E2097" s="3">
        <f t="shared" si="475"/>
        <v>2011</v>
      </c>
      <c r="F2097" s="3">
        <f t="shared" si="476"/>
        <v>4</v>
      </c>
      <c r="G2097" s="3">
        <f t="shared" si="477"/>
        <v>28</v>
      </c>
      <c r="H2097" s="3">
        <f t="shared" si="478"/>
        <v>20</v>
      </c>
      <c r="I2097" s="3">
        <f t="shared" si="479"/>
        <v>0</v>
      </c>
      <c r="J2097" s="3">
        <f t="shared" si="480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481"/>
        <v>YES</v>
      </c>
      <c r="Q2097" t="str">
        <f t="shared" si="482"/>
        <v>NO</v>
      </c>
      <c r="R2097" t="str">
        <f t="shared" si="483"/>
        <v>NO</v>
      </c>
      <c r="T2097" t="s">
        <v>14</v>
      </c>
      <c r="U2097" t="str">
        <f t="shared" si="470"/>
        <v>Massachusetts Ave</v>
      </c>
      <c r="V2097" t="s">
        <v>354</v>
      </c>
      <c r="W2097" t="str">
        <f t="shared" si="471"/>
        <v>Linnaean St</v>
      </c>
      <c r="X2097" t="str">
        <f>IF(ISBLANK(S2097),"Intersection","Non-Intersection")</f>
        <v>Intersection</v>
      </c>
      <c r="Y2097" t="s">
        <v>1234</v>
      </c>
      <c r="Z2097" t="str">
        <f t="shared" si="472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473"/>
        <v>40544</v>
      </c>
      <c r="D2098" s="4">
        <f t="shared" si="474"/>
        <v>0.32054794520547947</v>
      </c>
      <c r="E2098" s="3">
        <f t="shared" si="475"/>
        <v>2011</v>
      </c>
      <c r="F2098" s="3">
        <f t="shared" si="476"/>
        <v>4</v>
      </c>
      <c r="G2098" s="3">
        <f t="shared" si="477"/>
        <v>28</v>
      </c>
      <c r="H2098" s="3">
        <f t="shared" si="478"/>
        <v>18</v>
      </c>
      <c r="I2098" s="3">
        <f t="shared" si="479"/>
        <v>59</v>
      </c>
      <c r="J2098" s="3">
        <f t="shared" si="480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481"/>
        <v>YES</v>
      </c>
      <c r="Q2098" t="str">
        <f t="shared" si="482"/>
        <v>NO</v>
      </c>
      <c r="R2098" t="str">
        <f t="shared" si="483"/>
        <v>NO</v>
      </c>
      <c r="S2098">
        <v>413</v>
      </c>
      <c r="T2098" t="s">
        <v>216</v>
      </c>
      <c r="U2098" t="str">
        <f t="shared" si="470"/>
        <v>Washington Ave</v>
      </c>
      <c r="W2098" t="str">
        <f t="shared" si="471"/>
        <v/>
      </c>
      <c r="X2098" t="str">
        <f>IF(ISBLANK(S2098),"Intersection","Non-Intersection")</f>
        <v>Non-Intersection</v>
      </c>
      <c r="Y2098" t="s">
        <v>3142</v>
      </c>
      <c r="Z2098" t="str">
        <f t="shared" si="472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473"/>
        <v>40544</v>
      </c>
      <c r="D2099" s="4">
        <f t="shared" si="474"/>
        <v>0.32328767123287672</v>
      </c>
      <c r="E2099" s="3">
        <f t="shared" si="475"/>
        <v>2011</v>
      </c>
      <c r="F2099" s="3">
        <f t="shared" si="476"/>
        <v>4</v>
      </c>
      <c r="G2099" s="3">
        <f t="shared" si="477"/>
        <v>29</v>
      </c>
      <c r="H2099" s="3">
        <f t="shared" si="478"/>
        <v>8</v>
      </c>
      <c r="I2099" s="3">
        <f t="shared" si="479"/>
        <v>0</v>
      </c>
      <c r="J2099" s="3">
        <f t="shared" si="480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481"/>
        <v>YES</v>
      </c>
      <c r="Q2099" t="str">
        <f t="shared" si="482"/>
        <v>NO</v>
      </c>
      <c r="R2099" t="str">
        <f t="shared" si="483"/>
        <v>NO</v>
      </c>
      <c r="T2099" t="s">
        <v>14</v>
      </c>
      <c r="U2099" t="str">
        <f t="shared" si="470"/>
        <v>Massachusetts Ave</v>
      </c>
      <c r="V2099" t="s">
        <v>1095</v>
      </c>
      <c r="W2099" t="str">
        <f t="shared" si="471"/>
        <v>Churchill Ave</v>
      </c>
      <c r="X2099" t="str">
        <f>IF(ISBLANK(S2099),"Intersection","Non-Intersection")</f>
        <v>Intersection</v>
      </c>
      <c r="Y2099" t="s">
        <v>2671</v>
      </c>
      <c r="Z2099" t="str">
        <f t="shared" si="472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473"/>
        <v>40544</v>
      </c>
      <c r="D2100" s="4">
        <f t="shared" si="474"/>
        <v>0.32328767123287672</v>
      </c>
      <c r="E2100" s="3">
        <f t="shared" si="475"/>
        <v>2011</v>
      </c>
      <c r="F2100" s="3">
        <f t="shared" si="476"/>
        <v>4</v>
      </c>
      <c r="G2100" s="3">
        <f t="shared" si="477"/>
        <v>29</v>
      </c>
      <c r="H2100" s="3">
        <f t="shared" si="478"/>
        <v>8</v>
      </c>
      <c r="I2100" s="3">
        <f t="shared" si="479"/>
        <v>22</v>
      </c>
      <c r="J2100" s="3">
        <f t="shared" si="480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481"/>
        <v>YES</v>
      </c>
      <c r="Q2100" t="str">
        <f t="shared" si="482"/>
        <v>YES</v>
      </c>
      <c r="R2100" t="str">
        <f t="shared" si="483"/>
        <v>NO</v>
      </c>
      <c r="S2100">
        <v>625</v>
      </c>
      <c r="T2100" t="s">
        <v>198</v>
      </c>
      <c r="U2100" t="str">
        <f t="shared" si="470"/>
        <v>Mount Auburn St</v>
      </c>
      <c r="W2100" t="str">
        <f t="shared" si="471"/>
        <v/>
      </c>
      <c r="X2100" t="str">
        <f>IF(ISBLANK(S2100),"Intersection","Non-Intersection")</f>
        <v>Non-Intersection</v>
      </c>
      <c r="Y2100" t="s">
        <v>2427</v>
      </c>
      <c r="Z2100" t="str">
        <f t="shared" si="472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473"/>
        <v>40544</v>
      </c>
      <c r="D2101" s="4">
        <f t="shared" si="474"/>
        <v>0.32328767123287672</v>
      </c>
      <c r="E2101" s="3">
        <f t="shared" si="475"/>
        <v>2011</v>
      </c>
      <c r="F2101" s="3">
        <f t="shared" si="476"/>
        <v>4</v>
      </c>
      <c r="G2101" s="3">
        <f t="shared" si="477"/>
        <v>29</v>
      </c>
      <c r="H2101" s="3">
        <f t="shared" si="478"/>
        <v>7</v>
      </c>
      <c r="I2101" s="3">
        <f t="shared" si="479"/>
        <v>30</v>
      </c>
      <c r="J2101" s="3">
        <f t="shared" si="480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481"/>
        <v>YES</v>
      </c>
      <c r="Q2101" t="str">
        <f t="shared" si="482"/>
        <v>NO</v>
      </c>
      <c r="R2101" t="str">
        <f t="shared" si="483"/>
        <v>NO</v>
      </c>
      <c r="T2101" t="s">
        <v>104</v>
      </c>
      <c r="U2101" t="str">
        <f t="shared" si="470"/>
        <v>Inman St</v>
      </c>
      <c r="V2101" t="s">
        <v>74</v>
      </c>
      <c r="W2101" t="str">
        <f t="shared" si="471"/>
        <v>Hampshire St</v>
      </c>
      <c r="X2101" t="str">
        <f>IF(ISBLANK(S2101),"Intersection","Non-Intersection")</f>
        <v>Intersection</v>
      </c>
      <c r="Y2101" t="s">
        <v>3144</v>
      </c>
      <c r="Z2101" t="str">
        <f t="shared" si="472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473"/>
        <v>40544</v>
      </c>
      <c r="D2102" s="4">
        <f t="shared" si="474"/>
        <v>0.32602739726027397</v>
      </c>
      <c r="E2102" s="3">
        <f t="shared" si="475"/>
        <v>2011</v>
      </c>
      <c r="F2102" s="3">
        <f t="shared" si="476"/>
        <v>4</v>
      </c>
      <c r="G2102" s="3">
        <f t="shared" si="477"/>
        <v>30</v>
      </c>
      <c r="H2102" s="3">
        <f t="shared" si="478"/>
        <v>9</v>
      </c>
      <c r="I2102" s="3">
        <f t="shared" si="479"/>
        <v>0</v>
      </c>
      <c r="J2102" s="3">
        <f t="shared" si="480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481"/>
        <v>YES</v>
      </c>
      <c r="Q2102" t="str">
        <f t="shared" si="482"/>
        <v>NO</v>
      </c>
      <c r="R2102" t="str">
        <f t="shared" si="483"/>
        <v>YES</v>
      </c>
      <c r="S2102">
        <v>189</v>
      </c>
      <c r="T2102" t="s">
        <v>550</v>
      </c>
      <c r="U2102" t="str">
        <f t="shared" si="470"/>
        <v>Upland Rd</v>
      </c>
      <c r="W2102" t="str">
        <f t="shared" si="471"/>
        <v/>
      </c>
      <c r="X2102" t="str">
        <f>IF(ISBLANK(S2102),"Intersection","Non-Intersection")</f>
        <v>Non-Intersection</v>
      </c>
      <c r="Y2102" t="s">
        <v>3146</v>
      </c>
      <c r="Z2102" t="str">
        <f t="shared" si="472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473"/>
        <v>40544</v>
      </c>
      <c r="D2103" s="4">
        <f t="shared" si="474"/>
        <v>0.32602739726027397</v>
      </c>
      <c r="E2103" s="3">
        <f t="shared" si="475"/>
        <v>2011</v>
      </c>
      <c r="F2103" s="3">
        <f t="shared" si="476"/>
        <v>4</v>
      </c>
      <c r="G2103" s="3">
        <f t="shared" si="477"/>
        <v>30</v>
      </c>
      <c r="H2103" s="3">
        <f t="shared" si="478"/>
        <v>23</v>
      </c>
      <c r="I2103" s="3">
        <f t="shared" si="479"/>
        <v>49</v>
      </c>
      <c r="J2103" s="3">
        <f t="shared" si="480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481"/>
        <v>YES</v>
      </c>
      <c r="Q2103" t="str">
        <f t="shared" si="482"/>
        <v>YES</v>
      </c>
      <c r="R2103" t="str">
        <f t="shared" si="483"/>
        <v>NO</v>
      </c>
      <c r="S2103">
        <v>204</v>
      </c>
      <c r="T2103" t="s">
        <v>74</v>
      </c>
      <c r="U2103" t="str">
        <f t="shared" si="470"/>
        <v>Hampshire St</v>
      </c>
      <c r="W2103" t="str">
        <f t="shared" si="471"/>
        <v/>
      </c>
      <c r="X2103" t="str">
        <f>IF(ISBLANK(S2103),"Intersection","Non-Intersection")</f>
        <v>Non-Intersection</v>
      </c>
      <c r="Y2103" t="s">
        <v>3148</v>
      </c>
      <c r="Z2103" t="str">
        <f t="shared" si="472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473"/>
        <v>40544</v>
      </c>
      <c r="D2104" s="4">
        <f t="shared" si="474"/>
        <v>0.32602739726027397</v>
      </c>
      <c r="E2104" s="3">
        <f t="shared" si="475"/>
        <v>2011</v>
      </c>
      <c r="F2104" s="3">
        <f t="shared" si="476"/>
        <v>4</v>
      </c>
      <c r="G2104" s="3">
        <f t="shared" si="477"/>
        <v>30</v>
      </c>
      <c r="H2104" s="3">
        <f t="shared" si="478"/>
        <v>19</v>
      </c>
      <c r="I2104" s="3">
        <f t="shared" si="479"/>
        <v>15</v>
      </c>
      <c r="J2104" s="3">
        <f t="shared" si="480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481"/>
        <v>YES</v>
      </c>
      <c r="Q2104" t="str">
        <f t="shared" si="482"/>
        <v>NO</v>
      </c>
      <c r="R2104" t="str">
        <f t="shared" si="483"/>
        <v>NO</v>
      </c>
      <c r="T2104" t="s">
        <v>14</v>
      </c>
      <c r="U2104" t="str">
        <f t="shared" si="470"/>
        <v>Massachusetts Ave</v>
      </c>
      <c r="V2104" t="s">
        <v>1032</v>
      </c>
      <c r="W2104" t="str">
        <f t="shared" si="471"/>
        <v>Meacham Rd</v>
      </c>
      <c r="X2104" t="str">
        <f>IF(ISBLANK(S2104),"Intersection","Non-Intersection")</f>
        <v>Intersection</v>
      </c>
      <c r="Y2104" t="s">
        <v>1033</v>
      </c>
      <c r="Z2104" t="str">
        <f t="shared" si="472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473"/>
        <v>40544</v>
      </c>
      <c r="D2105" s="4">
        <f t="shared" si="474"/>
        <v>0.32602739726027397</v>
      </c>
      <c r="E2105" s="3">
        <f t="shared" si="475"/>
        <v>2011</v>
      </c>
      <c r="F2105" s="3">
        <f t="shared" si="476"/>
        <v>4</v>
      </c>
      <c r="G2105" s="3">
        <f t="shared" si="477"/>
        <v>30</v>
      </c>
      <c r="H2105" s="3">
        <f t="shared" si="478"/>
        <v>17</v>
      </c>
      <c r="I2105" s="3">
        <f t="shared" si="479"/>
        <v>0</v>
      </c>
      <c r="J2105" s="3">
        <f t="shared" si="480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481"/>
        <v>YES</v>
      </c>
      <c r="Q2105" t="str">
        <f t="shared" si="482"/>
        <v>NO</v>
      </c>
      <c r="R2105" t="str">
        <f t="shared" si="483"/>
        <v>NO</v>
      </c>
      <c r="S2105">
        <v>35</v>
      </c>
      <c r="T2105" t="s">
        <v>2532</v>
      </c>
      <c r="U2105" t="str">
        <f t="shared" si="470"/>
        <v>Ash St</v>
      </c>
      <c r="W2105" t="str">
        <f t="shared" si="471"/>
        <v/>
      </c>
      <c r="X2105" t="str">
        <f>IF(ISBLANK(S2105),"Intersection","Non-Intersection")</f>
        <v>Non-Intersection</v>
      </c>
      <c r="Y2105" t="s">
        <v>3150</v>
      </c>
      <c r="Z2105" t="str">
        <f t="shared" si="472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473"/>
        <v>40544</v>
      </c>
      <c r="D2106" s="4">
        <f t="shared" si="474"/>
        <v>0.32602739726027397</v>
      </c>
      <c r="E2106" s="3">
        <f t="shared" si="475"/>
        <v>2011</v>
      </c>
      <c r="F2106" s="3">
        <f t="shared" si="476"/>
        <v>4</v>
      </c>
      <c r="G2106" s="3">
        <f t="shared" si="477"/>
        <v>30</v>
      </c>
      <c r="H2106" s="3">
        <f t="shared" si="478"/>
        <v>13</v>
      </c>
      <c r="I2106" s="3">
        <f t="shared" si="479"/>
        <v>30</v>
      </c>
      <c r="J2106" s="3">
        <f t="shared" si="480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481"/>
        <v>YES</v>
      </c>
      <c r="Q2106" t="str">
        <f t="shared" si="482"/>
        <v>NO</v>
      </c>
      <c r="R2106" t="str">
        <f t="shared" si="483"/>
        <v>YES</v>
      </c>
      <c r="S2106">
        <v>211</v>
      </c>
      <c r="T2106" t="s">
        <v>170</v>
      </c>
      <c r="U2106" t="str">
        <f t="shared" si="470"/>
        <v>Alewife Brook Pky</v>
      </c>
      <c r="W2106" t="str">
        <f t="shared" si="471"/>
        <v/>
      </c>
      <c r="X2106" t="str">
        <f>IF(ISBLANK(S2106),"Intersection","Non-Intersection")</f>
        <v>Non-Intersection</v>
      </c>
      <c r="Y2106" t="s">
        <v>1359</v>
      </c>
      <c r="Z2106" t="str">
        <f t="shared" si="472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473"/>
        <v>40544</v>
      </c>
      <c r="D2107" s="4">
        <f t="shared" si="474"/>
        <v>0.32876712328767121</v>
      </c>
      <c r="E2107" s="3">
        <f t="shared" si="475"/>
        <v>2011</v>
      </c>
      <c r="F2107" s="3">
        <f t="shared" si="476"/>
        <v>5</v>
      </c>
      <c r="G2107" s="3">
        <f t="shared" si="477"/>
        <v>1</v>
      </c>
      <c r="H2107" s="3">
        <f t="shared" si="478"/>
        <v>13</v>
      </c>
      <c r="I2107" s="3">
        <f t="shared" si="479"/>
        <v>15</v>
      </c>
      <c r="J2107" s="3">
        <f t="shared" si="480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481"/>
        <v>YES</v>
      </c>
      <c r="Q2107" t="str">
        <f t="shared" si="482"/>
        <v>NO</v>
      </c>
      <c r="R2107" t="str">
        <f t="shared" si="483"/>
        <v>NO</v>
      </c>
      <c r="S2107">
        <v>700</v>
      </c>
      <c r="T2107" t="s">
        <v>186</v>
      </c>
      <c r="U2107" t="str">
        <f t="shared" si="470"/>
        <v>Concord Ave</v>
      </c>
      <c r="W2107" t="str">
        <f t="shared" si="471"/>
        <v/>
      </c>
      <c r="X2107" t="str">
        <f>IF(ISBLANK(S2107),"Intersection","Non-Intersection")</f>
        <v>Non-Intersection</v>
      </c>
      <c r="Y2107" t="s">
        <v>3152</v>
      </c>
      <c r="Z2107" t="str">
        <f t="shared" si="472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473"/>
        <v>40544</v>
      </c>
      <c r="D2108" s="4">
        <f t="shared" si="474"/>
        <v>0.32876712328767121</v>
      </c>
      <c r="E2108" s="3">
        <f t="shared" si="475"/>
        <v>2011</v>
      </c>
      <c r="F2108" s="3">
        <f t="shared" si="476"/>
        <v>5</v>
      </c>
      <c r="G2108" s="3">
        <f t="shared" si="477"/>
        <v>1</v>
      </c>
      <c r="H2108" s="3">
        <f t="shared" si="478"/>
        <v>14</v>
      </c>
      <c r="I2108" s="3">
        <f t="shared" si="479"/>
        <v>45</v>
      </c>
      <c r="J2108" s="3">
        <f t="shared" si="480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481"/>
        <v>YES</v>
      </c>
      <c r="Q2108" t="str">
        <f t="shared" si="482"/>
        <v>NO</v>
      </c>
      <c r="R2108" t="str">
        <f t="shared" si="483"/>
        <v>NO</v>
      </c>
      <c r="T2108" t="s">
        <v>105</v>
      </c>
      <c r="U2108" t="str">
        <f t="shared" si="470"/>
        <v>Broadway</v>
      </c>
      <c r="V2108" t="s">
        <v>498</v>
      </c>
      <c r="W2108" t="str">
        <f t="shared" si="471"/>
        <v>Ellery St</v>
      </c>
      <c r="X2108" t="str">
        <f>IF(ISBLANK(S2108),"Intersection","Non-Intersection")</f>
        <v>Intersection</v>
      </c>
      <c r="Y2108" t="s">
        <v>499</v>
      </c>
      <c r="Z2108" t="str">
        <f t="shared" si="472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473"/>
        <v>40544</v>
      </c>
      <c r="D2109" s="4">
        <f t="shared" si="474"/>
        <v>0.33150684931506852</v>
      </c>
      <c r="E2109" s="3">
        <f t="shared" si="475"/>
        <v>2011</v>
      </c>
      <c r="F2109" s="3">
        <f t="shared" si="476"/>
        <v>5</v>
      </c>
      <c r="G2109" s="3">
        <f t="shared" si="477"/>
        <v>2</v>
      </c>
      <c r="H2109" s="3">
        <f t="shared" si="478"/>
        <v>17</v>
      </c>
      <c r="I2109" s="3">
        <f t="shared" si="479"/>
        <v>19</v>
      </c>
      <c r="J2109" s="3">
        <f t="shared" si="480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481"/>
        <v>YES</v>
      </c>
      <c r="Q2109" t="str">
        <f t="shared" si="482"/>
        <v>YES</v>
      </c>
      <c r="R2109" t="str">
        <f t="shared" si="483"/>
        <v>NO</v>
      </c>
      <c r="T2109" t="s">
        <v>105</v>
      </c>
      <c r="U2109" t="str">
        <f t="shared" si="470"/>
        <v>Broadway</v>
      </c>
      <c r="V2109" t="s">
        <v>101</v>
      </c>
      <c r="W2109" t="str">
        <f t="shared" si="471"/>
        <v>Columbia St</v>
      </c>
      <c r="X2109" t="str">
        <f>IF(ISBLANK(S2109),"Intersection","Non-Intersection")</f>
        <v>Intersection</v>
      </c>
      <c r="Y2109" t="s">
        <v>1403</v>
      </c>
      <c r="Z2109" t="str">
        <f t="shared" si="472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473"/>
        <v>40544</v>
      </c>
      <c r="D2110" s="4">
        <f t="shared" si="474"/>
        <v>0.33150684931506852</v>
      </c>
      <c r="E2110" s="3">
        <f t="shared" si="475"/>
        <v>2011</v>
      </c>
      <c r="F2110" s="3">
        <f t="shared" si="476"/>
        <v>5</v>
      </c>
      <c r="G2110" s="3">
        <f t="shared" si="477"/>
        <v>2</v>
      </c>
      <c r="H2110" s="3">
        <f t="shared" si="478"/>
        <v>17</v>
      </c>
      <c r="I2110" s="3">
        <f t="shared" si="479"/>
        <v>28</v>
      </c>
      <c r="J2110" s="3">
        <f t="shared" si="480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481"/>
        <v>YES</v>
      </c>
      <c r="Q2110" t="str">
        <f t="shared" si="482"/>
        <v>NO</v>
      </c>
      <c r="R2110" t="str">
        <f t="shared" si="483"/>
        <v>NO</v>
      </c>
      <c r="T2110" t="s">
        <v>101</v>
      </c>
      <c r="U2110" t="str">
        <f t="shared" si="470"/>
        <v>Columbia St</v>
      </c>
      <c r="V2110" t="s">
        <v>105</v>
      </c>
      <c r="W2110" t="str">
        <f t="shared" si="471"/>
        <v>Broadway</v>
      </c>
      <c r="X2110" t="str">
        <f>IF(ISBLANK(S2110),"Intersection","Non-Intersection")</f>
        <v>Intersection</v>
      </c>
      <c r="Y2110" t="s">
        <v>2632</v>
      </c>
      <c r="Z2110" t="str">
        <f t="shared" si="472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473"/>
        <v>40544</v>
      </c>
      <c r="D2111" s="4">
        <f t="shared" si="474"/>
        <v>0.33150684931506852</v>
      </c>
      <c r="E2111" s="3">
        <f t="shared" si="475"/>
        <v>2011</v>
      </c>
      <c r="F2111" s="3">
        <f t="shared" si="476"/>
        <v>5</v>
      </c>
      <c r="G2111" s="3">
        <f t="shared" si="477"/>
        <v>2</v>
      </c>
      <c r="H2111" s="3">
        <f t="shared" si="478"/>
        <v>17</v>
      </c>
      <c r="I2111" s="3">
        <f t="shared" si="479"/>
        <v>0</v>
      </c>
      <c r="J2111" s="3">
        <f t="shared" si="480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481"/>
        <v>YES</v>
      </c>
      <c r="Q2111" t="str">
        <f t="shared" si="482"/>
        <v>NO</v>
      </c>
      <c r="R2111" t="str">
        <f t="shared" si="483"/>
        <v>NO</v>
      </c>
      <c r="S2111">
        <v>799</v>
      </c>
      <c r="T2111" t="s">
        <v>186</v>
      </c>
      <c r="U2111" t="str">
        <f t="shared" si="470"/>
        <v>Concord Ave</v>
      </c>
      <c r="W2111" t="str">
        <f t="shared" si="471"/>
        <v/>
      </c>
      <c r="X2111" t="str">
        <f>IF(ISBLANK(S2111),"Intersection","Non-Intersection")</f>
        <v>Non-Intersection</v>
      </c>
      <c r="Y2111" t="s">
        <v>482</v>
      </c>
      <c r="Z2111" t="str">
        <f t="shared" si="472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473"/>
        <v>40544</v>
      </c>
      <c r="D2112" s="4">
        <f t="shared" si="474"/>
        <v>0.33424657534246577</v>
      </c>
      <c r="E2112" s="3">
        <f t="shared" si="475"/>
        <v>2011</v>
      </c>
      <c r="F2112" s="3">
        <f t="shared" si="476"/>
        <v>5</v>
      </c>
      <c r="G2112" s="3">
        <f t="shared" si="477"/>
        <v>3</v>
      </c>
      <c r="H2112" s="3">
        <f t="shared" si="478"/>
        <v>10</v>
      </c>
      <c r="I2112" s="3">
        <f t="shared" si="479"/>
        <v>11</v>
      </c>
      <c r="J2112" s="3">
        <f t="shared" si="480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481"/>
        <v>YES</v>
      </c>
      <c r="Q2112" t="str">
        <f t="shared" si="482"/>
        <v>NO</v>
      </c>
      <c r="R2112" t="str">
        <f t="shared" si="483"/>
        <v>NO</v>
      </c>
      <c r="S2112" s="2">
        <v>42068</v>
      </c>
      <c r="T2112" t="s">
        <v>1520</v>
      </c>
      <c r="U2112" t="str">
        <f t="shared" si="470"/>
        <v>Fayette St</v>
      </c>
      <c r="W2112" t="str">
        <f t="shared" si="471"/>
        <v/>
      </c>
      <c r="X2112" t="str">
        <f>IF(ISBLANK(S2112),"Intersection","Non-Intersection")</f>
        <v>Non-Intersection</v>
      </c>
      <c r="Y2112" t="s">
        <v>3153</v>
      </c>
      <c r="Z2112" t="str">
        <f t="shared" si="472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473"/>
        <v>40544</v>
      </c>
      <c r="D2113" s="4">
        <f t="shared" si="474"/>
        <v>0.33424657534246577</v>
      </c>
      <c r="E2113" s="3">
        <f t="shared" si="475"/>
        <v>2011</v>
      </c>
      <c r="F2113" s="3">
        <f t="shared" si="476"/>
        <v>5</v>
      </c>
      <c r="G2113" s="3">
        <f t="shared" si="477"/>
        <v>3</v>
      </c>
      <c r="H2113" s="3">
        <f t="shared" si="478"/>
        <v>21</v>
      </c>
      <c r="I2113" s="3">
        <f t="shared" si="479"/>
        <v>59</v>
      </c>
      <c r="J2113" s="3">
        <f t="shared" si="480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481"/>
        <v>YES</v>
      </c>
      <c r="Q2113" t="str">
        <f t="shared" si="482"/>
        <v>NO</v>
      </c>
      <c r="R2113" t="str">
        <f t="shared" si="483"/>
        <v>NO</v>
      </c>
      <c r="T2113" t="s">
        <v>342</v>
      </c>
      <c r="U2113" t="str">
        <f t="shared" si="470"/>
        <v>Prospect St</v>
      </c>
      <c r="V2113" t="s">
        <v>316</v>
      </c>
      <c r="W2113" t="str">
        <f t="shared" si="471"/>
        <v>Bishop Allen Dr</v>
      </c>
      <c r="X2113" t="str">
        <f>IF(ISBLANK(S2113),"Intersection","Non-Intersection")</f>
        <v>Intersection</v>
      </c>
      <c r="Y2113" t="s">
        <v>2529</v>
      </c>
      <c r="Z2113" t="str">
        <f t="shared" si="472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473"/>
        <v>40544</v>
      </c>
      <c r="D2114" s="4">
        <f t="shared" si="474"/>
        <v>0.33698630136986302</v>
      </c>
      <c r="E2114" s="3">
        <f t="shared" si="475"/>
        <v>2011</v>
      </c>
      <c r="F2114" s="3">
        <f t="shared" si="476"/>
        <v>5</v>
      </c>
      <c r="G2114" s="3">
        <f t="shared" si="477"/>
        <v>4</v>
      </c>
      <c r="H2114" s="3">
        <f t="shared" si="478"/>
        <v>12</v>
      </c>
      <c r="I2114" s="3">
        <f t="shared" si="479"/>
        <v>0</v>
      </c>
      <c r="J2114" s="3">
        <f t="shared" si="480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481"/>
        <v>YES</v>
      </c>
      <c r="Q2114" t="str">
        <f t="shared" si="482"/>
        <v>NO</v>
      </c>
      <c r="R2114" t="str">
        <f t="shared" si="483"/>
        <v>NO</v>
      </c>
      <c r="S2114">
        <v>69</v>
      </c>
      <c r="T2114" t="s">
        <v>116</v>
      </c>
      <c r="U2114" t="str">
        <f t="shared" si="470"/>
        <v>Chestnut St</v>
      </c>
      <c r="W2114" t="str">
        <f t="shared" si="471"/>
        <v/>
      </c>
      <c r="X2114" t="str">
        <f>IF(ISBLANK(S2114),"Intersection","Non-Intersection")</f>
        <v>Non-Intersection</v>
      </c>
      <c r="Y2114" t="s">
        <v>3155</v>
      </c>
      <c r="Z2114" t="str">
        <f t="shared" si="472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473"/>
        <v>40544</v>
      </c>
      <c r="D2115" s="4">
        <f t="shared" si="474"/>
        <v>0.33698630136986302</v>
      </c>
      <c r="E2115" s="3">
        <f t="shared" si="475"/>
        <v>2011</v>
      </c>
      <c r="F2115" s="3">
        <f t="shared" si="476"/>
        <v>5</v>
      </c>
      <c r="G2115" s="3">
        <f t="shared" si="477"/>
        <v>4</v>
      </c>
      <c r="H2115" s="3">
        <f t="shared" si="478"/>
        <v>8</v>
      </c>
      <c r="I2115" s="3">
        <f t="shared" si="479"/>
        <v>30</v>
      </c>
      <c r="J2115" s="3">
        <f t="shared" si="480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481"/>
        <v>YES</v>
      </c>
      <c r="Q2115" t="str">
        <f t="shared" si="482"/>
        <v>NO</v>
      </c>
      <c r="R2115" t="str">
        <f t="shared" si="483"/>
        <v>NO</v>
      </c>
      <c r="T2115" t="s">
        <v>27</v>
      </c>
      <c r="U2115" t="str">
        <f t="shared" ref="U2115:U2178" si="484">TRIM(PROPER(T2115))</f>
        <v>Western Ave</v>
      </c>
      <c r="V2115" t="s">
        <v>42</v>
      </c>
      <c r="W2115" t="str">
        <f t="shared" ref="W2115:W2178" si="485">TRIM(PROPER(V2115))</f>
        <v>Putnam Ave</v>
      </c>
      <c r="X2115" t="str">
        <f>IF(ISBLANK(S2115),"Intersection","Non-Intersection")</f>
        <v>Intersection</v>
      </c>
      <c r="Y2115" t="s">
        <v>1022</v>
      </c>
      <c r="Z2115" t="str">
        <f t="shared" ref="Z2115:Z2178" si="486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473"/>
        <v>40544</v>
      </c>
      <c r="D2116" s="4">
        <f t="shared" si="474"/>
        <v>0.33698630136986302</v>
      </c>
      <c r="E2116" s="3">
        <f t="shared" si="475"/>
        <v>2011</v>
      </c>
      <c r="F2116" s="3">
        <f t="shared" si="476"/>
        <v>5</v>
      </c>
      <c r="G2116" s="3">
        <f t="shared" si="477"/>
        <v>4</v>
      </c>
      <c r="H2116" s="3">
        <f t="shared" si="478"/>
        <v>15</v>
      </c>
      <c r="I2116" s="3">
        <f t="shared" si="479"/>
        <v>59</v>
      </c>
      <c r="J2116" s="3">
        <f t="shared" si="480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481"/>
        <v>YES</v>
      </c>
      <c r="Q2116" t="str">
        <f t="shared" si="482"/>
        <v>NO</v>
      </c>
      <c r="R2116" t="str">
        <f t="shared" si="483"/>
        <v>NO</v>
      </c>
      <c r="S2116">
        <v>2535</v>
      </c>
      <c r="T2116" t="s">
        <v>14</v>
      </c>
      <c r="U2116" t="str">
        <f t="shared" si="484"/>
        <v>Massachusetts Ave</v>
      </c>
      <c r="W2116" t="str">
        <f t="shared" si="485"/>
        <v/>
      </c>
      <c r="X2116" t="str">
        <f>IF(ISBLANK(S2116),"Intersection","Non-Intersection")</f>
        <v>Non-Intersection</v>
      </c>
      <c r="Y2116" t="s">
        <v>3157</v>
      </c>
      <c r="Z2116" t="str">
        <f t="shared" si="486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473"/>
        <v>40544</v>
      </c>
      <c r="D2117" s="4">
        <f t="shared" si="474"/>
        <v>0.33698630136986302</v>
      </c>
      <c r="E2117" s="3">
        <f t="shared" si="475"/>
        <v>2011</v>
      </c>
      <c r="F2117" s="3">
        <f t="shared" si="476"/>
        <v>5</v>
      </c>
      <c r="G2117" s="3">
        <f t="shared" si="477"/>
        <v>4</v>
      </c>
      <c r="H2117" s="3">
        <f t="shared" si="478"/>
        <v>18</v>
      </c>
      <c r="I2117" s="3">
        <f t="shared" si="479"/>
        <v>20</v>
      </c>
      <c r="J2117" s="3">
        <f t="shared" si="480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481"/>
        <v>YES</v>
      </c>
      <c r="Q2117" t="str">
        <f t="shared" si="482"/>
        <v>NO</v>
      </c>
      <c r="R2117" t="str">
        <f t="shared" si="483"/>
        <v>NO</v>
      </c>
      <c r="T2117" t="s">
        <v>340</v>
      </c>
      <c r="U2117" t="str">
        <f t="shared" si="484"/>
        <v>Davenport St</v>
      </c>
      <c r="V2117" t="s">
        <v>14</v>
      </c>
      <c r="W2117" t="str">
        <f t="shared" si="485"/>
        <v>Massachusetts Ave</v>
      </c>
      <c r="X2117" t="str">
        <f>IF(ISBLANK(S2117),"Intersection","Non-Intersection")</f>
        <v>Intersection</v>
      </c>
      <c r="Y2117" t="s">
        <v>752</v>
      </c>
      <c r="Z2117" t="str">
        <f t="shared" si="486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473"/>
        <v>40544</v>
      </c>
      <c r="D2118" s="4">
        <f t="shared" si="474"/>
        <v>0.33972602739726027</v>
      </c>
      <c r="E2118" s="3">
        <f t="shared" si="475"/>
        <v>2011</v>
      </c>
      <c r="F2118" s="3">
        <f t="shared" si="476"/>
        <v>5</v>
      </c>
      <c r="G2118" s="3">
        <f t="shared" si="477"/>
        <v>5</v>
      </c>
      <c r="H2118" s="3">
        <f t="shared" si="478"/>
        <v>7</v>
      </c>
      <c r="I2118" s="3">
        <f t="shared" si="479"/>
        <v>25</v>
      </c>
      <c r="J2118" s="3">
        <f t="shared" si="480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481"/>
        <v>YES</v>
      </c>
      <c r="Q2118" t="str">
        <f t="shared" si="482"/>
        <v>NO</v>
      </c>
      <c r="R2118" t="str">
        <f t="shared" si="483"/>
        <v>NO</v>
      </c>
      <c r="T2118" t="s">
        <v>185</v>
      </c>
      <c r="U2118" t="str">
        <f t="shared" si="484"/>
        <v>Garden St</v>
      </c>
      <c r="V2118" t="s">
        <v>14</v>
      </c>
      <c r="W2118" t="str">
        <f t="shared" si="485"/>
        <v>Massachusetts Ave</v>
      </c>
      <c r="X2118" t="str">
        <f>IF(ISBLANK(S2118),"Intersection","Non-Intersection")</f>
        <v>Intersection</v>
      </c>
      <c r="Y2118" t="s">
        <v>1003</v>
      </c>
      <c r="Z2118" t="str">
        <f t="shared" si="486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473"/>
        <v>40544</v>
      </c>
      <c r="D2119" s="4">
        <f t="shared" si="474"/>
        <v>0.33972602739726027</v>
      </c>
      <c r="E2119" s="3">
        <f t="shared" si="475"/>
        <v>2011</v>
      </c>
      <c r="F2119" s="3">
        <f t="shared" si="476"/>
        <v>5</v>
      </c>
      <c r="G2119" s="3">
        <f t="shared" si="477"/>
        <v>5</v>
      </c>
      <c r="H2119" s="3">
        <f t="shared" si="478"/>
        <v>11</v>
      </c>
      <c r="I2119" s="3">
        <f t="shared" si="479"/>
        <v>29</v>
      </c>
      <c r="J2119" s="3">
        <f t="shared" si="480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481"/>
        <v>YES</v>
      </c>
      <c r="Q2119" t="str">
        <f t="shared" si="482"/>
        <v>YES</v>
      </c>
      <c r="R2119" t="str">
        <f t="shared" si="483"/>
        <v>NO</v>
      </c>
      <c r="T2119" t="s">
        <v>105</v>
      </c>
      <c r="U2119" t="str">
        <f t="shared" si="484"/>
        <v>Broadway</v>
      </c>
      <c r="V2119" t="s">
        <v>498</v>
      </c>
      <c r="W2119" t="str">
        <f t="shared" si="485"/>
        <v>Ellery St</v>
      </c>
      <c r="X2119" t="str">
        <f>IF(ISBLANK(S2119),"Intersection","Non-Intersection")</f>
        <v>Intersection</v>
      </c>
      <c r="Y2119" t="s">
        <v>499</v>
      </c>
      <c r="Z2119" t="str">
        <f t="shared" si="486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473"/>
        <v>40544</v>
      </c>
      <c r="D2120" s="4">
        <f t="shared" si="474"/>
        <v>0.33972602739726027</v>
      </c>
      <c r="E2120" s="3">
        <f t="shared" si="475"/>
        <v>2011</v>
      </c>
      <c r="F2120" s="3">
        <f t="shared" si="476"/>
        <v>5</v>
      </c>
      <c r="G2120" s="3">
        <f t="shared" si="477"/>
        <v>5</v>
      </c>
      <c r="H2120" s="3">
        <f t="shared" si="478"/>
        <v>16</v>
      </c>
      <c r="I2120" s="3">
        <f t="shared" si="479"/>
        <v>9</v>
      </c>
      <c r="J2120" s="3">
        <f t="shared" si="480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481"/>
        <v>YES</v>
      </c>
      <c r="Q2120" t="str">
        <f t="shared" si="482"/>
        <v>NO</v>
      </c>
      <c r="R2120" t="str">
        <f t="shared" si="483"/>
        <v>NO</v>
      </c>
      <c r="T2120" t="s">
        <v>19</v>
      </c>
      <c r="U2120" t="str">
        <f t="shared" si="484"/>
        <v>Cambridge St</v>
      </c>
      <c r="V2120" t="s">
        <v>189</v>
      </c>
      <c r="W2120" t="str">
        <f t="shared" si="485"/>
        <v>Windsor St</v>
      </c>
      <c r="X2120" t="str">
        <f>IF(ISBLANK(S2120),"Intersection","Non-Intersection")</f>
        <v>Intersection</v>
      </c>
      <c r="Y2120" t="s">
        <v>244</v>
      </c>
      <c r="Z2120" t="str">
        <f t="shared" si="486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473"/>
        <v>40544</v>
      </c>
      <c r="D2121" s="4">
        <f t="shared" si="474"/>
        <v>0.33972602739726027</v>
      </c>
      <c r="E2121" s="3">
        <f t="shared" si="475"/>
        <v>2011</v>
      </c>
      <c r="F2121" s="3">
        <f t="shared" si="476"/>
        <v>5</v>
      </c>
      <c r="G2121" s="3">
        <f t="shared" si="477"/>
        <v>5</v>
      </c>
      <c r="H2121" s="3">
        <f t="shared" si="478"/>
        <v>19</v>
      </c>
      <c r="I2121" s="3">
        <f t="shared" si="479"/>
        <v>5</v>
      </c>
      <c r="J2121" s="3">
        <f t="shared" si="480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481"/>
        <v>YES</v>
      </c>
      <c r="Q2121" t="str">
        <f t="shared" si="482"/>
        <v>NO</v>
      </c>
      <c r="R2121" t="str">
        <f t="shared" si="483"/>
        <v>NO</v>
      </c>
      <c r="T2121" t="s">
        <v>19</v>
      </c>
      <c r="U2121" t="str">
        <f t="shared" si="484"/>
        <v>Cambridge St</v>
      </c>
      <c r="V2121" t="s">
        <v>74</v>
      </c>
      <c r="W2121" t="str">
        <f t="shared" si="485"/>
        <v>Hampshire St</v>
      </c>
      <c r="X2121" t="str">
        <f>IF(ISBLANK(S2121),"Intersection","Non-Intersection")</f>
        <v>Intersection</v>
      </c>
      <c r="Y2121" t="s">
        <v>111</v>
      </c>
      <c r="Z2121" t="str">
        <f t="shared" si="486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473"/>
        <v>40544</v>
      </c>
      <c r="D2122" s="4">
        <f t="shared" si="474"/>
        <v>0.33972602739726027</v>
      </c>
      <c r="E2122" s="3">
        <f t="shared" si="475"/>
        <v>2011</v>
      </c>
      <c r="F2122" s="3">
        <f t="shared" si="476"/>
        <v>5</v>
      </c>
      <c r="G2122" s="3">
        <f t="shared" si="477"/>
        <v>5</v>
      </c>
      <c r="H2122" s="3">
        <f t="shared" si="478"/>
        <v>14</v>
      </c>
      <c r="I2122" s="3">
        <f t="shared" si="479"/>
        <v>45</v>
      </c>
      <c r="J2122" s="3">
        <f t="shared" si="480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481"/>
        <v>YES</v>
      </c>
      <c r="Q2122" t="str">
        <f t="shared" si="482"/>
        <v>NO</v>
      </c>
      <c r="R2122" t="str">
        <f t="shared" si="483"/>
        <v>NO</v>
      </c>
      <c r="T2122" t="s">
        <v>14</v>
      </c>
      <c r="U2122" t="str">
        <f t="shared" si="484"/>
        <v>Massachusetts Ave</v>
      </c>
      <c r="V2122" t="s">
        <v>1032</v>
      </c>
      <c r="W2122" t="str">
        <f t="shared" si="485"/>
        <v>Meacham Rd</v>
      </c>
      <c r="X2122" t="str">
        <f>IF(ISBLANK(S2122),"Intersection","Non-Intersection")</f>
        <v>Intersection</v>
      </c>
      <c r="Y2122" t="s">
        <v>1033</v>
      </c>
      <c r="Z2122" t="str">
        <f t="shared" si="486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473"/>
        <v>40544</v>
      </c>
      <c r="D2123" s="4">
        <f t="shared" si="474"/>
        <v>0.33972602739726027</v>
      </c>
      <c r="E2123" s="3">
        <f t="shared" si="475"/>
        <v>2011</v>
      </c>
      <c r="F2123" s="3">
        <f t="shared" si="476"/>
        <v>5</v>
      </c>
      <c r="G2123" s="3">
        <f t="shared" si="477"/>
        <v>5</v>
      </c>
      <c r="H2123" s="3">
        <f t="shared" si="478"/>
        <v>18</v>
      </c>
      <c r="I2123" s="3">
        <f t="shared" si="479"/>
        <v>45</v>
      </c>
      <c r="J2123" s="3">
        <f t="shared" si="480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481"/>
        <v>YES</v>
      </c>
      <c r="Q2123" t="str">
        <f t="shared" si="482"/>
        <v>NO</v>
      </c>
      <c r="R2123" t="str">
        <f t="shared" si="483"/>
        <v>NO</v>
      </c>
      <c r="S2123">
        <v>330</v>
      </c>
      <c r="T2123" t="s">
        <v>41</v>
      </c>
      <c r="U2123" t="str">
        <f t="shared" si="484"/>
        <v>River St</v>
      </c>
      <c r="W2123" t="str">
        <f t="shared" si="485"/>
        <v/>
      </c>
      <c r="X2123" t="str">
        <f>IF(ISBLANK(S2123),"Intersection","Non-Intersection")</f>
        <v>Non-Intersection</v>
      </c>
      <c r="Y2123" t="s">
        <v>1098</v>
      </c>
      <c r="Z2123" t="str">
        <f t="shared" si="486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473"/>
        <v>40544</v>
      </c>
      <c r="D2124" s="4">
        <f t="shared" si="474"/>
        <v>0.34246575342465752</v>
      </c>
      <c r="E2124" s="3">
        <f t="shared" si="475"/>
        <v>2011</v>
      </c>
      <c r="F2124" s="3">
        <f t="shared" si="476"/>
        <v>5</v>
      </c>
      <c r="G2124" s="3">
        <f t="shared" si="477"/>
        <v>6</v>
      </c>
      <c r="H2124" s="3">
        <f t="shared" si="478"/>
        <v>8</v>
      </c>
      <c r="I2124" s="3">
        <f t="shared" si="479"/>
        <v>0</v>
      </c>
      <c r="J2124" s="3">
        <f t="shared" si="480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481"/>
        <v>YES</v>
      </c>
      <c r="Q2124" t="str">
        <f t="shared" si="482"/>
        <v>NO</v>
      </c>
      <c r="R2124" t="str">
        <f t="shared" si="483"/>
        <v>YES</v>
      </c>
      <c r="T2124" t="s">
        <v>464</v>
      </c>
      <c r="U2124" t="str">
        <f t="shared" si="484"/>
        <v>Aberdeen Way</v>
      </c>
      <c r="V2124" t="s">
        <v>198</v>
      </c>
      <c r="W2124" t="str">
        <f t="shared" si="485"/>
        <v>Mount Auburn St</v>
      </c>
      <c r="X2124" t="str">
        <f>IF(ISBLANK(S2124),"Intersection","Non-Intersection")</f>
        <v>Intersection</v>
      </c>
      <c r="Y2124" t="s">
        <v>3159</v>
      </c>
      <c r="Z2124" t="str">
        <f t="shared" si="486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473"/>
        <v>40544</v>
      </c>
      <c r="D2125" s="4">
        <f t="shared" si="474"/>
        <v>0.34246575342465752</v>
      </c>
      <c r="E2125" s="3">
        <f t="shared" si="475"/>
        <v>2011</v>
      </c>
      <c r="F2125" s="3">
        <f t="shared" si="476"/>
        <v>5</v>
      </c>
      <c r="G2125" s="3">
        <f t="shared" si="477"/>
        <v>6</v>
      </c>
      <c r="H2125" s="3">
        <f t="shared" si="478"/>
        <v>13</v>
      </c>
      <c r="I2125" s="3">
        <f t="shared" si="479"/>
        <v>44</v>
      </c>
      <c r="J2125" s="3">
        <f t="shared" si="480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481"/>
        <v>YES</v>
      </c>
      <c r="Q2125" t="str">
        <f t="shared" si="482"/>
        <v>NO</v>
      </c>
      <c r="R2125" t="str">
        <f t="shared" si="483"/>
        <v>NO</v>
      </c>
      <c r="U2125" t="str">
        <f t="shared" si="484"/>
        <v/>
      </c>
      <c r="W2125" t="str">
        <f t="shared" si="485"/>
        <v/>
      </c>
      <c r="X2125" t="str">
        <f>IF(ISBLANK(S2125),"Intersection","Non-Intersection")</f>
        <v>Intersection</v>
      </c>
      <c r="Y2125" t="s">
        <v>717</v>
      </c>
      <c r="Z2125" t="str">
        <f t="shared" si="486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473"/>
        <v>40544</v>
      </c>
      <c r="D2126" s="4">
        <f t="shared" si="474"/>
        <v>0.34246575342465752</v>
      </c>
      <c r="E2126" s="3">
        <f t="shared" si="475"/>
        <v>2011</v>
      </c>
      <c r="F2126" s="3">
        <f t="shared" si="476"/>
        <v>5</v>
      </c>
      <c r="G2126" s="3">
        <f t="shared" si="477"/>
        <v>6</v>
      </c>
      <c r="H2126" s="3">
        <f t="shared" si="478"/>
        <v>9</v>
      </c>
      <c r="I2126" s="3">
        <f t="shared" si="479"/>
        <v>0</v>
      </c>
      <c r="J2126" s="3">
        <f t="shared" si="480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481"/>
        <v>YES</v>
      </c>
      <c r="Q2126" t="str">
        <f t="shared" si="482"/>
        <v>NO</v>
      </c>
      <c r="R2126" t="str">
        <f t="shared" si="483"/>
        <v>YES</v>
      </c>
      <c r="T2126" t="s">
        <v>189</v>
      </c>
      <c r="U2126" t="str">
        <f t="shared" si="484"/>
        <v>Windsor St</v>
      </c>
      <c r="V2126" t="s">
        <v>105</v>
      </c>
      <c r="W2126" t="str">
        <f t="shared" si="485"/>
        <v>Broadway</v>
      </c>
      <c r="X2126" t="str">
        <f>IF(ISBLANK(S2126),"Intersection","Non-Intersection")</f>
        <v>Intersection</v>
      </c>
      <c r="Y2126" t="s">
        <v>877</v>
      </c>
      <c r="Z2126" t="str">
        <f t="shared" si="486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473"/>
        <v>40544</v>
      </c>
      <c r="D2127" s="4">
        <f t="shared" si="474"/>
        <v>0.34246575342465752</v>
      </c>
      <c r="E2127" s="3">
        <f t="shared" si="475"/>
        <v>2011</v>
      </c>
      <c r="F2127" s="3">
        <f t="shared" si="476"/>
        <v>5</v>
      </c>
      <c r="G2127" s="3">
        <f t="shared" si="477"/>
        <v>6</v>
      </c>
      <c r="H2127" s="3">
        <f t="shared" si="478"/>
        <v>9</v>
      </c>
      <c r="I2127" s="3">
        <f t="shared" si="479"/>
        <v>40</v>
      </c>
      <c r="J2127" s="3">
        <f t="shared" si="480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481"/>
        <v>YES</v>
      </c>
      <c r="Q2127" t="str">
        <f t="shared" si="482"/>
        <v>NO</v>
      </c>
      <c r="R2127" t="str">
        <f t="shared" si="483"/>
        <v>NO</v>
      </c>
      <c r="T2127" t="s">
        <v>15</v>
      </c>
      <c r="U2127" t="str">
        <f t="shared" si="484"/>
        <v>Rindge Ave</v>
      </c>
      <c r="V2127" t="s">
        <v>864</v>
      </c>
      <c r="W2127" t="str">
        <f t="shared" si="485"/>
        <v>Middlesex St</v>
      </c>
      <c r="X2127" t="str">
        <f>IF(ISBLANK(S2127),"Intersection","Non-Intersection")</f>
        <v>Intersection</v>
      </c>
      <c r="Y2127" t="s">
        <v>1584</v>
      </c>
      <c r="Z2127" t="str">
        <f t="shared" si="486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473"/>
        <v>40544</v>
      </c>
      <c r="D2128" s="4">
        <f t="shared" si="474"/>
        <v>0.34520547945205482</v>
      </c>
      <c r="E2128" s="3">
        <f t="shared" si="475"/>
        <v>2011</v>
      </c>
      <c r="F2128" s="3">
        <f t="shared" si="476"/>
        <v>5</v>
      </c>
      <c r="G2128" s="3">
        <f t="shared" si="477"/>
        <v>7</v>
      </c>
      <c r="H2128" s="3">
        <f t="shared" si="478"/>
        <v>15</v>
      </c>
      <c r="I2128" s="3">
        <f t="shared" si="479"/>
        <v>59</v>
      </c>
      <c r="J2128" s="3">
        <f t="shared" si="480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481"/>
        <v>YES</v>
      </c>
      <c r="Q2128" t="str">
        <f t="shared" si="482"/>
        <v>YES</v>
      </c>
      <c r="R2128" t="str">
        <f t="shared" si="483"/>
        <v>NO</v>
      </c>
      <c r="T2128" t="s">
        <v>14</v>
      </c>
      <c r="U2128" t="str">
        <f t="shared" si="484"/>
        <v>Massachusetts Ave</v>
      </c>
      <c r="V2128" t="s">
        <v>302</v>
      </c>
      <c r="W2128" t="str">
        <f t="shared" si="485"/>
        <v>Waterhouse St</v>
      </c>
      <c r="X2128" t="str">
        <f>IF(ISBLANK(S2128),"Intersection","Non-Intersection")</f>
        <v>Intersection</v>
      </c>
      <c r="Y2128" t="s">
        <v>303</v>
      </c>
      <c r="Z2128" t="str">
        <f t="shared" si="486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473"/>
        <v>40544</v>
      </c>
      <c r="D2129" s="4">
        <f t="shared" si="474"/>
        <v>0.34520547945205482</v>
      </c>
      <c r="E2129" s="3">
        <f t="shared" si="475"/>
        <v>2011</v>
      </c>
      <c r="F2129" s="3">
        <f t="shared" si="476"/>
        <v>5</v>
      </c>
      <c r="G2129" s="3">
        <f t="shared" si="477"/>
        <v>7</v>
      </c>
      <c r="H2129" s="3">
        <f t="shared" si="478"/>
        <v>6</v>
      </c>
      <c r="I2129" s="3">
        <f t="shared" si="479"/>
        <v>49</v>
      </c>
      <c r="J2129" s="3">
        <f t="shared" si="480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481"/>
        <v>YES</v>
      </c>
      <c r="Q2129" t="str">
        <f t="shared" si="482"/>
        <v>NO</v>
      </c>
      <c r="R2129" t="str">
        <f t="shared" si="483"/>
        <v>NO</v>
      </c>
      <c r="T2129" t="s">
        <v>70</v>
      </c>
      <c r="U2129" t="str">
        <f t="shared" si="484"/>
        <v>Pearl St</v>
      </c>
      <c r="V2129" t="s">
        <v>116</v>
      </c>
      <c r="W2129" t="str">
        <f t="shared" si="485"/>
        <v>Chestnut St</v>
      </c>
      <c r="X2129" t="str">
        <f>IF(ISBLANK(S2129),"Intersection","Non-Intersection")</f>
        <v>Intersection</v>
      </c>
      <c r="Y2129" t="s">
        <v>3160</v>
      </c>
      <c r="Z2129" t="str">
        <f t="shared" si="486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473"/>
        <v>40544</v>
      </c>
      <c r="D2130" s="4">
        <f t="shared" si="474"/>
        <v>0.34520547945205482</v>
      </c>
      <c r="E2130" s="3">
        <f t="shared" si="475"/>
        <v>2011</v>
      </c>
      <c r="F2130" s="3">
        <f t="shared" si="476"/>
        <v>5</v>
      </c>
      <c r="G2130" s="3">
        <f t="shared" si="477"/>
        <v>7</v>
      </c>
      <c r="H2130" s="3">
        <f t="shared" si="478"/>
        <v>11</v>
      </c>
      <c r="I2130" s="3">
        <f t="shared" si="479"/>
        <v>39</v>
      </c>
      <c r="J2130" s="3">
        <f t="shared" si="480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481"/>
        <v>YES</v>
      </c>
      <c r="Q2130" t="str">
        <f t="shared" si="482"/>
        <v>NO</v>
      </c>
      <c r="R2130" t="str">
        <f t="shared" si="483"/>
        <v>NO</v>
      </c>
      <c r="T2130" t="s">
        <v>260</v>
      </c>
      <c r="U2130" t="str">
        <f t="shared" si="484"/>
        <v>Third St</v>
      </c>
      <c r="V2130" t="s">
        <v>19</v>
      </c>
      <c r="W2130" t="str">
        <f t="shared" si="485"/>
        <v>Cambridge St</v>
      </c>
      <c r="X2130" t="str">
        <f>IF(ISBLANK(S2130),"Intersection","Non-Intersection")</f>
        <v>Intersection</v>
      </c>
      <c r="Y2130" t="s">
        <v>2227</v>
      </c>
      <c r="Z2130" t="str">
        <f t="shared" si="486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473"/>
        <v>40544</v>
      </c>
      <c r="D2131" s="4">
        <f t="shared" si="474"/>
        <v>0.34520547945205482</v>
      </c>
      <c r="E2131" s="3">
        <f t="shared" si="475"/>
        <v>2011</v>
      </c>
      <c r="F2131" s="3">
        <f t="shared" si="476"/>
        <v>5</v>
      </c>
      <c r="G2131" s="3">
        <f t="shared" si="477"/>
        <v>7</v>
      </c>
      <c r="H2131" s="3">
        <f t="shared" si="478"/>
        <v>11</v>
      </c>
      <c r="I2131" s="3">
        <f t="shared" si="479"/>
        <v>0</v>
      </c>
      <c r="J2131" s="3">
        <f t="shared" si="480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481"/>
        <v>YES</v>
      </c>
      <c r="Q2131" t="str">
        <f t="shared" si="482"/>
        <v>NO</v>
      </c>
      <c r="R2131" t="str">
        <f t="shared" si="483"/>
        <v>NO</v>
      </c>
      <c r="S2131">
        <v>144</v>
      </c>
      <c r="T2131" t="s">
        <v>1013</v>
      </c>
      <c r="U2131" t="str">
        <f t="shared" si="484"/>
        <v>Blanchard Rd</v>
      </c>
      <c r="V2131" t="s">
        <v>186</v>
      </c>
      <c r="W2131" t="str">
        <f t="shared" si="485"/>
        <v>Concord Ave</v>
      </c>
      <c r="X2131" t="str">
        <f>IF(ISBLANK(S2131),"Intersection","Non-Intersection")</f>
        <v>Non-Intersection</v>
      </c>
      <c r="Y2131" t="s">
        <v>3161</v>
      </c>
      <c r="Z2131" t="str">
        <f t="shared" si="486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473"/>
        <v>40544</v>
      </c>
      <c r="D2132" s="4">
        <f t="shared" si="474"/>
        <v>0.34794520547945207</v>
      </c>
      <c r="E2132" s="3">
        <f t="shared" si="475"/>
        <v>2011</v>
      </c>
      <c r="F2132" s="3">
        <f t="shared" si="476"/>
        <v>5</v>
      </c>
      <c r="G2132" s="3">
        <f t="shared" si="477"/>
        <v>8</v>
      </c>
      <c r="H2132" s="3">
        <f t="shared" si="478"/>
        <v>12</v>
      </c>
      <c r="I2132" s="3">
        <f t="shared" si="479"/>
        <v>20</v>
      </c>
      <c r="J2132" s="3">
        <f t="shared" si="480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481"/>
        <v>YES</v>
      </c>
      <c r="Q2132" t="str">
        <f t="shared" si="482"/>
        <v>NO</v>
      </c>
      <c r="R2132" t="str">
        <f t="shared" si="483"/>
        <v>NO</v>
      </c>
      <c r="S2132">
        <v>30</v>
      </c>
      <c r="T2132" t="s">
        <v>1742</v>
      </c>
      <c r="U2132" t="str">
        <f t="shared" si="484"/>
        <v>Bow St</v>
      </c>
      <c r="W2132" t="str">
        <f t="shared" si="485"/>
        <v/>
      </c>
      <c r="X2132" t="str">
        <f>IF(ISBLANK(S2132),"Intersection","Non-Intersection")</f>
        <v>Non-Intersection</v>
      </c>
      <c r="Y2132" t="s">
        <v>3163</v>
      </c>
      <c r="Z2132" t="str">
        <f t="shared" si="486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473"/>
        <v>40544</v>
      </c>
      <c r="D2133" s="4">
        <f t="shared" si="474"/>
        <v>0.35068493150684932</v>
      </c>
      <c r="E2133" s="3">
        <f t="shared" si="475"/>
        <v>2011</v>
      </c>
      <c r="F2133" s="3">
        <f t="shared" si="476"/>
        <v>5</v>
      </c>
      <c r="G2133" s="3">
        <f t="shared" si="477"/>
        <v>9</v>
      </c>
      <c r="H2133" s="3">
        <f t="shared" si="478"/>
        <v>11</v>
      </c>
      <c r="I2133" s="3">
        <f t="shared" si="479"/>
        <v>6</v>
      </c>
      <c r="J2133" s="3">
        <f t="shared" si="480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481"/>
        <v>YES</v>
      </c>
      <c r="Q2133" t="str">
        <f t="shared" si="482"/>
        <v>NO</v>
      </c>
      <c r="R2133" t="str">
        <f t="shared" si="483"/>
        <v>NO</v>
      </c>
      <c r="T2133" t="s">
        <v>19</v>
      </c>
      <c r="U2133" t="str">
        <f t="shared" si="484"/>
        <v>Cambridge St</v>
      </c>
      <c r="V2133" t="s">
        <v>2620</v>
      </c>
      <c r="W2133" t="str">
        <f t="shared" si="485"/>
        <v>Leonard Ave</v>
      </c>
      <c r="X2133" t="str">
        <f>IF(ISBLANK(S2133),"Intersection","Non-Intersection")</f>
        <v>Intersection</v>
      </c>
      <c r="Y2133" t="s">
        <v>3165</v>
      </c>
      <c r="Z2133" t="str">
        <f t="shared" si="486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487">EOMONTH(B2134,MONTH(B2134)*-1)+1</f>
        <v>40544</v>
      </c>
      <c r="D2134" s="4">
        <f t="shared" ref="D2134:D2197" si="488">YEARFRAC(C2134,B2134,1)</f>
        <v>0.35068493150684932</v>
      </c>
      <c r="E2134" s="3">
        <f t="shared" ref="E2134:E2197" si="489">YEAR(B2134)</f>
        <v>2011</v>
      </c>
      <c r="F2134" s="3">
        <f t="shared" ref="F2134:F2197" si="490">MONTH(B2134)</f>
        <v>5</v>
      </c>
      <c r="G2134" s="3">
        <f t="shared" ref="G2134:G2197" si="491">DAY(B2134)</f>
        <v>9</v>
      </c>
      <c r="H2134" s="3">
        <f t="shared" ref="H2134:H2197" si="492">HOUR(B2134)</f>
        <v>20</v>
      </c>
      <c r="I2134" s="3">
        <f t="shared" ref="I2134:I2197" si="493">MINUTE(B2134)</f>
        <v>45</v>
      </c>
      <c r="J2134" s="3">
        <f t="shared" ref="J2134:J2197" si="494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495">IF(OR(N2134="Auto",O2134="Auto"),"YES",IF(OR(N2134="Taxi",O2134="Taxi"),"YES",IF(OR(N2134="Van",O2134="Van"),"YES",IF(OR(N2134="Truck",O2134="Truck"),"YES","NO"))))</f>
        <v>YES</v>
      </c>
      <c r="Q2134" t="str">
        <f t="shared" ref="Q2134:Q2197" si="496">IF(OR(N2134="Bicycle",O2134="Bicycle"),"YES","NO")</f>
        <v>NO</v>
      </c>
      <c r="R2134" t="str">
        <f t="shared" ref="R2134:R2197" si="497">IF(OR(N2134="Pedestrian",O2134="Pedestrian"),"YES","NO")</f>
        <v>NO</v>
      </c>
      <c r="S2134">
        <v>10</v>
      </c>
      <c r="T2134" t="s">
        <v>351</v>
      </c>
      <c r="U2134" t="str">
        <f t="shared" si="484"/>
        <v>Cambridge Ctr</v>
      </c>
      <c r="W2134" t="str">
        <f t="shared" si="485"/>
        <v/>
      </c>
      <c r="X2134" t="str">
        <f>IF(ISBLANK(S2134),"Intersection","Non-Intersection")</f>
        <v>Non-Intersection</v>
      </c>
      <c r="Y2134" t="s">
        <v>3166</v>
      </c>
      <c r="Z2134" t="str">
        <f t="shared" si="486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487"/>
        <v>40544</v>
      </c>
      <c r="D2135" s="4">
        <f t="shared" si="488"/>
        <v>0.35068493150684932</v>
      </c>
      <c r="E2135" s="3">
        <f t="shared" si="489"/>
        <v>2011</v>
      </c>
      <c r="F2135" s="3">
        <f t="shared" si="490"/>
        <v>5</v>
      </c>
      <c r="G2135" s="3">
        <f t="shared" si="491"/>
        <v>9</v>
      </c>
      <c r="H2135" s="3">
        <f t="shared" si="492"/>
        <v>10</v>
      </c>
      <c r="I2135" s="3">
        <f t="shared" si="493"/>
        <v>18</v>
      </c>
      <c r="J2135" s="3">
        <f t="shared" si="494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495"/>
        <v>YES</v>
      </c>
      <c r="Q2135" t="str">
        <f t="shared" si="496"/>
        <v>NO</v>
      </c>
      <c r="R2135" t="str">
        <f t="shared" si="497"/>
        <v>NO</v>
      </c>
      <c r="T2135" t="s">
        <v>133</v>
      </c>
      <c r="U2135" t="str">
        <f t="shared" si="484"/>
        <v>Harvard St</v>
      </c>
      <c r="V2135" t="s">
        <v>396</v>
      </c>
      <c r="W2135" t="str">
        <f t="shared" si="485"/>
        <v>Prescott St</v>
      </c>
      <c r="X2135" t="str">
        <f>IF(ISBLANK(S2135),"Intersection","Non-Intersection")</f>
        <v>Intersection</v>
      </c>
      <c r="Y2135" t="s">
        <v>3167</v>
      </c>
      <c r="Z2135" t="str">
        <f t="shared" si="486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487"/>
        <v>40544</v>
      </c>
      <c r="D2136" s="4">
        <f t="shared" si="488"/>
        <v>0.35342465753424657</v>
      </c>
      <c r="E2136" s="3">
        <f t="shared" si="489"/>
        <v>2011</v>
      </c>
      <c r="F2136" s="3">
        <f t="shared" si="490"/>
        <v>5</v>
      </c>
      <c r="G2136" s="3">
        <f t="shared" si="491"/>
        <v>10</v>
      </c>
      <c r="H2136" s="3">
        <f t="shared" si="492"/>
        <v>10</v>
      </c>
      <c r="I2136" s="3">
        <f t="shared" si="493"/>
        <v>5</v>
      </c>
      <c r="J2136" s="3">
        <f t="shared" si="494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495"/>
        <v>YES</v>
      </c>
      <c r="Q2136" t="str">
        <f t="shared" si="496"/>
        <v>NO</v>
      </c>
      <c r="R2136" t="str">
        <f t="shared" si="497"/>
        <v>NO</v>
      </c>
      <c r="T2136" t="s">
        <v>185</v>
      </c>
      <c r="U2136" t="str">
        <f t="shared" si="484"/>
        <v>Garden St</v>
      </c>
      <c r="V2136" t="s">
        <v>1348</v>
      </c>
      <c r="W2136" t="str">
        <f t="shared" si="485"/>
        <v>Robinson St</v>
      </c>
      <c r="X2136" t="str">
        <f>IF(ISBLANK(S2136),"Intersection","Non-Intersection")</f>
        <v>Intersection</v>
      </c>
      <c r="Y2136" t="s">
        <v>1474</v>
      </c>
      <c r="Z2136" t="str">
        <f t="shared" si="486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487"/>
        <v>40544</v>
      </c>
      <c r="D2137" s="4">
        <f t="shared" si="488"/>
        <v>0.35342465753424657</v>
      </c>
      <c r="E2137" s="3">
        <f t="shared" si="489"/>
        <v>2011</v>
      </c>
      <c r="F2137" s="3">
        <f t="shared" si="490"/>
        <v>5</v>
      </c>
      <c r="G2137" s="3">
        <f t="shared" si="491"/>
        <v>10</v>
      </c>
      <c r="H2137" s="3">
        <f t="shared" si="492"/>
        <v>16</v>
      </c>
      <c r="I2137" s="3">
        <f t="shared" si="493"/>
        <v>28</v>
      </c>
      <c r="J2137" s="3">
        <f t="shared" si="494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495"/>
        <v>YES</v>
      </c>
      <c r="Q2137" t="str">
        <f t="shared" si="496"/>
        <v>YES</v>
      </c>
      <c r="R2137" t="str">
        <f t="shared" si="497"/>
        <v>NO</v>
      </c>
      <c r="S2137">
        <v>137</v>
      </c>
      <c r="T2137" t="s">
        <v>198</v>
      </c>
      <c r="U2137" t="str">
        <f t="shared" si="484"/>
        <v>Mount Auburn St</v>
      </c>
      <c r="W2137" t="str">
        <f t="shared" si="485"/>
        <v/>
      </c>
      <c r="X2137" t="str">
        <f>IF(ISBLANK(S2137),"Intersection","Non-Intersection")</f>
        <v>Non-Intersection</v>
      </c>
      <c r="Y2137" t="s">
        <v>3168</v>
      </c>
      <c r="Z2137" t="str">
        <f t="shared" si="486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487"/>
        <v>40544</v>
      </c>
      <c r="D2138" s="4">
        <f t="shared" si="488"/>
        <v>0.35342465753424657</v>
      </c>
      <c r="E2138" s="3">
        <f t="shared" si="489"/>
        <v>2011</v>
      </c>
      <c r="F2138" s="3">
        <f t="shared" si="490"/>
        <v>5</v>
      </c>
      <c r="G2138" s="3">
        <f t="shared" si="491"/>
        <v>10</v>
      </c>
      <c r="H2138" s="3">
        <f t="shared" si="492"/>
        <v>18</v>
      </c>
      <c r="I2138" s="3">
        <f t="shared" si="493"/>
        <v>47</v>
      </c>
      <c r="J2138" s="3">
        <f t="shared" si="494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495"/>
        <v>YES</v>
      </c>
      <c r="Q2138" t="str">
        <f t="shared" si="496"/>
        <v>YES</v>
      </c>
      <c r="R2138" t="str">
        <f t="shared" si="497"/>
        <v>NO</v>
      </c>
      <c r="T2138" t="s">
        <v>105</v>
      </c>
      <c r="U2138" t="str">
        <f t="shared" si="484"/>
        <v>Broadway</v>
      </c>
      <c r="V2138" t="s">
        <v>104</v>
      </c>
      <c r="W2138" t="str">
        <f t="shared" si="485"/>
        <v>Inman St</v>
      </c>
      <c r="X2138" t="str">
        <f>IF(ISBLANK(S2138),"Intersection","Non-Intersection")</f>
        <v>Intersection</v>
      </c>
      <c r="Y2138" t="s">
        <v>2336</v>
      </c>
      <c r="Z2138" t="str">
        <f t="shared" si="486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487"/>
        <v>40544</v>
      </c>
      <c r="D2139" s="4">
        <f t="shared" si="488"/>
        <v>0.35342465753424657</v>
      </c>
      <c r="E2139" s="3">
        <f t="shared" si="489"/>
        <v>2011</v>
      </c>
      <c r="F2139" s="3">
        <f t="shared" si="490"/>
        <v>5</v>
      </c>
      <c r="G2139" s="3">
        <f t="shared" si="491"/>
        <v>10</v>
      </c>
      <c r="H2139" s="3">
        <f t="shared" si="492"/>
        <v>18</v>
      </c>
      <c r="I2139" s="3">
        <f t="shared" si="493"/>
        <v>59</v>
      </c>
      <c r="J2139" s="3">
        <f t="shared" si="494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495"/>
        <v>YES</v>
      </c>
      <c r="Q2139" t="str">
        <f t="shared" si="496"/>
        <v>NO</v>
      </c>
      <c r="R2139" t="str">
        <f t="shared" si="497"/>
        <v>NO</v>
      </c>
      <c r="T2139" t="s">
        <v>611</v>
      </c>
      <c r="U2139" t="str">
        <f t="shared" si="484"/>
        <v>Berkshire St</v>
      </c>
      <c r="W2139" t="str">
        <f t="shared" si="485"/>
        <v/>
      </c>
      <c r="X2139" t="str">
        <f>IF(ISBLANK(S2139),"Intersection","Non-Intersection")</f>
        <v>Intersection</v>
      </c>
      <c r="Y2139" t="s">
        <v>612</v>
      </c>
      <c r="Z2139" t="str">
        <f t="shared" si="486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487"/>
        <v>40544</v>
      </c>
      <c r="D2140" s="4">
        <f t="shared" si="488"/>
        <v>0.35616438356164382</v>
      </c>
      <c r="E2140" s="3">
        <f t="shared" si="489"/>
        <v>2011</v>
      </c>
      <c r="F2140" s="3">
        <f t="shared" si="490"/>
        <v>5</v>
      </c>
      <c r="G2140" s="3">
        <f t="shared" si="491"/>
        <v>11</v>
      </c>
      <c r="H2140" s="3">
        <f t="shared" si="492"/>
        <v>11</v>
      </c>
      <c r="I2140" s="3">
        <f t="shared" si="493"/>
        <v>15</v>
      </c>
      <c r="J2140" s="3">
        <f t="shared" si="494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495"/>
        <v>YES</v>
      </c>
      <c r="Q2140" t="str">
        <f t="shared" si="496"/>
        <v>NO</v>
      </c>
      <c r="R2140" t="str">
        <f t="shared" si="497"/>
        <v>NO</v>
      </c>
      <c r="T2140" t="s">
        <v>2694</v>
      </c>
      <c r="U2140" t="str">
        <f t="shared" si="484"/>
        <v>Lancaster St</v>
      </c>
      <c r="W2140" t="str">
        <f t="shared" si="485"/>
        <v/>
      </c>
      <c r="X2140" t="str">
        <f>IF(ISBLANK(S2140),"Intersection","Non-Intersection")</f>
        <v>Intersection</v>
      </c>
      <c r="Y2140" t="s">
        <v>3170</v>
      </c>
      <c r="Z2140" t="str">
        <f t="shared" si="486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487"/>
        <v>40544</v>
      </c>
      <c r="D2141" s="4">
        <f t="shared" si="488"/>
        <v>0.35616438356164382</v>
      </c>
      <c r="E2141" s="3">
        <f t="shared" si="489"/>
        <v>2011</v>
      </c>
      <c r="F2141" s="3">
        <f t="shared" si="490"/>
        <v>5</v>
      </c>
      <c r="G2141" s="3">
        <f t="shared" si="491"/>
        <v>11</v>
      </c>
      <c r="H2141" s="3">
        <f t="shared" si="492"/>
        <v>12</v>
      </c>
      <c r="I2141" s="3">
        <f t="shared" si="493"/>
        <v>45</v>
      </c>
      <c r="J2141" s="3">
        <f t="shared" si="494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495"/>
        <v>YES</v>
      </c>
      <c r="Q2141" t="str">
        <f t="shared" si="496"/>
        <v>NO</v>
      </c>
      <c r="R2141" t="str">
        <f t="shared" si="497"/>
        <v>NO</v>
      </c>
      <c r="S2141">
        <v>124</v>
      </c>
      <c r="T2141" t="s">
        <v>45</v>
      </c>
      <c r="U2141" t="str">
        <f t="shared" si="484"/>
        <v>Sherman St</v>
      </c>
      <c r="W2141" t="str">
        <f t="shared" si="485"/>
        <v/>
      </c>
      <c r="X2141" t="str">
        <f>IF(ISBLANK(S2141),"Intersection","Non-Intersection")</f>
        <v>Non-Intersection</v>
      </c>
      <c r="Y2141" t="s">
        <v>3171</v>
      </c>
      <c r="Z2141" t="str">
        <f t="shared" si="486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487"/>
        <v>40544</v>
      </c>
      <c r="D2142" s="4">
        <f t="shared" si="488"/>
        <v>0.35616438356164382</v>
      </c>
      <c r="E2142" s="3">
        <f t="shared" si="489"/>
        <v>2011</v>
      </c>
      <c r="F2142" s="3">
        <f t="shared" si="490"/>
        <v>5</v>
      </c>
      <c r="G2142" s="3">
        <f t="shared" si="491"/>
        <v>11</v>
      </c>
      <c r="H2142" s="3">
        <f t="shared" si="492"/>
        <v>13</v>
      </c>
      <c r="I2142" s="3">
        <f t="shared" si="493"/>
        <v>44</v>
      </c>
      <c r="J2142" s="3">
        <f t="shared" si="494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495"/>
        <v>YES</v>
      </c>
      <c r="Q2142" t="str">
        <f t="shared" si="496"/>
        <v>NO</v>
      </c>
      <c r="R2142" t="str">
        <f t="shared" si="497"/>
        <v>NO</v>
      </c>
      <c r="T2142" t="s">
        <v>41</v>
      </c>
      <c r="U2142" t="str">
        <f t="shared" si="484"/>
        <v>River St</v>
      </c>
      <c r="V2142" t="s">
        <v>42</v>
      </c>
      <c r="W2142" t="str">
        <f t="shared" si="485"/>
        <v>Putnam Ave</v>
      </c>
      <c r="X2142" t="str">
        <f>IF(ISBLANK(S2142),"Intersection","Non-Intersection")</f>
        <v>Intersection</v>
      </c>
      <c r="Y2142" t="s">
        <v>43</v>
      </c>
      <c r="Z2142" t="str">
        <f t="shared" si="486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487"/>
        <v>40544</v>
      </c>
      <c r="D2143" s="4">
        <f t="shared" si="488"/>
        <v>0.35616438356164382</v>
      </c>
      <c r="E2143" s="3">
        <f t="shared" si="489"/>
        <v>2011</v>
      </c>
      <c r="F2143" s="3">
        <f t="shared" si="490"/>
        <v>5</v>
      </c>
      <c r="G2143" s="3">
        <f t="shared" si="491"/>
        <v>11</v>
      </c>
      <c r="H2143" s="3">
        <f t="shared" si="492"/>
        <v>14</v>
      </c>
      <c r="I2143" s="3">
        <f t="shared" si="493"/>
        <v>1</v>
      </c>
      <c r="J2143" s="3">
        <f t="shared" si="494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495"/>
        <v>YES</v>
      </c>
      <c r="Q2143" t="str">
        <f t="shared" si="496"/>
        <v>NO</v>
      </c>
      <c r="R2143" t="str">
        <f t="shared" si="497"/>
        <v>NO</v>
      </c>
      <c r="T2143" t="s">
        <v>14</v>
      </c>
      <c r="U2143" t="str">
        <f t="shared" si="484"/>
        <v>Massachusetts Ave</v>
      </c>
      <c r="V2143" t="s">
        <v>745</v>
      </c>
      <c r="W2143" t="str">
        <f t="shared" si="485"/>
        <v>Norfolk St</v>
      </c>
      <c r="X2143" t="str">
        <f>IF(ISBLANK(S2143),"Intersection","Non-Intersection")</f>
        <v>Intersection</v>
      </c>
      <c r="Y2143" t="s">
        <v>873</v>
      </c>
      <c r="Z2143" t="str">
        <f t="shared" si="486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487"/>
        <v>40544</v>
      </c>
      <c r="D2144" s="4">
        <f t="shared" si="488"/>
        <v>0.35616438356164382</v>
      </c>
      <c r="E2144" s="3">
        <f t="shared" si="489"/>
        <v>2011</v>
      </c>
      <c r="F2144" s="3">
        <f t="shared" si="490"/>
        <v>5</v>
      </c>
      <c r="G2144" s="3">
        <f t="shared" si="491"/>
        <v>11</v>
      </c>
      <c r="H2144" s="3">
        <f t="shared" si="492"/>
        <v>21</v>
      </c>
      <c r="I2144" s="3">
        <f t="shared" si="493"/>
        <v>0</v>
      </c>
      <c r="J2144" s="3">
        <f t="shared" si="494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495"/>
        <v>YES</v>
      </c>
      <c r="Q2144" t="str">
        <f t="shared" si="496"/>
        <v>NO</v>
      </c>
      <c r="R2144" t="str">
        <f t="shared" si="497"/>
        <v>NO</v>
      </c>
      <c r="S2144">
        <v>100</v>
      </c>
      <c r="T2144" t="s">
        <v>1062</v>
      </c>
      <c r="U2144" t="str">
        <f t="shared" si="484"/>
        <v>Cambridgeside Pl</v>
      </c>
      <c r="W2144" t="str">
        <f t="shared" si="485"/>
        <v/>
      </c>
      <c r="X2144" t="str">
        <f>IF(ISBLANK(S2144),"Intersection","Non-Intersection")</f>
        <v>Non-Intersection</v>
      </c>
      <c r="Y2144" t="s">
        <v>1143</v>
      </c>
      <c r="Z2144" t="str">
        <f t="shared" si="486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487"/>
        <v>40544</v>
      </c>
      <c r="D2145" s="4">
        <f t="shared" si="488"/>
        <v>0.35616438356164382</v>
      </c>
      <c r="E2145" s="3">
        <f t="shared" si="489"/>
        <v>2011</v>
      </c>
      <c r="F2145" s="3">
        <f t="shared" si="490"/>
        <v>5</v>
      </c>
      <c r="G2145" s="3">
        <f t="shared" si="491"/>
        <v>11</v>
      </c>
      <c r="H2145" s="3">
        <f t="shared" si="492"/>
        <v>21</v>
      </c>
      <c r="I2145" s="3">
        <f t="shared" si="493"/>
        <v>20</v>
      </c>
      <c r="J2145" s="3">
        <f t="shared" si="494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495"/>
        <v>YES</v>
      </c>
      <c r="Q2145" t="str">
        <f t="shared" si="496"/>
        <v>NO</v>
      </c>
      <c r="R2145" t="str">
        <f t="shared" si="497"/>
        <v>NO</v>
      </c>
      <c r="U2145" t="str">
        <f t="shared" si="484"/>
        <v/>
      </c>
      <c r="W2145" t="str">
        <f t="shared" si="485"/>
        <v/>
      </c>
      <c r="X2145" t="str">
        <f>IF(ISBLANK(S2145),"Intersection","Non-Intersection")</f>
        <v>Intersection</v>
      </c>
      <c r="Y2145" t="s">
        <v>717</v>
      </c>
      <c r="Z2145" t="str">
        <f t="shared" si="486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487"/>
        <v>40544</v>
      </c>
      <c r="D2146" s="4">
        <f t="shared" si="488"/>
        <v>0.35616438356164382</v>
      </c>
      <c r="E2146" s="3">
        <f t="shared" si="489"/>
        <v>2011</v>
      </c>
      <c r="F2146" s="3">
        <f t="shared" si="490"/>
        <v>5</v>
      </c>
      <c r="G2146" s="3">
        <f t="shared" si="491"/>
        <v>11</v>
      </c>
      <c r="H2146" s="3">
        <f t="shared" si="492"/>
        <v>2</v>
      </c>
      <c r="I2146" s="3">
        <f t="shared" si="493"/>
        <v>3</v>
      </c>
      <c r="J2146" s="3">
        <f t="shared" si="494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495"/>
        <v>YES</v>
      </c>
      <c r="Q2146" t="str">
        <f t="shared" si="496"/>
        <v>NO</v>
      </c>
      <c r="R2146" t="str">
        <f t="shared" si="497"/>
        <v>NO</v>
      </c>
      <c r="T2146" t="s">
        <v>14</v>
      </c>
      <c r="U2146" t="str">
        <f t="shared" si="484"/>
        <v>Massachusetts Ave</v>
      </c>
      <c r="V2146" t="s">
        <v>745</v>
      </c>
      <c r="W2146" t="str">
        <f t="shared" si="485"/>
        <v>Norfolk St</v>
      </c>
      <c r="X2146" t="str">
        <f>IF(ISBLANK(S2146),"Intersection","Non-Intersection")</f>
        <v>Intersection</v>
      </c>
      <c r="Y2146" t="s">
        <v>873</v>
      </c>
      <c r="Z2146" t="str">
        <f t="shared" si="486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487"/>
        <v>40544</v>
      </c>
      <c r="D2147" s="4">
        <f t="shared" si="488"/>
        <v>0.35890410958904112</v>
      </c>
      <c r="E2147" s="3">
        <f t="shared" si="489"/>
        <v>2011</v>
      </c>
      <c r="F2147" s="3">
        <f t="shared" si="490"/>
        <v>5</v>
      </c>
      <c r="G2147" s="3">
        <f t="shared" si="491"/>
        <v>12</v>
      </c>
      <c r="H2147" s="3">
        <f t="shared" si="492"/>
        <v>9</v>
      </c>
      <c r="I2147" s="3">
        <f t="shared" si="493"/>
        <v>0</v>
      </c>
      <c r="J2147" s="3">
        <f t="shared" si="494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495"/>
        <v>YES</v>
      </c>
      <c r="Q2147" t="str">
        <f t="shared" si="496"/>
        <v>NO</v>
      </c>
      <c r="R2147" t="str">
        <f t="shared" si="497"/>
        <v>NO</v>
      </c>
      <c r="S2147">
        <v>24.5</v>
      </c>
      <c r="T2147" t="s">
        <v>387</v>
      </c>
      <c r="U2147" t="str">
        <f t="shared" si="484"/>
        <v>Antrim St</v>
      </c>
      <c r="W2147" t="str">
        <f t="shared" si="485"/>
        <v/>
      </c>
      <c r="X2147" t="str">
        <f>IF(ISBLANK(S2147),"Intersection","Non-Intersection")</f>
        <v>Non-Intersection</v>
      </c>
      <c r="Y2147" t="s">
        <v>3173</v>
      </c>
      <c r="Z2147" t="str">
        <f t="shared" si="486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487"/>
        <v>40544</v>
      </c>
      <c r="D2148" s="4">
        <f t="shared" si="488"/>
        <v>0.35890410958904112</v>
      </c>
      <c r="E2148" s="3">
        <f t="shared" si="489"/>
        <v>2011</v>
      </c>
      <c r="F2148" s="3">
        <f t="shared" si="490"/>
        <v>5</v>
      </c>
      <c r="G2148" s="3">
        <f t="shared" si="491"/>
        <v>12</v>
      </c>
      <c r="H2148" s="3">
        <f t="shared" si="492"/>
        <v>9</v>
      </c>
      <c r="I2148" s="3">
        <f t="shared" si="493"/>
        <v>59</v>
      </c>
      <c r="J2148" s="3">
        <f t="shared" si="494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495"/>
        <v>YES</v>
      </c>
      <c r="Q2148" t="str">
        <f t="shared" si="496"/>
        <v>NO</v>
      </c>
      <c r="R2148" t="str">
        <f t="shared" si="497"/>
        <v>NO</v>
      </c>
      <c r="T2148" t="s">
        <v>41</v>
      </c>
      <c r="U2148" t="str">
        <f t="shared" si="484"/>
        <v>River St</v>
      </c>
      <c r="V2148" t="s">
        <v>509</v>
      </c>
      <c r="W2148" t="str">
        <f t="shared" si="485"/>
        <v>Green St</v>
      </c>
      <c r="X2148" t="str">
        <f>IF(ISBLANK(S2148),"Intersection","Non-Intersection")</f>
        <v>Intersection</v>
      </c>
      <c r="Y2148" t="s">
        <v>1999</v>
      </c>
      <c r="Z2148" t="str">
        <f t="shared" si="486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487"/>
        <v>40544</v>
      </c>
      <c r="D2149" s="4">
        <f t="shared" si="488"/>
        <v>0.35890410958904112</v>
      </c>
      <c r="E2149" s="3">
        <f t="shared" si="489"/>
        <v>2011</v>
      </c>
      <c r="F2149" s="3">
        <f t="shared" si="490"/>
        <v>5</v>
      </c>
      <c r="G2149" s="3">
        <f t="shared" si="491"/>
        <v>12</v>
      </c>
      <c r="H2149" s="3">
        <f t="shared" si="492"/>
        <v>11</v>
      </c>
      <c r="I2149" s="3">
        <f t="shared" si="493"/>
        <v>32</v>
      </c>
      <c r="J2149" s="3">
        <f t="shared" si="494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495"/>
        <v>YES</v>
      </c>
      <c r="Q2149" t="str">
        <f t="shared" si="496"/>
        <v>NO</v>
      </c>
      <c r="R2149" t="str">
        <f t="shared" si="497"/>
        <v>NO</v>
      </c>
      <c r="S2149">
        <v>387</v>
      </c>
      <c r="T2149" t="s">
        <v>142</v>
      </c>
      <c r="U2149" t="str">
        <f t="shared" si="484"/>
        <v>Huron Ave</v>
      </c>
      <c r="W2149" t="str">
        <f t="shared" si="485"/>
        <v/>
      </c>
      <c r="X2149" t="str">
        <f>IF(ISBLANK(S2149),"Intersection","Non-Intersection")</f>
        <v>Non-Intersection</v>
      </c>
      <c r="Y2149" t="s">
        <v>3175</v>
      </c>
      <c r="Z2149" t="str">
        <f t="shared" si="486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487"/>
        <v>40544</v>
      </c>
      <c r="D2150" s="4">
        <f t="shared" si="488"/>
        <v>0.35890410958904112</v>
      </c>
      <c r="E2150" s="3">
        <f t="shared" si="489"/>
        <v>2011</v>
      </c>
      <c r="F2150" s="3">
        <f t="shared" si="490"/>
        <v>5</v>
      </c>
      <c r="G2150" s="3">
        <f t="shared" si="491"/>
        <v>12</v>
      </c>
      <c r="H2150" s="3">
        <f t="shared" si="492"/>
        <v>17</v>
      </c>
      <c r="I2150" s="3">
        <f t="shared" si="493"/>
        <v>51</v>
      </c>
      <c r="J2150" s="3">
        <f t="shared" si="494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495"/>
        <v>YES</v>
      </c>
      <c r="Q2150" t="str">
        <f t="shared" si="496"/>
        <v>NO</v>
      </c>
      <c r="R2150" t="str">
        <f t="shared" si="497"/>
        <v>NO</v>
      </c>
      <c r="T2150" t="s">
        <v>27</v>
      </c>
      <c r="U2150" t="str">
        <f t="shared" si="484"/>
        <v>Western Ave</v>
      </c>
      <c r="V2150" t="s">
        <v>28</v>
      </c>
      <c r="W2150" t="str">
        <f t="shared" si="485"/>
        <v>Howard St</v>
      </c>
      <c r="X2150" t="str">
        <f>IF(ISBLANK(S2150),"Intersection","Non-Intersection")</f>
        <v>Intersection</v>
      </c>
      <c r="Y2150" t="s">
        <v>29</v>
      </c>
      <c r="Z2150" t="str">
        <f t="shared" si="486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487"/>
        <v>40544</v>
      </c>
      <c r="D2151" s="4">
        <f t="shared" si="488"/>
        <v>0.35890410958904112</v>
      </c>
      <c r="E2151" s="3">
        <f t="shared" si="489"/>
        <v>2011</v>
      </c>
      <c r="F2151" s="3">
        <f t="shared" si="490"/>
        <v>5</v>
      </c>
      <c r="G2151" s="3">
        <f t="shared" si="491"/>
        <v>12</v>
      </c>
      <c r="H2151" s="3">
        <f t="shared" si="492"/>
        <v>17</v>
      </c>
      <c r="I2151" s="3">
        <f t="shared" si="493"/>
        <v>0</v>
      </c>
      <c r="J2151" s="3">
        <f t="shared" si="494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495"/>
        <v>YES</v>
      </c>
      <c r="Q2151" t="str">
        <f t="shared" si="496"/>
        <v>NO</v>
      </c>
      <c r="R2151" t="str">
        <f t="shared" si="497"/>
        <v>NO</v>
      </c>
      <c r="T2151" t="s">
        <v>1152</v>
      </c>
      <c r="U2151" t="str">
        <f t="shared" si="484"/>
        <v>Hamilton St</v>
      </c>
      <c r="V2151" t="s">
        <v>195</v>
      </c>
      <c r="W2151" t="str">
        <f t="shared" si="485"/>
        <v>Sidney St</v>
      </c>
      <c r="X2151" t="str">
        <f>IF(ISBLANK(S2151),"Intersection","Non-Intersection")</f>
        <v>Intersection</v>
      </c>
      <c r="Y2151" t="s">
        <v>3177</v>
      </c>
      <c r="Z2151" t="str">
        <f t="shared" si="486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487"/>
        <v>40544</v>
      </c>
      <c r="D2152" s="4">
        <f t="shared" si="488"/>
        <v>0.36164383561643837</v>
      </c>
      <c r="E2152" s="3">
        <f t="shared" si="489"/>
        <v>2011</v>
      </c>
      <c r="F2152" s="3">
        <f t="shared" si="490"/>
        <v>5</v>
      </c>
      <c r="G2152" s="3">
        <f t="shared" si="491"/>
        <v>13</v>
      </c>
      <c r="H2152" s="3">
        <f t="shared" si="492"/>
        <v>8</v>
      </c>
      <c r="I2152" s="3">
        <f t="shared" si="493"/>
        <v>0</v>
      </c>
      <c r="J2152" s="3">
        <f t="shared" si="494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495"/>
        <v>YES</v>
      </c>
      <c r="Q2152" t="str">
        <f t="shared" si="496"/>
        <v>NO</v>
      </c>
      <c r="R2152" t="str">
        <f t="shared" si="497"/>
        <v>NO</v>
      </c>
      <c r="T2152" t="s">
        <v>342</v>
      </c>
      <c r="U2152" t="str">
        <f t="shared" si="484"/>
        <v>Prospect St</v>
      </c>
      <c r="V2152" t="s">
        <v>316</v>
      </c>
      <c r="W2152" t="str">
        <f t="shared" si="485"/>
        <v>Bishop Allen Dr</v>
      </c>
      <c r="X2152" t="str">
        <f>IF(ISBLANK(S2152),"Intersection","Non-Intersection")</f>
        <v>Intersection</v>
      </c>
      <c r="Y2152" t="s">
        <v>2529</v>
      </c>
      <c r="Z2152" t="str">
        <f t="shared" si="486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487"/>
        <v>40544</v>
      </c>
      <c r="D2153" s="4">
        <f t="shared" si="488"/>
        <v>0.36164383561643837</v>
      </c>
      <c r="E2153" s="3">
        <f t="shared" si="489"/>
        <v>2011</v>
      </c>
      <c r="F2153" s="3">
        <f t="shared" si="490"/>
        <v>5</v>
      </c>
      <c r="G2153" s="3">
        <f t="shared" si="491"/>
        <v>13</v>
      </c>
      <c r="H2153" s="3">
        <f t="shared" si="492"/>
        <v>8</v>
      </c>
      <c r="I2153" s="3">
        <f t="shared" si="493"/>
        <v>41</v>
      </c>
      <c r="J2153" s="3">
        <f t="shared" si="494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495"/>
        <v>YES</v>
      </c>
      <c r="Q2153" t="str">
        <f t="shared" si="496"/>
        <v>YES</v>
      </c>
      <c r="R2153" t="str">
        <f t="shared" si="497"/>
        <v>NO</v>
      </c>
      <c r="T2153" t="s">
        <v>14</v>
      </c>
      <c r="U2153" t="str">
        <f t="shared" si="484"/>
        <v>Massachusetts Ave</v>
      </c>
      <c r="V2153" t="s">
        <v>192</v>
      </c>
      <c r="W2153" t="str">
        <f t="shared" si="485"/>
        <v>Hancock St</v>
      </c>
      <c r="X2153" t="str">
        <f>IF(ISBLANK(S2153),"Intersection","Non-Intersection")</f>
        <v>Intersection</v>
      </c>
      <c r="Y2153" t="s">
        <v>193</v>
      </c>
      <c r="Z2153" t="str">
        <f t="shared" si="486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487"/>
        <v>40544</v>
      </c>
      <c r="D2154" s="4">
        <f t="shared" si="488"/>
        <v>0.36164383561643837</v>
      </c>
      <c r="E2154" s="3">
        <f t="shared" si="489"/>
        <v>2011</v>
      </c>
      <c r="F2154" s="3">
        <f t="shared" si="490"/>
        <v>5</v>
      </c>
      <c r="G2154" s="3">
        <f t="shared" si="491"/>
        <v>13</v>
      </c>
      <c r="H2154" s="3">
        <f t="shared" si="492"/>
        <v>9</v>
      </c>
      <c r="I2154" s="3">
        <f t="shared" si="493"/>
        <v>8</v>
      </c>
      <c r="J2154" s="3">
        <f t="shared" si="494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495"/>
        <v>YES</v>
      </c>
      <c r="Q2154" t="str">
        <f t="shared" si="496"/>
        <v>NO</v>
      </c>
      <c r="R2154" t="str">
        <f t="shared" si="497"/>
        <v>YES</v>
      </c>
      <c r="T2154" t="s">
        <v>14</v>
      </c>
      <c r="U2154" t="str">
        <f t="shared" si="484"/>
        <v>Massachusetts Ave</v>
      </c>
      <c r="V2154" t="s">
        <v>550</v>
      </c>
      <c r="W2154" t="str">
        <f t="shared" si="485"/>
        <v>Upland Rd</v>
      </c>
      <c r="X2154" t="str">
        <f>IF(ISBLANK(S2154),"Intersection","Non-Intersection")</f>
        <v>Intersection</v>
      </c>
      <c r="Y2154" t="s">
        <v>551</v>
      </c>
      <c r="Z2154" t="str">
        <f t="shared" si="486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487"/>
        <v>40544</v>
      </c>
      <c r="D2155" s="4">
        <f t="shared" si="488"/>
        <v>0.36164383561643837</v>
      </c>
      <c r="E2155" s="3">
        <f t="shared" si="489"/>
        <v>2011</v>
      </c>
      <c r="F2155" s="3">
        <f t="shared" si="490"/>
        <v>5</v>
      </c>
      <c r="G2155" s="3">
        <f t="shared" si="491"/>
        <v>13</v>
      </c>
      <c r="H2155" s="3">
        <f t="shared" si="492"/>
        <v>9</v>
      </c>
      <c r="I2155" s="3">
        <f t="shared" si="493"/>
        <v>30</v>
      </c>
      <c r="J2155" s="3">
        <f t="shared" si="494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495"/>
        <v>YES</v>
      </c>
      <c r="Q2155" t="str">
        <f t="shared" si="496"/>
        <v>NO</v>
      </c>
      <c r="R2155" t="str">
        <f t="shared" si="497"/>
        <v>NO</v>
      </c>
      <c r="T2155" t="s">
        <v>14</v>
      </c>
      <c r="U2155" t="str">
        <f t="shared" si="484"/>
        <v>Massachusetts Ave</v>
      </c>
      <c r="V2155" t="s">
        <v>170</v>
      </c>
      <c r="W2155" t="str">
        <f t="shared" si="485"/>
        <v>Alewife Brook Pky</v>
      </c>
      <c r="X2155" t="str">
        <f>IF(ISBLANK(S2155),"Intersection","Non-Intersection")</f>
        <v>Intersection</v>
      </c>
      <c r="Y2155" t="s">
        <v>2954</v>
      </c>
      <c r="Z2155" t="str">
        <f t="shared" si="486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487"/>
        <v>40544</v>
      </c>
      <c r="D2156" s="4">
        <f t="shared" si="488"/>
        <v>0.36164383561643837</v>
      </c>
      <c r="E2156" s="3">
        <f t="shared" si="489"/>
        <v>2011</v>
      </c>
      <c r="F2156" s="3">
        <f t="shared" si="490"/>
        <v>5</v>
      </c>
      <c r="G2156" s="3">
        <f t="shared" si="491"/>
        <v>13</v>
      </c>
      <c r="H2156" s="3">
        <f t="shared" si="492"/>
        <v>11</v>
      </c>
      <c r="I2156" s="3">
        <f t="shared" si="493"/>
        <v>45</v>
      </c>
      <c r="J2156" s="3">
        <f t="shared" si="494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495"/>
        <v>YES</v>
      </c>
      <c r="Q2156" t="str">
        <f t="shared" si="496"/>
        <v>NO</v>
      </c>
      <c r="R2156" t="str">
        <f t="shared" si="497"/>
        <v>NO</v>
      </c>
      <c r="S2156">
        <v>1613</v>
      </c>
      <c r="T2156" t="s">
        <v>19</v>
      </c>
      <c r="U2156" t="str">
        <f t="shared" si="484"/>
        <v>Cambridge St</v>
      </c>
      <c r="W2156" t="str">
        <f t="shared" si="485"/>
        <v/>
      </c>
      <c r="X2156" t="str">
        <f>IF(ISBLANK(S2156),"Intersection","Non-Intersection")</f>
        <v>Non-Intersection</v>
      </c>
      <c r="Y2156" t="s">
        <v>3178</v>
      </c>
      <c r="Z2156" t="str">
        <f t="shared" si="486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487"/>
        <v>40544</v>
      </c>
      <c r="D2157" s="4">
        <f t="shared" si="488"/>
        <v>0.36164383561643837</v>
      </c>
      <c r="E2157" s="3">
        <f t="shared" si="489"/>
        <v>2011</v>
      </c>
      <c r="F2157" s="3">
        <f t="shared" si="490"/>
        <v>5</v>
      </c>
      <c r="G2157" s="3">
        <f t="shared" si="491"/>
        <v>13</v>
      </c>
      <c r="H2157" s="3">
        <f t="shared" si="492"/>
        <v>13</v>
      </c>
      <c r="I2157" s="3">
        <f t="shared" si="493"/>
        <v>5</v>
      </c>
      <c r="J2157" s="3">
        <f t="shared" si="494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495"/>
        <v>YES</v>
      </c>
      <c r="Q2157" t="str">
        <f t="shared" si="496"/>
        <v>NO</v>
      </c>
      <c r="R2157" t="str">
        <f t="shared" si="497"/>
        <v>NO</v>
      </c>
      <c r="S2157">
        <v>226</v>
      </c>
      <c r="T2157" t="s">
        <v>14</v>
      </c>
      <c r="U2157" t="str">
        <f t="shared" si="484"/>
        <v>Massachusetts Ave</v>
      </c>
      <c r="W2157" t="str">
        <f t="shared" si="485"/>
        <v/>
      </c>
      <c r="X2157" t="str">
        <f>IF(ISBLANK(S2157),"Intersection","Non-Intersection")</f>
        <v>Non-Intersection</v>
      </c>
      <c r="Y2157" t="s">
        <v>3180</v>
      </c>
      <c r="Z2157" t="str">
        <f t="shared" si="486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487"/>
        <v>40544</v>
      </c>
      <c r="D2158" s="4">
        <f t="shared" si="488"/>
        <v>0.36164383561643837</v>
      </c>
      <c r="E2158" s="3">
        <f t="shared" si="489"/>
        <v>2011</v>
      </c>
      <c r="F2158" s="3">
        <f t="shared" si="490"/>
        <v>5</v>
      </c>
      <c r="G2158" s="3">
        <f t="shared" si="491"/>
        <v>13</v>
      </c>
      <c r="H2158" s="3">
        <f t="shared" si="492"/>
        <v>17</v>
      </c>
      <c r="I2158" s="3">
        <f t="shared" si="493"/>
        <v>10</v>
      </c>
      <c r="J2158" s="3">
        <f t="shared" si="494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495"/>
        <v>YES</v>
      </c>
      <c r="Q2158" t="str">
        <f t="shared" si="496"/>
        <v>NO</v>
      </c>
      <c r="R2158" t="str">
        <f t="shared" si="497"/>
        <v>NO</v>
      </c>
      <c r="S2158">
        <v>27</v>
      </c>
      <c r="T2158" t="s">
        <v>28</v>
      </c>
      <c r="U2158" t="str">
        <f t="shared" si="484"/>
        <v>Howard St</v>
      </c>
      <c r="W2158" t="str">
        <f t="shared" si="485"/>
        <v/>
      </c>
      <c r="X2158" t="str">
        <f>IF(ISBLANK(S2158),"Intersection","Non-Intersection")</f>
        <v>Non-Intersection</v>
      </c>
      <c r="Y2158" t="s">
        <v>3182</v>
      </c>
      <c r="Z2158" t="str">
        <f t="shared" si="486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487"/>
        <v>40544</v>
      </c>
      <c r="D2159" s="4">
        <f t="shared" si="488"/>
        <v>0.36438356164383562</v>
      </c>
      <c r="E2159" s="3">
        <f t="shared" si="489"/>
        <v>2011</v>
      </c>
      <c r="F2159" s="3">
        <f t="shared" si="490"/>
        <v>5</v>
      </c>
      <c r="G2159" s="3">
        <f t="shared" si="491"/>
        <v>14</v>
      </c>
      <c r="H2159" s="3">
        <f t="shared" si="492"/>
        <v>8</v>
      </c>
      <c r="I2159" s="3">
        <f t="shared" si="493"/>
        <v>45</v>
      </c>
      <c r="J2159" s="3">
        <f t="shared" si="494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495"/>
        <v>YES</v>
      </c>
      <c r="Q2159" t="str">
        <f t="shared" si="496"/>
        <v>NO</v>
      </c>
      <c r="R2159" t="str">
        <f t="shared" si="497"/>
        <v>NO</v>
      </c>
      <c r="T2159" t="s">
        <v>19</v>
      </c>
      <c r="U2159" t="str">
        <f t="shared" si="484"/>
        <v>Cambridge St</v>
      </c>
      <c r="V2159" t="s">
        <v>260</v>
      </c>
      <c r="W2159" t="str">
        <f t="shared" si="485"/>
        <v>Third St</v>
      </c>
      <c r="X2159" t="str">
        <f>IF(ISBLANK(S2159),"Intersection","Non-Intersection")</f>
        <v>Intersection</v>
      </c>
      <c r="Y2159" t="s">
        <v>640</v>
      </c>
      <c r="Z2159" t="str">
        <f t="shared" si="486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487"/>
        <v>40544</v>
      </c>
      <c r="D2160" s="4">
        <f t="shared" si="488"/>
        <v>0.36438356164383562</v>
      </c>
      <c r="E2160" s="3">
        <f t="shared" si="489"/>
        <v>2011</v>
      </c>
      <c r="F2160" s="3">
        <f t="shared" si="490"/>
        <v>5</v>
      </c>
      <c r="G2160" s="3">
        <f t="shared" si="491"/>
        <v>14</v>
      </c>
      <c r="H2160" s="3">
        <f t="shared" si="492"/>
        <v>8</v>
      </c>
      <c r="I2160" s="3">
        <f t="shared" si="493"/>
        <v>55</v>
      </c>
      <c r="J2160" s="3">
        <f t="shared" si="494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495"/>
        <v>YES</v>
      </c>
      <c r="Q2160" t="str">
        <f t="shared" si="496"/>
        <v>NO</v>
      </c>
      <c r="R2160" t="str">
        <f t="shared" si="497"/>
        <v>NO</v>
      </c>
      <c r="T2160" t="s">
        <v>453</v>
      </c>
      <c r="U2160" t="str">
        <f t="shared" si="484"/>
        <v>Brookline St</v>
      </c>
      <c r="V2160" t="s">
        <v>108</v>
      </c>
      <c r="W2160" t="str">
        <f t="shared" si="485"/>
        <v>Franklin St</v>
      </c>
      <c r="X2160" t="str">
        <f>IF(ISBLANK(S2160),"Intersection","Non-Intersection")</f>
        <v>Intersection</v>
      </c>
      <c r="Y2160" t="s">
        <v>3184</v>
      </c>
      <c r="Z2160" t="str">
        <f t="shared" si="486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487"/>
        <v>40544</v>
      </c>
      <c r="D2161" s="4">
        <f t="shared" si="488"/>
        <v>0.36438356164383562</v>
      </c>
      <c r="E2161" s="3">
        <f t="shared" si="489"/>
        <v>2011</v>
      </c>
      <c r="F2161" s="3">
        <f t="shared" si="490"/>
        <v>5</v>
      </c>
      <c r="G2161" s="3">
        <f t="shared" si="491"/>
        <v>14</v>
      </c>
      <c r="H2161" s="3">
        <f t="shared" si="492"/>
        <v>21</v>
      </c>
      <c r="I2161" s="3">
        <f t="shared" si="493"/>
        <v>30</v>
      </c>
      <c r="J2161" s="3">
        <f t="shared" si="494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495"/>
        <v>YES</v>
      </c>
      <c r="Q2161" t="str">
        <f t="shared" si="496"/>
        <v>NO</v>
      </c>
      <c r="R2161" t="str">
        <f t="shared" si="497"/>
        <v>NO</v>
      </c>
      <c r="T2161" t="s">
        <v>129</v>
      </c>
      <c r="U2161" t="str">
        <f t="shared" si="484"/>
        <v>Cardinal Medeiros Ave</v>
      </c>
      <c r="V2161" t="s">
        <v>19</v>
      </c>
      <c r="W2161" t="str">
        <f t="shared" si="485"/>
        <v>Cambridge St</v>
      </c>
      <c r="X2161" t="str">
        <f>IF(ISBLANK(S2161),"Intersection","Non-Intersection")</f>
        <v>Intersection</v>
      </c>
      <c r="Y2161" t="s">
        <v>2125</v>
      </c>
      <c r="Z2161" t="str">
        <f t="shared" si="486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487"/>
        <v>40544</v>
      </c>
      <c r="D2162" s="4">
        <f t="shared" si="488"/>
        <v>0.36438356164383562</v>
      </c>
      <c r="E2162" s="3">
        <f t="shared" si="489"/>
        <v>2011</v>
      </c>
      <c r="F2162" s="3">
        <f t="shared" si="490"/>
        <v>5</v>
      </c>
      <c r="G2162" s="3">
        <f t="shared" si="491"/>
        <v>14</v>
      </c>
      <c r="H2162" s="3">
        <f t="shared" si="492"/>
        <v>21</v>
      </c>
      <c r="I2162" s="3">
        <f t="shared" si="493"/>
        <v>45</v>
      </c>
      <c r="J2162" s="3">
        <f t="shared" si="494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495"/>
        <v>YES</v>
      </c>
      <c r="Q2162" t="str">
        <f t="shared" si="496"/>
        <v>YES</v>
      </c>
      <c r="R2162" t="str">
        <f t="shared" si="497"/>
        <v>NO</v>
      </c>
      <c r="T2162" t="s">
        <v>316</v>
      </c>
      <c r="U2162" t="str">
        <f t="shared" si="484"/>
        <v>Bishop Allen Dr</v>
      </c>
      <c r="V2162" t="s">
        <v>315</v>
      </c>
      <c r="W2162" t="str">
        <f t="shared" si="485"/>
        <v>Essex St</v>
      </c>
      <c r="X2162" t="str">
        <f>IF(ISBLANK(S2162),"Intersection","Non-Intersection")</f>
        <v>Intersection</v>
      </c>
      <c r="Y2162" t="s">
        <v>3185</v>
      </c>
      <c r="Z2162" t="str">
        <f t="shared" si="486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487"/>
        <v>40544</v>
      </c>
      <c r="D2163" s="4">
        <f t="shared" si="488"/>
        <v>0.36438356164383562</v>
      </c>
      <c r="E2163" s="3">
        <f t="shared" si="489"/>
        <v>2011</v>
      </c>
      <c r="F2163" s="3">
        <f t="shared" si="490"/>
        <v>5</v>
      </c>
      <c r="G2163" s="3">
        <f t="shared" si="491"/>
        <v>14</v>
      </c>
      <c r="H2163" s="3">
        <f t="shared" si="492"/>
        <v>10</v>
      </c>
      <c r="I2163" s="3">
        <f t="shared" si="493"/>
        <v>28</v>
      </c>
      <c r="J2163" s="3">
        <f t="shared" si="494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495"/>
        <v>YES</v>
      </c>
      <c r="Q2163" t="str">
        <f t="shared" si="496"/>
        <v>NO</v>
      </c>
      <c r="R2163" t="str">
        <f t="shared" si="497"/>
        <v>NO</v>
      </c>
      <c r="S2163">
        <v>1720</v>
      </c>
      <c r="T2163" t="s">
        <v>14</v>
      </c>
      <c r="U2163" t="str">
        <f t="shared" si="484"/>
        <v>Massachusetts Ave</v>
      </c>
      <c r="W2163" t="str">
        <f t="shared" si="485"/>
        <v/>
      </c>
      <c r="X2163" t="str">
        <f>IF(ISBLANK(S2163),"Intersection","Non-Intersection")</f>
        <v>Non-Intersection</v>
      </c>
      <c r="Y2163" t="s">
        <v>3186</v>
      </c>
      <c r="Z2163" t="str">
        <f t="shared" si="486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487"/>
        <v>40544</v>
      </c>
      <c r="D2164" s="4">
        <f t="shared" si="488"/>
        <v>0.36438356164383562</v>
      </c>
      <c r="E2164" s="3">
        <f t="shared" si="489"/>
        <v>2011</v>
      </c>
      <c r="F2164" s="3">
        <f t="shared" si="490"/>
        <v>5</v>
      </c>
      <c r="G2164" s="3">
        <f t="shared" si="491"/>
        <v>14</v>
      </c>
      <c r="H2164" s="3">
        <f t="shared" si="492"/>
        <v>2</v>
      </c>
      <c r="I2164" s="3">
        <f t="shared" si="493"/>
        <v>25</v>
      </c>
      <c r="J2164" s="3">
        <f t="shared" si="494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495"/>
        <v>YES</v>
      </c>
      <c r="Q2164" t="str">
        <f t="shared" si="496"/>
        <v>NO</v>
      </c>
      <c r="R2164" t="str">
        <f t="shared" si="497"/>
        <v>NO</v>
      </c>
      <c r="T2164" t="s">
        <v>14</v>
      </c>
      <c r="U2164" t="str">
        <f t="shared" si="484"/>
        <v>Massachusetts Ave</v>
      </c>
      <c r="V2164" t="s">
        <v>94</v>
      </c>
      <c r="W2164" t="str">
        <f t="shared" si="485"/>
        <v>Shepard St</v>
      </c>
      <c r="X2164" t="str">
        <f>IF(ISBLANK(S2164),"Intersection","Non-Intersection")</f>
        <v>Intersection</v>
      </c>
      <c r="Y2164" t="s">
        <v>95</v>
      </c>
      <c r="Z2164" t="str">
        <f t="shared" si="486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487"/>
        <v>40544</v>
      </c>
      <c r="D2165" s="4">
        <f t="shared" si="488"/>
        <v>0.36712328767123287</v>
      </c>
      <c r="E2165" s="3">
        <f t="shared" si="489"/>
        <v>2011</v>
      </c>
      <c r="F2165" s="3">
        <f t="shared" si="490"/>
        <v>5</v>
      </c>
      <c r="G2165" s="3">
        <f t="shared" si="491"/>
        <v>15</v>
      </c>
      <c r="H2165" s="3">
        <f t="shared" si="492"/>
        <v>0</v>
      </c>
      <c r="I2165" s="3">
        <f t="shared" si="493"/>
        <v>59</v>
      </c>
      <c r="J2165" s="3">
        <f t="shared" si="494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495"/>
        <v>YES</v>
      </c>
      <c r="Q2165" t="str">
        <f t="shared" si="496"/>
        <v>NO</v>
      </c>
      <c r="R2165" t="str">
        <f t="shared" si="497"/>
        <v>NO</v>
      </c>
      <c r="T2165" t="s">
        <v>3188</v>
      </c>
      <c r="U2165" t="str">
        <f t="shared" si="484"/>
        <v>Montgomery St</v>
      </c>
      <c r="V2165" t="s">
        <v>66</v>
      </c>
      <c r="W2165" t="str">
        <f t="shared" si="485"/>
        <v>Dudley St</v>
      </c>
      <c r="X2165" t="str">
        <f>IF(ISBLANK(S2165),"Intersection","Non-Intersection")</f>
        <v>Intersection</v>
      </c>
      <c r="Y2165" t="s">
        <v>3189</v>
      </c>
      <c r="Z2165" t="str">
        <f t="shared" si="486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487"/>
        <v>40544</v>
      </c>
      <c r="D2166" s="4">
        <f t="shared" si="488"/>
        <v>0.36712328767123287</v>
      </c>
      <c r="E2166" s="3">
        <f t="shared" si="489"/>
        <v>2011</v>
      </c>
      <c r="F2166" s="3">
        <f t="shared" si="490"/>
        <v>5</v>
      </c>
      <c r="G2166" s="3">
        <f t="shared" si="491"/>
        <v>15</v>
      </c>
      <c r="H2166" s="3">
        <f t="shared" si="492"/>
        <v>21</v>
      </c>
      <c r="I2166" s="3">
        <f t="shared" si="493"/>
        <v>34</v>
      </c>
      <c r="J2166" s="3">
        <f t="shared" si="494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495"/>
        <v>YES</v>
      </c>
      <c r="Q2166" t="str">
        <f t="shared" si="496"/>
        <v>NO</v>
      </c>
      <c r="R2166" t="str">
        <f t="shared" si="497"/>
        <v>NO</v>
      </c>
      <c r="T2166" t="s">
        <v>14</v>
      </c>
      <c r="U2166" t="str">
        <f t="shared" si="484"/>
        <v>Massachusetts Ave</v>
      </c>
      <c r="V2166" t="s">
        <v>3191</v>
      </c>
      <c r="W2166" t="str">
        <f t="shared" si="485"/>
        <v>Langdon Sq</v>
      </c>
      <c r="X2166" t="str">
        <f>IF(ISBLANK(S2166),"Intersection","Non-Intersection")</f>
        <v>Intersection</v>
      </c>
      <c r="Y2166" t="s">
        <v>3192</v>
      </c>
      <c r="Z2166" t="str">
        <f t="shared" si="486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487"/>
        <v>40544</v>
      </c>
      <c r="D2167" s="4">
        <f t="shared" si="488"/>
        <v>0.36986301369863012</v>
      </c>
      <c r="E2167" s="3">
        <f t="shared" si="489"/>
        <v>2011</v>
      </c>
      <c r="F2167" s="3">
        <f t="shared" si="490"/>
        <v>5</v>
      </c>
      <c r="G2167" s="3">
        <f t="shared" si="491"/>
        <v>16</v>
      </c>
      <c r="H2167" s="3">
        <f t="shared" si="492"/>
        <v>16</v>
      </c>
      <c r="I2167" s="3">
        <f t="shared" si="493"/>
        <v>6</v>
      </c>
      <c r="J2167" s="3">
        <f t="shared" si="494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495"/>
        <v>YES</v>
      </c>
      <c r="Q2167" t="str">
        <f t="shared" si="496"/>
        <v>NO</v>
      </c>
      <c r="R2167" t="str">
        <f t="shared" si="497"/>
        <v>YES</v>
      </c>
      <c r="T2167" t="s">
        <v>252</v>
      </c>
      <c r="U2167" t="str">
        <f t="shared" si="484"/>
        <v>Walden St</v>
      </c>
      <c r="V2167" t="s">
        <v>577</v>
      </c>
      <c r="W2167" t="str">
        <f t="shared" si="485"/>
        <v>Vassal Ln</v>
      </c>
      <c r="X2167" t="str">
        <f>IF(ISBLANK(S2167),"Intersection","Non-Intersection")</f>
        <v>Intersection</v>
      </c>
      <c r="Y2167" t="s">
        <v>3193</v>
      </c>
      <c r="Z2167" t="str">
        <f t="shared" si="486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487"/>
        <v>40544</v>
      </c>
      <c r="D2168" s="4">
        <f t="shared" si="488"/>
        <v>0.36986301369863012</v>
      </c>
      <c r="E2168" s="3">
        <f t="shared" si="489"/>
        <v>2011</v>
      </c>
      <c r="F2168" s="3">
        <f t="shared" si="490"/>
        <v>5</v>
      </c>
      <c r="G2168" s="3">
        <f t="shared" si="491"/>
        <v>16</v>
      </c>
      <c r="H2168" s="3">
        <f t="shared" si="492"/>
        <v>21</v>
      </c>
      <c r="I2168" s="3">
        <f t="shared" si="493"/>
        <v>27</v>
      </c>
      <c r="J2168" s="3">
        <f t="shared" si="494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495"/>
        <v>YES</v>
      </c>
      <c r="Q2168" t="str">
        <f t="shared" si="496"/>
        <v>NO</v>
      </c>
      <c r="R2168" t="str">
        <f t="shared" si="497"/>
        <v>NO</v>
      </c>
      <c r="T2168" t="s">
        <v>19</v>
      </c>
      <c r="U2168" t="str">
        <f t="shared" si="484"/>
        <v>Cambridge St</v>
      </c>
      <c r="V2168" t="s">
        <v>260</v>
      </c>
      <c r="W2168" t="str">
        <f t="shared" si="485"/>
        <v>Third St</v>
      </c>
      <c r="X2168" t="str">
        <f>IF(ISBLANK(S2168),"Intersection","Non-Intersection")</f>
        <v>Intersection</v>
      </c>
      <c r="Y2168" t="s">
        <v>640</v>
      </c>
      <c r="Z2168" t="str">
        <f t="shared" si="486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487"/>
        <v>40544</v>
      </c>
      <c r="D2169" s="4">
        <f t="shared" si="488"/>
        <v>0.36986301369863012</v>
      </c>
      <c r="E2169" s="3">
        <f t="shared" si="489"/>
        <v>2011</v>
      </c>
      <c r="F2169" s="3">
        <f t="shared" si="490"/>
        <v>5</v>
      </c>
      <c r="G2169" s="3">
        <f t="shared" si="491"/>
        <v>16</v>
      </c>
      <c r="H2169" s="3">
        <f t="shared" si="492"/>
        <v>21</v>
      </c>
      <c r="I2169" s="3">
        <f t="shared" si="493"/>
        <v>34</v>
      </c>
      <c r="J2169" s="3">
        <f t="shared" si="494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495"/>
        <v>YES</v>
      </c>
      <c r="Q2169" t="str">
        <f t="shared" si="496"/>
        <v>NO</v>
      </c>
      <c r="R2169" t="str">
        <f t="shared" si="497"/>
        <v>NO</v>
      </c>
      <c r="T2169" t="s">
        <v>198</v>
      </c>
      <c r="U2169" t="str">
        <f t="shared" si="484"/>
        <v>Mount Auburn St</v>
      </c>
      <c r="V2169" t="s">
        <v>1177</v>
      </c>
      <c r="W2169" t="str">
        <f t="shared" si="485"/>
        <v>Plympton St</v>
      </c>
      <c r="X2169" t="str">
        <f>IF(ISBLANK(S2169),"Intersection","Non-Intersection")</f>
        <v>Intersection</v>
      </c>
      <c r="Y2169" t="s">
        <v>3194</v>
      </c>
      <c r="Z2169" t="str">
        <f t="shared" si="486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487"/>
        <v>40544</v>
      </c>
      <c r="D2170" s="4">
        <f t="shared" si="488"/>
        <v>0.36986301369863012</v>
      </c>
      <c r="E2170" s="3">
        <f t="shared" si="489"/>
        <v>2011</v>
      </c>
      <c r="F2170" s="3">
        <f t="shared" si="490"/>
        <v>5</v>
      </c>
      <c r="G2170" s="3">
        <f t="shared" si="491"/>
        <v>16</v>
      </c>
      <c r="H2170" s="3">
        <f t="shared" si="492"/>
        <v>11</v>
      </c>
      <c r="I2170" s="3">
        <f t="shared" si="493"/>
        <v>45</v>
      </c>
      <c r="J2170" s="3">
        <f t="shared" si="494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495"/>
        <v>YES</v>
      </c>
      <c r="Q2170" t="str">
        <f t="shared" si="496"/>
        <v>NO</v>
      </c>
      <c r="R2170" t="str">
        <f t="shared" si="497"/>
        <v>NO</v>
      </c>
      <c r="T2170" t="s">
        <v>2007</v>
      </c>
      <c r="U2170" t="str">
        <f t="shared" si="484"/>
        <v>Glenwood Ave</v>
      </c>
      <c r="V2170" t="s">
        <v>70</v>
      </c>
      <c r="W2170" t="str">
        <f t="shared" si="485"/>
        <v>Pearl St</v>
      </c>
      <c r="X2170" t="str">
        <f>IF(ISBLANK(S2170),"Intersection","Non-Intersection")</f>
        <v>Intersection</v>
      </c>
      <c r="Y2170" t="s">
        <v>3196</v>
      </c>
      <c r="Z2170" t="str">
        <f t="shared" si="486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487"/>
        <v>40544</v>
      </c>
      <c r="D2171" s="4">
        <f t="shared" si="488"/>
        <v>0.36986301369863012</v>
      </c>
      <c r="E2171" s="3">
        <f t="shared" si="489"/>
        <v>2011</v>
      </c>
      <c r="F2171" s="3">
        <f t="shared" si="490"/>
        <v>5</v>
      </c>
      <c r="G2171" s="3">
        <f t="shared" si="491"/>
        <v>16</v>
      </c>
      <c r="H2171" s="3">
        <f t="shared" si="492"/>
        <v>0</v>
      </c>
      <c r="I2171" s="3">
        <f t="shared" si="493"/>
        <v>45</v>
      </c>
      <c r="J2171" s="3">
        <f t="shared" si="494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495"/>
        <v>YES</v>
      </c>
      <c r="Q2171" t="str">
        <f t="shared" si="496"/>
        <v>NO</v>
      </c>
      <c r="R2171" t="str">
        <f t="shared" si="497"/>
        <v>NO</v>
      </c>
      <c r="S2171">
        <v>271</v>
      </c>
      <c r="T2171" t="s">
        <v>19</v>
      </c>
      <c r="U2171" t="str">
        <f t="shared" si="484"/>
        <v>Cambridge St</v>
      </c>
      <c r="W2171" t="str">
        <f t="shared" si="485"/>
        <v/>
      </c>
      <c r="X2171" t="str">
        <f>IF(ISBLANK(S2171),"Intersection","Non-Intersection")</f>
        <v>Non-Intersection</v>
      </c>
      <c r="Y2171" t="s">
        <v>3198</v>
      </c>
      <c r="Z2171" t="str">
        <f t="shared" si="486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487"/>
        <v>40544</v>
      </c>
      <c r="D2172" s="4">
        <f t="shared" si="488"/>
        <v>0.37260273972602742</v>
      </c>
      <c r="E2172" s="3">
        <f t="shared" si="489"/>
        <v>2011</v>
      </c>
      <c r="F2172" s="3">
        <f t="shared" si="490"/>
        <v>5</v>
      </c>
      <c r="G2172" s="3">
        <f t="shared" si="491"/>
        <v>17</v>
      </c>
      <c r="H2172" s="3">
        <f t="shared" si="492"/>
        <v>1</v>
      </c>
      <c r="I2172" s="3">
        <f t="shared" si="493"/>
        <v>50</v>
      </c>
      <c r="J2172" s="3">
        <f t="shared" si="494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495"/>
        <v>YES</v>
      </c>
      <c r="Q2172" t="str">
        <f t="shared" si="496"/>
        <v>NO</v>
      </c>
      <c r="R2172" t="str">
        <f t="shared" si="497"/>
        <v>NO</v>
      </c>
      <c r="T2172" t="s">
        <v>14</v>
      </c>
      <c r="U2172" t="str">
        <f t="shared" si="484"/>
        <v>Massachusetts Ave</v>
      </c>
      <c r="V2172" t="s">
        <v>453</v>
      </c>
      <c r="W2172" t="str">
        <f t="shared" si="485"/>
        <v>Brookline St</v>
      </c>
      <c r="X2172" t="str">
        <f>IF(ISBLANK(S2172),"Intersection","Non-Intersection")</f>
        <v>Intersection</v>
      </c>
      <c r="Y2172" t="s">
        <v>3069</v>
      </c>
      <c r="Z2172" t="str">
        <f t="shared" si="486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487"/>
        <v>40544</v>
      </c>
      <c r="D2173" s="4">
        <f t="shared" si="488"/>
        <v>0.37260273972602742</v>
      </c>
      <c r="E2173" s="3">
        <f t="shared" si="489"/>
        <v>2011</v>
      </c>
      <c r="F2173" s="3">
        <f t="shared" si="490"/>
        <v>5</v>
      </c>
      <c r="G2173" s="3">
        <f t="shared" si="491"/>
        <v>17</v>
      </c>
      <c r="H2173" s="3">
        <f t="shared" si="492"/>
        <v>1</v>
      </c>
      <c r="I2173" s="3">
        <f t="shared" si="493"/>
        <v>34</v>
      </c>
      <c r="J2173" s="3">
        <f t="shared" si="494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495"/>
        <v>YES</v>
      </c>
      <c r="Q2173" t="str">
        <f t="shared" si="496"/>
        <v>NO</v>
      </c>
      <c r="R2173" t="str">
        <f t="shared" si="497"/>
        <v>NO</v>
      </c>
      <c r="S2173">
        <v>1300</v>
      </c>
      <c r="T2173" t="s">
        <v>14</v>
      </c>
      <c r="U2173" t="str">
        <f t="shared" si="484"/>
        <v>Massachusetts Ave</v>
      </c>
      <c r="W2173" t="str">
        <f t="shared" si="485"/>
        <v/>
      </c>
      <c r="X2173" t="str">
        <f>IF(ISBLANK(S2173),"Intersection","Non-Intersection")</f>
        <v>Non-Intersection</v>
      </c>
      <c r="Y2173" t="s">
        <v>3200</v>
      </c>
      <c r="Z2173" t="str">
        <f t="shared" si="486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487"/>
        <v>40544</v>
      </c>
      <c r="D2174" s="4">
        <f t="shared" si="488"/>
        <v>0.37260273972602742</v>
      </c>
      <c r="E2174" s="3">
        <f t="shared" si="489"/>
        <v>2011</v>
      </c>
      <c r="F2174" s="3">
        <f t="shared" si="490"/>
        <v>5</v>
      </c>
      <c r="G2174" s="3">
        <f t="shared" si="491"/>
        <v>17</v>
      </c>
      <c r="H2174" s="3">
        <f t="shared" si="492"/>
        <v>15</v>
      </c>
      <c r="I2174" s="3">
        <f t="shared" si="493"/>
        <v>43</v>
      </c>
      <c r="J2174" s="3">
        <f t="shared" si="494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495"/>
        <v>YES</v>
      </c>
      <c r="Q2174" t="str">
        <f t="shared" si="496"/>
        <v>NO</v>
      </c>
      <c r="R2174" t="str">
        <f t="shared" si="497"/>
        <v>NO</v>
      </c>
      <c r="S2174">
        <v>107</v>
      </c>
      <c r="T2174" t="s">
        <v>198</v>
      </c>
      <c r="U2174" t="str">
        <f t="shared" si="484"/>
        <v>Mount Auburn St</v>
      </c>
      <c r="W2174" t="str">
        <f t="shared" si="485"/>
        <v/>
      </c>
      <c r="X2174" t="str">
        <f>IF(ISBLANK(S2174),"Intersection","Non-Intersection")</f>
        <v>Non-Intersection</v>
      </c>
      <c r="Y2174" t="s">
        <v>3202</v>
      </c>
      <c r="Z2174" t="str">
        <f t="shared" si="486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487"/>
        <v>40544</v>
      </c>
      <c r="D2175" s="4">
        <f t="shared" si="488"/>
        <v>0.37808219178082192</v>
      </c>
      <c r="E2175" s="3">
        <f t="shared" si="489"/>
        <v>2011</v>
      </c>
      <c r="F2175" s="3">
        <f t="shared" si="490"/>
        <v>5</v>
      </c>
      <c r="G2175" s="3">
        <f t="shared" si="491"/>
        <v>19</v>
      </c>
      <c r="H2175" s="3">
        <f t="shared" si="492"/>
        <v>10</v>
      </c>
      <c r="I2175" s="3">
        <f t="shared" si="493"/>
        <v>30</v>
      </c>
      <c r="J2175" s="3">
        <f t="shared" si="494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495"/>
        <v>YES</v>
      </c>
      <c r="Q2175" t="str">
        <f t="shared" si="496"/>
        <v>NO</v>
      </c>
      <c r="R2175" t="str">
        <f t="shared" si="497"/>
        <v>NO</v>
      </c>
      <c r="S2175">
        <v>820</v>
      </c>
      <c r="T2175" t="s">
        <v>126</v>
      </c>
      <c r="U2175" t="str">
        <f t="shared" si="484"/>
        <v>Somerville Ave</v>
      </c>
      <c r="V2175" t="s">
        <v>269</v>
      </c>
      <c r="W2175" t="str">
        <f t="shared" si="485"/>
        <v>Porter Sq</v>
      </c>
      <c r="X2175" t="str">
        <f>IF(ISBLANK(S2175),"Intersection","Non-Intersection")</f>
        <v>Non-Intersection</v>
      </c>
      <c r="Y2175" t="s">
        <v>3204</v>
      </c>
      <c r="Z2175" t="str">
        <f t="shared" si="486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487"/>
        <v>40544</v>
      </c>
      <c r="D2176" s="4">
        <f t="shared" si="488"/>
        <v>0.37808219178082192</v>
      </c>
      <c r="E2176" s="3">
        <f t="shared" si="489"/>
        <v>2011</v>
      </c>
      <c r="F2176" s="3">
        <f t="shared" si="490"/>
        <v>5</v>
      </c>
      <c r="G2176" s="3">
        <f t="shared" si="491"/>
        <v>19</v>
      </c>
      <c r="H2176" s="3">
        <f t="shared" si="492"/>
        <v>12</v>
      </c>
      <c r="I2176" s="3">
        <f t="shared" si="493"/>
        <v>29</v>
      </c>
      <c r="J2176" s="3">
        <f t="shared" si="494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495"/>
        <v>YES</v>
      </c>
      <c r="Q2176" t="str">
        <f t="shared" si="496"/>
        <v>NO</v>
      </c>
      <c r="R2176" t="str">
        <f t="shared" si="497"/>
        <v>NO</v>
      </c>
      <c r="S2176">
        <v>186</v>
      </c>
      <c r="T2176" t="s">
        <v>170</v>
      </c>
      <c r="U2176" t="str">
        <f t="shared" si="484"/>
        <v>Alewife Brook Pky</v>
      </c>
      <c r="W2176" t="str">
        <f t="shared" si="485"/>
        <v/>
      </c>
      <c r="X2176" t="str">
        <f>IF(ISBLANK(S2176),"Intersection","Non-Intersection")</f>
        <v>Non-Intersection</v>
      </c>
      <c r="Y2176" t="s">
        <v>242</v>
      </c>
      <c r="Z2176" t="str">
        <f t="shared" si="486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487"/>
        <v>40544</v>
      </c>
      <c r="D2177" s="4">
        <f t="shared" si="488"/>
        <v>0.37808219178082192</v>
      </c>
      <c r="E2177" s="3">
        <f t="shared" si="489"/>
        <v>2011</v>
      </c>
      <c r="F2177" s="3">
        <f t="shared" si="490"/>
        <v>5</v>
      </c>
      <c r="G2177" s="3">
        <f t="shared" si="491"/>
        <v>19</v>
      </c>
      <c r="H2177" s="3">
        <f t="shared" si="492"/>
        <v>15</v>
      </c>
      <c r="I2177" s="3">
        <f t="shared" si="493"/>
        <v>0</v>
      </c>
      <c r="J2177" s="3">
        <f t="shared" si="494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495"/>
        <v>YES</v>
      </c>
      <c r="Q2177" t="str">
        <f t="shared" si="496"/>
        <v>NO</v>
      </c>
      <c r="R2177" t="str">
        <f t="shared" si="497"/>
        <v>NO</v>
      </c>
      <c r="S2177">
        <v>270</v>
      </c>
      <c r="T2177" t="s">
        <v>509</v>
      </c>
      <c r="U2177" t="str">
        <f t="shared" si="484"/>
        <v>Green St</v>
      </c>
      <c r="V2177" t="s">
        <v>37</v>
      </c>
      <c r="W2177" t="str">
        <f t="shared" si="485"/>
        <v>Magazine St</v>
      </c>
      <c r="X2177" t="str">
        <f>IF(ISBLANK(S2177),"Intersection","Non-Intersection")</f>
        <v>Non-Intersection</v>
      </c>
      <c r="Y2177" t="s">
        <v>2330</v>
      </c>
      <c r="Z2177" t="str">
        <f t="shared" si="486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487"/>
        <v>40544</v>
      </c>
      <c r="D2178" s="4">
        <f t="shared" si="488"/>
        <v>0.37808219178082192</v>
      </c>
      <c r="E2178" s="3">
        <f t="shared" si="489"/>
        <v>2011</v>
      </c>
      <c r="F2178" s="3">
        <f t="shared" si="490"/>
        <v>5</v>
      </c>
      <c r="G2178" s="3">
        <f t="shared" si="491"/>
        <v>19</v>
      </c>
      <c r="H2178" s="3">
        <f t="shared" si="492"/>
        <v>18</v>
      </c>
      <c r="I2178" s="3">
        <f t="shared" si="493"/>
        <v>0</v>
      </c>
      <c r="J2178" s="3">
        <f t="shared" si="494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495"/>
        <v>YES</v>
      </c>
      <c r="Q2178" t="str">
        <f t="shared" si="496"/>
        <v>NO</v>
      </c>
      <c r="R2178" t="str">
        <f t="shared" si="497"/>
        <v>NO</v>
      </c>
      <c r="T2178" t="s">
        <v>288</v>
      </c>
      <c r="U2178" t="str">
        <f t="shared" si="484"/>
        <v>Galileo Galilei Way</v>
      </c>
      <c r="V2178" t="s">
        <v>105</v>
      </c>
      <c r="W2178" t="str">
        <f t="shared" si="485"/>
        <v>Broadway</v>
      </c>
      <c r="X2178" t="str">
        <f>IF(ISBLANK(S2178),"Intersection","Non-Intersection")</f>
        <v>Intersection</v>
      </c>
      <c r="Y2178" t="s">
        <v>307</v>
      </c>
      <c r="Z2178" t="str">
        <f t="shared" si="486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487"/>
        <v>40544</v>
      </c>
      <c r="D2179" s="4">
        <f t="shared" si="488"/>
        <v>0.38082191780821917</v>
      </c>
      <c r="E2179" s="3">
        <f t="shared" si="489"/>
        <v>2011</v>
      </c>
      <c r="F2179" s="3">
        <f t="shared" si="490"/>
        <v>5</v>
      </c>
      <c r="G2179" s="3">
        <f t="shared" si="491"/>
        <v>20</v>
      </c>
      <c r="H2179" s="3">
        <f t="shared" si="492"/>
        <v>7</v>
      </c>
      <c r="I2179" s="3">
        <f t="shared" si="493"/>
        <v>51</v>
      </c>
      <c r="J2179" s="3">
        <f t="shared" si="494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495"/>
        <v>YES</v>
      </c>
      <c r="Q2179" t="str">
        <f t="shared" si="496"/>
        <v>NO</v>
      </c>
      <c r="R2179" t="str">
        <f t="shared" si="497"/>
        <v>NO</v>
      </c>
      <c r="T2179" t="s">
        <v>15</v>
      </c>
      <c r="U2179" t="str">
        <f t="shared" ref="U2179:U2242" si="498">TRIM(PROPER(T2179))</f>
        <v>Rindge Ave</v>
      </c>
      <c r="V2179" t="s">
        <v>561</v>
      </c>
      <c r="W2179" t="str">
        <f t="shared" ref="W2179:W2242" si="499">TRIM(PROPER(V2179))</f>
        <v>Sargent St</v>
      </c>
      <c r="X2179" t="str">
        <f>IF(ISBLANK(S2179),"Intersection","Non-Intersection")</f>
        <v>Intersection</v>
      </c>
      <c r="Y2179" t="s">
        <v>1337</v>
      </c>
      <c r="Z2179" t="str">
        <f t="shared" ref="Z2179:Z2242" si="500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487"/>
        <v>40544</v>
      </c>
      <c r="D2180" s="4">
        <f t="shared" si="488"/>
        <v>0.38082191780821917</v>
      </c>
      <c r="E2180" s="3">
        <f t="shared" si="489"/>
        <v>2011</v>
      </c>
      <c r="F2180" s="3">
        <f t="shared" si="490"/>
        <v>5</v>
      </c>
      <c r="G2180" s="3">
        <f t="shared" si="491"/>
        <v>20</v>
      </c>
      <c r="H2180" s="3">
        <f t="shared" si="492"/>
        <v>21</v>
      </c>
      <c r="I2180" s="3">
        <f t="shared" si="493"/>
        <v>20</v>
      </c>
      <c r="J2180" s="3">
        <f t="shared" si="494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495"/>
        <v>YES</v>
      </c>
      <c r="Q2180" t="str">
        <f t="shared" si="496"/>
        <v>NO</v>
      </c>
      <c r="R2180" t="str">
        <f t="shared" si="497"/>
        <v>YES</v>
      </c>
      <c r="S2180">
        <v>199</v>
      </c>
      <c r="T2180" t="s">
        <v>189</v>
      </c>
      <c r="U2180" t="str">
        <f t="shared" si="498"/>
        <v>Windsor St</v>
      </c>
      <c r="W2180" t="str">
        <f t="shared" si="499"/>
        <v/>
      </c>
      <c r="X2180" t="str">
        <f>IF(ISBLANK(S2180),"Intersection","Non-Intersection")</f>
        <v>Non-Intersection</v>
      </c>
      <c r="Y2180" t="s">
        <v>3206</v>
      </c>
      <c r="Z2180" t="str">
        <f t="shared" si="500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487"/>
        <v>40544</v>
      </c>
      <c r="D2181" s="4">
        <f t="shared" si="488"/>
        <v>0.38082191780821917</v>
      </c>
      <c r="E2181" s="3">
        <f t="shared" si="489"/>
        <v>2011</v>
      </c>
      <c r="F2181" s="3">
        <f t="shared" si="490"/>
        <v>5</v>
      </c>
      <c r="G2181" s="3">
        <f t="shared" si="491"/>
        <v>20</v>
      </c>
      <c r="H2181" s="3">
        <f t="shared" si="492"/>
        <v>15</v>
      </c>
      <c r="I2181" s="3">
        <f t="shared" si="493"/>
        <v>33</v>
      </c>
      <c r="J2181" s="3">
        <f t="shared" si="494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495"/>
        <v>YES</v>
      </c>
      <c r="Q2181" t="str">
        <f t="shared" si="496"/>
        <v>YES</v>
      </c>
      <c r="R2181" t="str">
        <f t="shared" si="497"/>
        <v>NO</v>
      </c>
      <c r="S2181">
        <v>42</v>
      </c>
      <c r="T2181" t="s">
        <v>202</v>
      </c>
      <c r="U2181" t="str">
        <f t="shared" si="498"/>
        <v>Vassar St</v>
      </c>
      <c r="W2181" t="str">
        <f t="shared" si="499"/>
        <v/>
      </c>
      <c r="X2181" t="str">
        <f>IF(ISBLANK(S2181),"Intersection","Non-Intersection")</f>
        <v>Non-Intersection</v>
      </c>
      <c r="Y2181" t="s">
        <v>3208</v>
      </c>
      <c r="Z2181" t="str">
        <f t="shared" si="500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487"/>
        <v>40544</v>
      </c>
      <c r="D2182" s="4">
        <f t="shared" si="488"/>
        <v>0.38356164383561642</v>
      </c>
      <c r="E2182" s="3">
        <f t="shared" si="489"/>
        <v>2011</v>
      </c>
      <c r="F2182" s="3">
        <f t="shared" si="490"/>
        <v>5</v>
      </c>
      <c r="G2182" s="3">
        <f t="shared" si="491"/>
        <v>21</v>
      </c>
      <c r="H2182" s="3">
        <f t="shared" si="492"/>
        <v>10</v>
      </c>
      <c r="I2182" s="3">
        <f t="shared" si="493"/>
        <v>48</v>
      </c>
      <c r="J2182" s="3">
        <f t="shared" si="494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495"/>
        <v>YES</v>
      </c>
      <c r="Q2182" t="str">
        <f t="shared" si="496"/>
        <v>NO</v>
      </c>
      <c r="R2182" t="str">
        <f t="shared" si="497"/>
        <v>YES</v>
      </c>
      <c r="S2182">
        <v>173</v>
      </c>
      <c r="T2182" t="s">
        <v>19</v>
      </c>
      <c r="U2182" t="str">
        <f t="shared" si="498"/>
        <v>Cambridge St</v>
      </c>
      <c r="W2182" t="str">
        <f t="shared" si="499"/>
        <v/>
      </c>
      <c r="X2182" t="str">
        <f>IF(ISBLANK(S2182),"Intersection","Non-Intersection")</f>
        <v>Non-Intersection</v>
      </c>
      <c r="Y2182" t="s">
        <v>3210</v>
      </c>
      <c r="Z2182" t="str">
        <f t="shared" si="500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487"/>
        <v>40544</v>
      </c>
      <c r="D2183" s="4">
        <f t="shared" si="488"/>
        <v>0.38356164383561642</v>
      </c>
      <c r="E2183" s="3">
        <f t="shared" si="489"/>
        <v>2011</v>
      </c>
      <c r="F2183" s="3">
        <f t="shared" si="490"/>
        <v>5</v>
      </c>
      <c r="G2183" s="3">
        <f t="shared" si="491"/>
        <v>21</v>
      </c>
      <c r="H2183" s="3">
        <f t="shared" si="492"/>
        <v>16</v>
      </c>
      <c r="I2183" s="3">
        <f t="shared" si="493"/>
        <v>44</v>
      </c>
      <c r="J2183" s="3">
        <f t="shared" si="494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495"/>
        <v>YES</v>
      </c>
      <c r="Q2183" t="str">
        <f t="shared" si="496"/>
        <v>YES</v>
      </c>
      <c r="R2183" t="str">
        <f t="shared" si="497"/>
        <v>NO</v>
      </c>
      <c r="T2183" t="s">
        <v>198</v>
      </c>
      <c r="U2183" t="str">
        <f t="shared" si="498"/>
        <v>Mount Auburn St</v>
      </c>
      <c r="V2183" t="s">
        <v>935</v>
      </c>
      <c r="W2183" t="str">
        <f t="shared" si="499"/>
        <v>Hawthorne St</v>
      </c>
      <c r="X2183" t="str">
        <f>IF(ISBLANK(S2183),"Intersection","Non-Intersection")</f>
        <v>Intersection</v>
      </c>
      <c r="Y2183" t="s">
        <v>1887</v>
      </c>
      <c r="Z2183" t="str">
        <f t="shared" si="500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487"/>
        <v>40544</v>
      </c>
      <c r="D2184" s="4">
        <f t="shared" si="488"/>
        <v>0.38356164383561642</v>
      </c>
      <c r="E2184" s="3">
        <f t="shared" si="489"/>
        <v>2011</v>
      </c>
      <c r="F2184" s="3">
        <f t="shared" si="490"/>
        <v>5</v>
      </c>
      <c r="G2184" s="3">
        <f t="shared" si="491"/>
        <v>21</v>
      </c>
      <c r="H2184" s="3">
        <f t="shared" si="492"/>
        <v>18</v>
      </c>
      <c r="I2184" s="3">
        <f t="shared" si="493"/>
        <v>59</v>
      </c>
      <c r="J2184" s="3">
        <f t="shared" si="494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495"/>
        <v>YES</v>
      </c>
      <c r="Q2184" t="str">
        <f t="shared" si="496"/>
        <v>NO</v>
      </c>
      <c r="R2184" t="str">
        <f t="shared" si="497"/>
        <v>NO</v>
      </c>
      <c r="T2184" t="s">
        <v>185</v>
      </c>
      <c r="U2184" t="str">
        <f t="shared" si="498"/>
        <v>Garden St</v>
      </c>
      <c r="V2184" t="s">
        <v>296</v>
      </c>
      <c r="W2184" t="str">
        <f t="shared" si="499"/>
        <v>Mason St</v>
      </c>
      <c r="X2184" t="str">
        <f>IF(ISBLANK(S2184),"Intersection","Non-Intersection")</f>
        <v>Intersection</v>
      </c>
      <c r="Y2184" t="s">
        <v>594</v>
      </c>
      <c r="Z2184" t="str">
        <f t="shared" si="500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487"/>
        <v>40544</v>
      </c>
      <c r="D2185" s="4">
        <f t="shared" si="488"/>
        <v>0.38356164383561642</v>
      </c>
      <c r="E2185" s="3">
        <f t="shared" si="489"/>
        <v>2011</v>
      </c>
      <c r="F2185" s="3">
        <f t="shared" si="490"/>
        <v>5</v>
      </c>
      <c r="G2185" s="3">
        <f t="shared" si="491"/>
        <v>21</v>
      </c>
      <c r="H2185" s="3">
        <f t="shared" si="492"/>
        <v>12</v>
      </c>
      <c r="I2185" s="3">
        <f t="shared" si="493"/>
        <v>1</v>
      </c>
      <c r="J2185" s="3">
        <f t="shared" si="494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495"/>
        <v>YES</v>
      </c>
      <c r="Q2185" t="str">
        <f t="shared" si="496"/>
        <v>NO</v>
      </c>
      <c r="R2185" t="str">
        <f t="shared" si="497"/>
        <v>NO</v>
      </c>
      <c r="T2185" t="s">
        <v>1438</v>
      </c>
      <c r="U2185" t="str">
        <f t="shared" si="498"/>
        <v>Dunster St</v>
      </c>
      <c r="V2185" t="s">
        <v>198</v>
      </c>
      <c r="W2185" t="str">
        <f t="shared" si="499"/>
        <v>Mount Auburn St</v>
      </c>
      <c r="X2185" t="str">
        <f>IF(ISBLANK(S2185),"Intersection","Non-Intersection")</f>
        <v>Intersection</v>
      </c>
      <c r="Y2185" t="s">
        <v>1786</v>
      </c>
      <c r="Z2185" t="str">
        <f t="shared" si="500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487"/>
        <v>40544</v>
      </c>
      <c r="D2186" s="4">
        <f t="shared" si="488"/>
        <v>0.38356164383561642</v>
      </c>
      <c r="E2186" s="3">
        <f t="shared" si="489"/>
        <v>2011</v>
      </c>
      <c r="F2186" s="3">
        <f t="shared" si="490"/>
        <v>5</v>
      </c>
      <c r="G2186" s="3">
        <f t="shared" si="491"/>
        <v>21</v>
      </c>
      <c r="H2186" s="3">
        <f t="shared" si="492"/>
        <v>15</v>
      </c>
      <c r="I2186" s="3">
        <f t="shared" si="493"/>
        <v>59</v>
      </c>
      <c r="J2186" s="3">
        <f t="shared" si="494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495"/>
        <v>YES</v>
      </c>
      <c r="Q2186" t="str">
        <f t="shared" si="496"/>
        <v>YES</v>
      </c>
      <c r="R2186" t="str">
        <f t="shared" si="497"/>
        <v>NO</v>
      </c>
      <c r="T2186" t="s">
        <v>198</v>
      </c>
      <c r="U2186" t="str">
        <f t="shared" si="498"/>
        <v>Mount Auburn St</v>
      </c>
      <c r="V2186" t="s">
        <v>24</v>
      </c>
      <c r="W2186" t="str">
        <f t="shared" si="499"/>
        <v>Coolidge Ave</v>
      </c>
      <c r="X2186" t="str">
        <f>IF(ISBLANK(S2186),"Intersection","Non-Intersection")</f>
        <v>Intersection</v>
      </c>
      <c r="Y2186" t="s">
        <v>2019</v>
      </c>
      <c r="Z2186" t="str">
        <f t="shared" si="500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487"/>
        <v>40544</v>
      </c>
      <c r="D2187" s="4">
        <f t="shared" si="488"/>
        <v>0.38356164383561642</v>
      </c>
      <c r="E2187" s="3">
        <f t="shared" si="489"/>
        <v>2011</v>
      </c>
      <c r="F2187" s="3">
        <f t="shared" si="490"/>
        <v>5</v>
      </c>
      <c r="G2187" s="3">
        <f t="shared" si="491"/>
        <v>21</v>
      </c>
      <c r="H2187" s="3">
        <f t="shared" si="492"/>
        <v>18</v>
      </c>
      <c r="I2187" s="3">
        <f t="shared" si="493"/>
        <v>49</v>
      </c>
      <c r="J2187" s="3">
        <f t="shared" si="494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495"/>
        <v>YES</v>
      </c>
      <c r="Q2187" t="str">
        <f t="shared" si="496"/>
        <v>NO</v>
      </c>
      <c r="R2187" t="str">
        <f t="shared" si="497"/>
        <v>NO</v>
      </c>
      <c r="T2187" t="s">
        <v>459</v>
      </c>
      <c r="U2187" t="str">
        <f t="shared" si="498"/>
        <v>Fayerweather St</v>
      </c>
      <c r="V2187" t="s">
        <v>199</v>
      </c>
      <c r="W2187" t="str">
        <f t="shared" si="499"/>
        <v>Brattle St</v>
      </c>
      <c r="X2187" t="str">
        <f>IF(ISBLANK(S2187),"Intersection","Non-Intersection")</f>
        <v>Intersection</v>
      </c>
      <c r="Y2187" t="s">
        <v>3212</v>
      </c>
      <c r="Z2187" t="str">
        <f t="shared" si="500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487"/>
        <v>40544</v>
      </c>
      <c r="D2188" s="4">
        <f t="shared" si="488"/>
        <v>0.38630136986301372</v>
      </c>
      <c r="E2188" s="3">
        <f t="shared" si="489"/>
        <v>2011</v>
      </c>
      <c r="F2188" s="3">
        <f t="shared" si="490"/>
        <v>5</v>
      </c>
      <c r="G2188" s="3">
        <f t="shared" si="491"/>
        <v>22</v>
      </c>
      <c r="H2188" s="3">
        <f t="shared" si="492"/>
        <v>9</v>
      </c>
      <c r="I2188" s="3">
        <f t="shared" si="493"/>
        <v>20</v>
      </c>
      <c r="J2188" s="3">
        <f t="shared" si="494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495"/>
        <v>YES</v>
      </c>
      <c r="Q2188" t="str">
        <f t="shared" si="496"/>
        <v>NO</v>
      </c>
      <c r="R2188" t="str">
        <f t="shared" si="497"/>
        <v>NO</v>
      </c>
      <c r="T2188" t="s">
        <v>14</v>
      </c>
      <c r="U2188" t="str">
        <f t="shared" si="498"/>
        <v>Massachusetts Ave</v>
      </c>
      <c r="V2188" t="s">
        <v>354</v>
      </c>
      <c r="W2188" t="str">
        <f t="shared" si="499"/>
        <v>Linnaean St</v>
      </c>
      <c r="X2188" t="str">
        <f>IF(ISBLANK(S2188),"Intersection","Non-Intersection")</f>
        <v>Intersection</v>
      </c>
      <c r="Y2188" t="s">
        <v>1234</v>
      </c>
      <c r="Z2188" t="str">
        <f t="shared" si="500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487"/>
        <v>40544</v>
      </c>
      <c r="D2189" s="4">
        <f t="shared" si="488"/>
        <v>0.38630136986301372</v>
      </c>
      <c r="E2189" s="3">
        <f t="shared" si="489"/>
        <v>2011</v>
      </c>
      <c r="F2189" s="3">
        <f t="shared" si="490"/>
        <v>5</v>
      </c>
      <c r="G2189" s="3">
        <f t="shared" si="491"/>
        <v>22</v>
      </c>
      <c r="H2189" s="3">
        <f t="shared" si="492"/>
        <v>18</v>
      </c>
      <c r="I2189" s="3">
        <f t="shared" si="493"/>
        <v>0</v>
      </c>
      <c r="J2189" s="3">
        <f t="shared" si="494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495"/>
        <v>YES</v>
      </c>
      <c r="Q2189" t="str">
        <f t="shared" si="496"/>
        <v>NO</v>
      </c>
      <c r="R2189" t="str">
        <f t="shared" si="497"/>
        <v>NO</v>
      </c>
      <c r="T2189" t="s">
        <v>342</v>
      </c>
      <c r="U2189" t="str">
        <f t="shared" si="498"/>
        <v>Prospect St</v>
      </c>
      <c r="V2189" t="s">
        <v>19</v>
      </c>
      <c r="W2189" t="str">
        <f t="shared" si="499"/>
        <v>Cambridge St</v>
      </c>
      <c r="X2189" t="str">
        <f>IF(ISBLANK(S2189),"Intersection","Non-Intersection")</f>
        <v>Intersection</v>
      </c>
      <c r="Y2189" t="s">
        <v>3214</v>
      </c>
      <c r="Z2189" t="str">
        <f t="shared" si="500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487"/>
        <v>40544</v>
      </c>
      <c r="D2190" s="4">
        <f t="shared" si="488"/>
        <v>0.38904109589041097</v>
      </c>
      <c r="E2190" s="3">
        <f t="shared" si="489"/>
        <v>2011</v>
      </c>
      <c r="F2190" s="3">
        <f t="shared" si="490"/>
        <v>5</v>
      </c>
      <c r="G2190" s="3">
        <f t="shared" si="491"/>
        <v>23</v>
      </c>
      <c r="H2190" s="3">
        <f t="shared" si="492"/>
        <v>8</v>
      </c>
      <c r="I2190" s="3">
        <f t="shared" si="493"/>
        <v>55</v>
      </c>
      <c r="J2190" s="3">
        <f t="shared" si="494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495"/>
        <v>YES</v>
      </c>
      <c r="Q2190" t="str">
        <f t="shared" si="496"/>
        <v>NO</v>
      </c>
      <c r="R2190" t="str">
        <f t="shared" si="497"/>
        <v>NO</v>
      </c>
      <c r="T2190" t="s">
        <v>70</v>
      </c>
      <c r="U2190" t="str">
        <f t="shared" si="498"/>
        <v>Pearl St</v>
      </c>
      <c r="V2190" t="s">
        <v>42</v>
      </c>
      <c r="W2190" t="str">
        <f t="shared" si="499"/>
        <v>Putnam Ave</v>
      </c>
      <c r="X2190" t="str">
        <f>IF(ISBLANK(S2190),"Intersection","Non-Intersection")</f>
        <v>Intersection</v>
      </c>
      <c r="Y2190" t="s">
        <v>3215</v>
      </c>
      <c r="Z2190" t="str">
        <f t="shared" si="500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487"/>
        <v>40544</v>
      </c>
      <c r="D2191" s="4">
        <f t="shared" si="488"/>
        <v>0.38904109589041097</v>
      </c>
      <c r="E2191" s="3">
        <f t="shared" si="489"/>
        <v>2011</v>
      </c>
      <c r="F2191" s="3">
        <f t="shared" si="490"/>
        <v>5</v>
      </c>
      <c r="G2191" s="3">
        <f t="shared" si="491"/>
        <v>23</v>
      </c>
      <c r="H2191" s="3">
        <f t="shared" si="492"/>
        <v>15</v>
      </c>
      <c r="I2191" s="3">
        <f t="shared" si="493"/>
        <v>30</v>
      </c>
      <c r="J2191" s="3">
        <f t="shared" si="494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495"/>
        <v>YES</v>
      </c>
      <c r="Q2191" t="str">
        <f t="shared" si="496"/>
        <v>NO</v>
      </c>
      <c r="R2191" t="str">
        <f t="shared" si="497"/>
        <v>NO</v>
      </c>
      <c r="S2191">
        <v>51</v>
      </c>
      <c r="T2191" t="s">
        <v>340</v>
      </c>
      <c r="U2191" t="str">
        <f t="shared" si="498"/>
        <v>Davenport St</v>
      </c>
      <c r="W2191" t="str">
        <f t="shared" si="499"/>
        <v/>
      </c>
      <c r="X2191" t="str">
        <f>IF(ISBLANK(S2191),"Intersection","Non-Intersection")</f>
        <v>Non-Intersection</v>
      </c>
      <c r="Y2191" t="s">
        <v>3216</v>
      </c>
      <c r="Z2191" t="str">
        <f t="shared" si="500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487"/>
        <v>40544</v>
      </c>
      <c r="D2192" s="4">
        <f t="shared" si="488"/>
        <v>0.38904109589041097</v>
      </c>
      <c r="E2192" s="3">
        <f t="shared" si="489"/>
        <v>2011</v>
      </c>
      <c r="F2192" s="3">
        <f t="shared" si="490"/>
        <v>5</v>
      </c>
      <c r="G2192" s="3">
        <f t="shared" si="491"/>
        <v>23</v>
      </c>
      <c r="H2192" s="3">
        <f t="shared" si="492"/>
        <v>16</v>
      </c>
      <c r="I2192" s="3">
        <f t="shared" si="493"/>
        <v>15</v>
      </c>
      <c r="J2192" s="3">
        <f t="shared" si="494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495"/>
        <v>YES</v>
      </c>
      <c r="Q2192" t="str">
        <f t="shared" si="496"/>
        <v>NO</v>
      </c>
      <c r="R2192" t="str">
        <f t="shared" si="497"/>
        <v>NO</v>
      </c>
      <c r="T2192" t="s">
        <v>14</v>
      </c>
      <c r="U2192" t="str">
        <f t="shared" si="498"/>
        <v>Massachusetts Ave</v>
      </c>
      <c r="V2192" t="s">
        <v>94</v>
      </c>
      <c r="W2192" t="str">
        <f t="shared" si="499"/>
        <v>Shepard St</v>
      </c>
      <c r="X2192" t="str">
        <f>IF(ISBLANK(S2192),"Intersection","Non-Intersection")</f>
        <v>Intersection</v>
      </c>
      <c r="Y2192" t="s">
        <v>95</v>
      </c>
      <c r="Z2192" t="str">
        <f t="shared" si="500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487"/>
        <v>40544</v>
      </c>
      <c r="D2193" s="4">
        <f t="shared" si="488"/>
        <v>0.39178082191780822</v>
      </c>
      <c r="E2193" s="3">
        <f t="shared" si="489"/>
        <v>2011</v>
      </c>
      <c r="F2193" s="3">
        <f t="shared" si="490"/>
        <v>5</v>
      </c>
      <c r="G2193" s="3">
        <f t="shared" si="491"/>
        <v>24</v>
      </c>
      <c r="H2193" s="3">
        <f t="shared" si="492"/>
        <v>1</v>
      </c>
      <c r="I2193" s="3">
        <f t="shared" si="493"/>
        <v>30</v>
      </c>
      <c r="J2193" s="3">
        <f t="shared" si="494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495"/>
        <v>YES</v>
      </c>
      <c r="Q2193" t="str">
        <f t="shared" si="496"/>
        <v>NO</v>
      </c>
      <c r="R2193" t="str">
        <f t="shared" si="497"/>
        <v>NO</v>
      </c>
      <c r="T2193" t="s">
        <v>550</v>
      </c>
      <c r="U2193" t="str">
        <f t="shared" si="498"/>
        <v>Upland Rd</v>
      </c>
      <c r="V2193" t="s">
        <v>3218</v>
      </c>
      <c r="W2193" t="str">
        <f t="shared" si="499"/>
        <v>Newell Ter</v>
      </c>
      <c r="X2193" t="str">
        <f>IF(ISBLANK(S2193),"Intersection","Non-Intersection")</f>
        <v>Intersection</v>
      </c>
      <c r="Y2193" t="s">
        <v>3219</v>
      </c>
      <c r="Z2193" t="str">
        <f t="shared" si="500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487"/>
        <v>40544</v>
      </c>
      <c r="D2194" s="4">
        <f t="shared" si="488"/>
        <v>0.39178082191780822</v>
      </c>
      <c r="E2194" s="3">
        <f t="shared" si="489"/>
        <v>2011</v>
      </c>
      <c r="F2194" s="3">
        <f t="shared" si="490"/>
        <v>5</v>
      </c>
      <c r="G2194" s="3">
        <f t="shared" si="491"/>
        <v>24</v>
      </c>
      <c r="H2194" s="3">
        <f t="shared" si="492"/>
        <v>10</v>
      </c>
      <c r="I2194" s="3">
        <f t="shared" si="493"/>
        <v>40</v>
      </c>
      <c r="J2194" s="3">
        <f t="shared" si="494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495"/>
        <v>YES</v>
      </c>
      <c r="Q2194" t="str">
        <f t="shared" si="496"/>
        <v>NO</v>
      </c>
      <c r="R2194" t="str">
        <f t="shared" si="497"/>
        <v>NO</v>
      </c>
      <c r="S2194">
        <v>40</v>
      </c>
      <c r="T2194" t="s">
        <v>698</v>
      </c>
      <c r="U2194" t="str">
        <f t="shared" si="498"/>
        <v>Thorndike St</v>
      </c>
      <c r="W2194" t="str">
        <f t="shared" si="499"/>
        <v/>
      </c>
      <c r="X2194" t="str">
        <f>IF(ISBLANK(S2194),"Intersection","Non-Intersection")</f>
        <v>Non-Intersection</v>
      </c>
      <c r="Y2194" t="s">
        <v>3221</v>
      </c>
      <c r="Z2194" t="str">
        <f t="shared" si="500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487"/>
        <v>40544</v>
      </c>
      <c r="D2195" s="4">
        <f t="shared" si="488"/>
        <v>0.39178082191780822</v>
      </c>
      <c r="E2195" s="3">
        <f t="shared" si="489"/>
        <v>2011</v>
      </c>
      <c r="F2195" s="3">
        <f t="shared" si="490"/>
        <v>5</v>
      </c>
      <c r="G2195" s="3">
        <f t="shared" si="491"/>
        <v>24</v>
      </c>
      <c r="H2195" s="3">
        <f t="shared" si="492"/>
        <v>14</v>
      </c>
      <c r="I2195" s="3">
        <f t="shared" si="493"/>
        <v>58</v>
      </c>
      <c r="J2195" s="3">
        <f t="shared" si="494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495"/>
        <v>YES</v>
      </c>
      <c r="Q2195" t="str">
        <f t="shared" si="496"/>
        <v>NO</v>
      </c>
      <c r="R2195" t="str">
        <f t="shared" si="497"/>
        <v>NO</v>
      </c>
      <c r="T2195" t="s">
        <v>142</v>
      </c>
      <c r="U2195" t="str">
        <f t="shared" si="498"/>
        <v>Huron Ave</v>
      </c>
      <c r="V2195" t="s">
        <v>1510</v>
      </c>
      <c r="W2195" t="str">
        <f t="shared" si="499"/>
        <v>Reservoir St</v>
      </c>
      <c r="X2195" t="str">
        <f>IF(ISBLANK(S2195),"Intersection","Non-Intersection")</f>
        <v>Intersection</v>
      </c>
      <c r="Y2195" t="s">
        <v>2595</v>
      </c>
      <c r="Z2195" t="str">
        <f t="shared" si="500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487"/>
        <v>40544</v>
      </c>
      <c r="D2196" s="4">
        <f t="shared" si="488"/>
        <v>0.39178082191780822</v>
      </c>
      <c r="E2196" s="3">
        <f t="shared" si="489"/>
        <v>2011</v>
      </c>
      <c r="F2196" s="3">
        <f t="shared" si="490"/>
        <v>5</v>
      </c>
      <c r="G2196" s="3">
        <f t="shared" si="491"/>
        <v>24</v>
      </c>
      <c r="H2196" s="3">
        <f t="shared" si="492"/>
        <v>17</v>
      </c>
      <c r="I2196" s="3">
        <f t="shared" si="493"/>
        <v>32</v>
      </c>
      <c r="J2196" s="3">
        <f t="shared" si="494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495"/>
        <v>YES</v>
      </c>
      <c r="Q2196" t="str">
        <f t="shared" si="496"/>
        <v>NO</v>
      </c>
      <c r="R2196" t="str">
        <f t="shared" si="497"/>
        <v>NO</v>
      </c>
      <c r="S2196">
        <v>120</v>
      </c>
      <c r="T2196" t="s">
        <v>14</v>
      </c>
      <c r="U2196" t="str">
        <f t="shared" si="498"/>
        <v>Massachusetts Ave</v>
      </c>
      <c r="W2196" t="str">
        <f t="shared" si="499"/>
        <v/>
      </c>
      <c r="X2196" t="str">
        <f>IF(ISBLANK(S2196),"Intersection","Non-Intersection")</f>
        <v>Non-Intersection</v>
      </c>
      <c r="Y2196" t="s">
        <v>3223</v>
      </c>
      <c r="Z2196" t="str">
        <f t="shared" si="500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487"/>
        <v>40544</v>
      </c>
      <c r="D2197" s="4">
        <f t="shared" si="488"/>
        <v>0.39178082191780822</v>
      </c>
      <c r="E2197" s="3">
        <f t="shared" si="489"/>
        <v>2011</v>
      </c>
      <c r="F2197" s="3">
        <f t="shared" si="490"/>
        <v>5</v>
      </c>
      <c r="G2197" s="3">
        <f t="shared" si="491"/>
        <v>24</v>
      </c>
      <c r="H2197" s="3">
        <f t="shared" si="492"/>
        <v>9</v>
      </c>
      <c r="I2197" s="3">
        <f t="shared" si="493"/>
        <v>59</v>
      </c>
      <c r="J2197" s="3">
        <f t="shared" si="494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495"/>
        <v>YES</v>
      </c>
      <c r="Q2197" t="str">
        <f t="shared" si="496"/>
        <v>NO</v>
      </c>
      <c r="R2197" t="str">
        <f t="shared" si="497"/>
        <v>NO</v>
      </c>
      <c r="T2197" t="s">
        <v>1320</v>
      </c>
      <c r="U2197" t="str">
        <f t="shared" si="498"/>
        <v>Craigie St</v>
      </c>
      <c r="V2197" t="s">
        <v>208</v>
      </c>
      <c r="W2197" t="str">
        <f t="shared" si="499"/>
        <v>Sparks St</v>
      </c>
      <c r="X2197" t="str">
        <f>IF(ISBLANK(S2197),"Intersection","Non-Intersection")</f>
        <v>Intersection</v>
      </c>
      <c r="Y2197" t="s">
        <v>3225</v>
      </c>
      <c r="Z2197" t="str">
        <f t="shared" si="500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01">EOMONTH(B2198,MONTH(B2198)*-1)+1</f>
        <v>40544</v>
      </c>
      <c r="D2198" s="4">
        <f t="shared" ref="D2198:D2258" si="502">YEARFRAC(C2198,B2198,1)</f>
        <v>0.39452054794520547</v>
      </c>
      <c r="E2198" s="3">
        <f t="shared" ref="E2198:E2258" si="503">YEAR(B2198)</f>
        <v>2011</v>
      </c>
      <c r="F2198" s="3">
        <f t="shared" ref="F2198:F2258" si="504">MONTH(B2198)</f>
        <v>5</v>
      </c>
      <c r="G2198" s="3">
        <f t="shared" ref="G2198:G2258" si="505">DAY(B2198)</f>
        <v>25</v>
      </c>
      <c r="H2198" s="3">
        <f t="shared" ref="H2198:H2258" si="506">HOUR(B2198)</f>
        <v>12</v>
      </c>
      <c r="I2198" s="3">
        <f t="shared" ref="I2198:I2258" si="507">MINUTE(B2198)</f>
        <v>59</v>
      </c>
      <c r="J2198" s="3">
        <f t="shared" ref="J2198:J2258" si="508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09">IF(OR(N2198="Auto",O2198="Auto"),"YES",IF(OR(N2198="Taxi",O2198="Taxi"),"YES",IF(OR(N2198="Van",O2198="Van"),"YES",IF(OR(N2198="Truck",O2198="Truck"),"YES","NO"))))</f>
        <v>NO</v>
      </c>
      <c r="Q2198" t="str">
        <f t="shared" ref="Q2198:Q2258" si="510">IF(OR(N2198="Bicycle",O2198="Bicycle"),"YES","NO")</f>
        <v>NO</v>
      </c>
      <c r="R2198" t="str">
        <f t="shared" ref="R2198:R2258" si="511">IF(OR(N2198="Pedestrian",O2198="Pedestrian"),"YES","NO")</f>
        <v>NO</v>
      </c>
      <c r="S2198">
        <v>24</v>
      </c>
      <c r="T2198" t="s">
        <v>134</v>
      </c>
      <c r="U2198" t="str">
        <f t="shared" si="498"/>
        <v>Quincy St</v>
      </c>
      <c r="W2198" t="str">
        <f t="shared" si="499"/>
        <v/>
      </c>
      <c r="X2198" t="str">
        <f>IF(ISBLANK(S2198),"Intersection","Non-Intersection")</f>
        <v>Non-Intersection</v>
      </c>
      <c r="Y2198" t="s">
        <v>3227</v>
      </c>
      <c r="Z2198" t="str">
        <f t="shared" si="500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01"/>
        <v>40544</v>
      </c>
      <c r="D2199" s="4">
        <f t="shared" si="502"/>
        <v>0.39452054794520547</v>
      </c>
      <c r="E2199" s="3">
        <f t="shared" si="503"/>
        <v>2011</v>
      </c>
      <c r="F2199" s="3">
        <f t="shared" si="504"/>
        <v>5</v>
      </c>
      <c r="G2199" s="3">
        <f t="shared" si="505"/>
        <v>25</v>
      </c>
      <c r="H2199" s="3">
        <f t="shared" si="506"/>
        <v>17</v>
      </c>
      <c r="I2199" s="3">
        <f t="shared" si="507"/>
        <v>25</v>
      </c>
      <c r="J2199" s="3">
        <f t="shared" si="508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09"/>
        <v>YES</v>
      </c>
      <c r="Q2199" t="str">
        <f t="shared" si="510"/>
        <v>NO</v>
      </c>
      <c r="R2199" t="str">
        <f t="shared" si="511"/>
        <v>NO</v>
      </c>
      <c r="T2199" t="s">
        <v>195</v>
      </c>
      <c r="U2199" t="str">
        <f t="shared" si="498"/>
        <v>Sidney St</v>
      </c>
      <c r="V2199" t="s">
        <v>69</v>
      </c>
      <c r="W2199" t="str">
        <f t="shared" si="499"/>
        <v>Henry St</v>
      </c>
      <c r="X2199" t="str">
        <f>IF(ISBLANK(S2199),"Intersection","Non-Intersection")</f>
        <v>Intersection</v>
      </c>
      <c r="Y2199" t="s">
        <v>1874</v>
      </c>
      <c r="Z2199" t="str">
        <f t="shared" si="500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01"/>
        <v>40544</v>
      </c>
      <c r="D2200" s="4">
        <f t="shared" si="502"/>
        <v>0.39452054794520547</v>
      </c>
      <c r="E2200" s="3">
        <f t="shared" si="503"/>
        <v>2011</v>
      </c>
      <c r="F2200" s="3">
        <f t="shared" si="504"/>
        <v>5</v>
      </c>
      <c r="G2200" s="3">
        <f t="shared" si="505"/>
        <v>25</v>
      </c>
      <c r="H2200" s="3">
        <f t="shared" si="506"/>
        <v>22</v>
      </c>
      <c r="I2200" s="3">
        <f t="shared" si="507"/>
        <v>19</v>
      </c>
      <c r="J2200" s="3">
        <f t="shared" si="508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09"/>
        <v>NO</v>
      </c>
      <c r="Q2200" t="str">
        <f t="shared" si="510"/>
        <v>NO</v>
      </c>
      <c r="R2200" t="str">
        <f t="shared" si="511"/>
        <v>NO</v>
      </c>
      <c r="T2200" t="s">
        <v>958</v>
      </c>
      <c r="U2200" t="str">
        <f t="shared" si="498"/>
        <v>Pacific St</v>
      </c>
      <c r="V2200" t="s">
        <v>119</v>
      </c>
      <c r="W2200" t="str">
        <f t="shared" si="499"/>
        <v>Albany St</v>
      </c>
      <c r="X2200" t="str">
        <f>IF(ISBLANK(S2200),"Intersection","Non-Intersection")</f>
        <v>Intersection</v>
      </c>
      <c r="Y2200" t="s">
        <v>2448</v>
      </c>
      <c r="Z2200" t="str">
        <f t="shared" si="500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01"/>
        <v>40544</v>
      </c>
      <c r="D2201" s="4">
        <f t="shared" si="502"/>
        <v>0.39452054794520547</v>
      </c>
      <c r="E2201" s="3">
        <f t="shared" si="503"/>
        <v>2011</v>
      </c>
      <c r="F2201" s="3">
        <f t="shared" si="504"/>
        <v>5</v>
      </c>
      <c r="G2201" s="3">
        <f t="shared" si="505"/>
        <v>25</v>
      </c>
      <c r="H2201" s="3">
        <f t="shared" si="506"/>
        <v>8</v>
      </c>
      <c r="I2201" s="3">
        <f t="shared" si="507"/>
        <v>19</v>
      </c>
      <c r="J2201" s="3">
        <f t="shared" si="508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09"/>
        <v>YES</v>
      </c>
      <c r="Q2201" t="str">
        <f t="shared" si="510"/>
        <v>NO</v>
      </c>
      <c r="R2201" t="str">
        <f t="shared" si="511"/>
        <v>YES</v>
      </c>
      <c r="S2201">
        <v>35</v>
      </c>
      <c r="T2201" t="s">
        <v>1752</v>
      </c>
      <c r="U2201" t="str">
        <f t="shared" si="498"/>
        <v>Cambridgepark Dr</v>
      </c>
      <c r="W2201" t="str">
        <f t="shared" si="499"/>
        <v/>
      </c>
      <c r="X2201" t="str">
        <f>IF(ISBLANK(S2201),"Intersection","Non-Intersection")</f>
        <v>Non-Intersection</v>
      </c>
      <c r="Y2201" t="s">
        <v>3229</v>
      </c>
      <c r="Z2201" t="str">
        <f t="shared" si="500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01"/>
        <v>40544</v>
      </c>
      <c r="D2202" s="4">
        <f t="shared" si="502"/>
        <v>0.39726027397260272</v>
      </c>
      <c r="E2202" s="3">
        <f t="shared" si="503"/>
        <v>2011</v>
      </c>
      <c r="F2202" s="3">
        <f t="shared" si="504"/>
        <v>5</v>
      </c>
      <c r="G2202" s="3">
        <f t="shared" si="505"/>
        <v>26</v>
      </c>
      <c r="H2202" s="3">
        <f t="shared" si="506"/>
        <v>10</v>
      </c>
      <c r="I2202" s="3">
        <f t="shared" si="507"/>
        <v>9</v>
      </c>
      <c r="J2202" s="3">
        <f t="shared" si="508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09"/>
        <v>YES</v>
      </c>
      <c r="Q2202" t="str">
        <f t="shared" si="510"/>
        <v>YES</v>
      </c>
      <c r="R2202" t="str">
        <f t="shared" si="511"/>
        <v>NO</v>
      </c>
      <c r="T2202" t="s">
        <v>325</v>
      </c>
      <c r="U2202" t="str">
        <f t="shared" si="498"/>
        <v>Eliot St</v>
      </c>
      <c r="V2202" t="s">
        <v>326</v>
      </c>
      <c r="W2202" t="str">
        <f t="shared" si="499"/>
        <v>Jfk St</v>
      </c>
      <c r="X2202" t="str">
        <f>IF(ISBLANK(S2202),"Intersection","Non-Intersection")</f>
        <v>Intersection</v>
      </c>
      <c r="Y2202" t="s">
        <v>327</v>
      </c>
      <c r="Z2202" t="str">
        <f t="shared" si="500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01"/>
        <v>40544</v>
      </c>
      <c r="D2203" s="4">
        <f t="shared" si="502"/>
        <v>0.39726027397260272</v>
      </c>
      <c r="E2203" s="3">
        <f t="shared" si="503"/>
        <v>2011</v>
      </c>
      <c r="F2203" s="3">
        <f t="shared" si="504"/>
        <v>5</v>
      </c>
      <c r="G2203" s="3">
        <f t="shared" si="505"/>
        <v>26</v>
      </c>
      <c r="H2203" s="3">
        <f t="shared" si="506"/>
        <v>15</v>
      </c>
      <c r="I2203" s="3">
        <f t="shared" si="507"/>
        <v>14</v>
      </c>
      <c r="J2203" s="3">
        <f t="shared" si="508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09"/>
        <v>YES</v>
      </c>
      <c r="Q2203" t="str">
        <f t="shared" si="510"/>
        <v>NO</v>
      </c>
      <c r="R2203" t="str">
        <f t="shared" si="511"/>
        <v>NO</v>
      </c>
      <c r="S2203">
        <v>543</v>
      </c>
      <c r="T2203" t="s">
        <v>42</v>
      </c>
      <c r="U2203" t="str">
        <f t="shared" si="498"/>
        <v>Putnam Ave</v>
      </c>
      <c r="W2203" t="str">
        <f t="shared" si="499"/>
        <v/>
      </c>
      <c r="X2203" t="str">
        <f>IF(ISBLANK(S2203),"Intersection","Non-Intersection")</f>
        <v>Non-Intersection</v>
      </c>
      <c r="Y2203" t="s">
        <v>3231</v>
      </c>
      <c r="Z2203" t="str">
        <f t="shared" si="500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01"/>
        <v>40544</v>
      </c>
      <c r="D2204" s="4">
        <f t="shared" si="502"/>
        <v>0.39726027397260272</v>
      </c>
      <c r="E2204" s="3">
        <f t="shared" si="503"/>
        <v>2011</v>
      </c>
      <c r="F2204" s="3">
        <f t="shared" si="504"/>
        <v>5</v>
      </c>
      <c r="G2204" s="3">
        <f t="shared" si="505"/>
        <v>26</v>
      </c>
      <c r="H2204" s="3">
        <f t="shared" si="506"/>
        <v>16</v>
      </c>
      <c r="I2204" s="3">
        <f t="shared" si="507"/>
        <v>44</v>
      </c>
      <c r="J2204" s="3">
        <f t="shared" si="508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09"/>
        <v>YES</v>
      </c>
      <c r="Q2204" t="str">
        <f t="shared" si="510"/>
        <v>NO</v>
      </c>
      <c r="R2204" t="str">
        <f t="shared" si="511"/>
        <v>NO</v>
      </c>
      <c r="S2204">
        <v>35</v>
      </c>
      <c r="T2204" t="s">
        <v>268</v>
      </c>
      <c r="U2204" t="str">
        <f t="shared" si="498"/>
        <v>White St</v>
      </c>
      <c r="W2204" t="str">
        <f t="shared" si="499"/>
        <v/>
      </c>
      <c r="X2204" t="str">
        <f>IF(ISBLANK(S2204),"Intersection","Non-Intersection")</f>
        <v>Non-Intersection</v>
      </c>
      <c r="Y2204" t="s">
        <v>933</v>
      </c>
      <c r="Z2204" t="str">
        <f t="shared" si="500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01"/>
        <v>40544</v>
      </c>
      <c r="D2205" s="4">
        <f t="shared" si="502"/>
        <v>0.39726027397260272</v>
      </c>
      <c r="E2205" s="3">
        <f t="shared" si="503"/>
        <v>2011</v>
      </c>
      <c r="F2205" s="3">
        <f t="shared" si="504"/>
        <v>5</v>
      </c>
      <c r="G2205" s="3">
        <f t="shared" si="505"/>
        <v>26</v>
      </c>
      <c r="H2205" s="3">
        <f t="shared" si="506"/>
        <v>18</v>
      </c>
      <c r="I2205" s="3">
        <f t="shared" si="507"/>
        <v>20</v>
      </c>
      <c r="J2205" s="3">
        <f t="shared" si="508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09"/>
        <v>YES</v>
      </c>
      <c r="Q2205" t="str">
        <f t="shared" si="510"/>
        <v>NO</v>
      </c>
      <c r="R2205" t="str">
        <f t="shared" si="511"/>
        <v>NO</v>
      </c>
      <c r="T2205" t="s">
        <v>260</v>
      </c>
      <c r="U2205" t="str">
        <f t="shared" si="498"/>
        <v>Third St</v>
      </c>
      <c r="V2205" t="s">
        <v>209</v>
      </c>
      <c r="W2205" t="str">
        <f t="shared" si="499"/>
        <v>Binney St</v>
      </c>
      <c r="X2205" t="str">
        <f>IF(ISBLANK(S2205),"Intersection","Non-Intersection")</f>
        <v>Intersection</v>
      </c>
      <c r="Y2205" t="s">
        <v>1358</v>
      </c>
      <c r="Z2205" t="str">
        <f t="shared" si="500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01"/>
        <v>40544</v>
      </c>
      <c r="D2206" s="4">
        <f t="shared" si="502"/>
        <v>0.39726027397260272</v>
      </c>
      <c r="E2206" s="3">
        <f t="shared" si="503"/>
        <v>2011</v>
      </c>
      <c r="F2206" s="3">
        <f t="shared" si="504"/>
        <v>5</v>
      </c>
      <c r="G2206" s="3">
        <f t="shared" si="505"/>
        <v>26</v>
      </c>
      <c r="H2206" s="3">
        <f t="shared" si="506"/>
        <v>11</v>
      </c>
      <c r="I2206" s="3">
        <f t="shared" si="507"/>
        <v>45</v>
      </c>
      <c r="J2206" s="3">
        <f t="shared" si="508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09"/>
        <v>YES</v>
      </c>
      <c r="Q2206" t="str">
        <f t="shared" si="510"/>
        <v>NO</v>
      </c>
      <c r="R2206" t="str">
        <f t="shared" si="511"/>
        <v>NO</v>
      </c>
      <c r="S2206">
        <v>46</v>
      </c>
      <c r="T2206" t="s">
        <v>269</v>
      </c>
      <c r="U2206" t="str">
        <f t="shared" si="498"/>
        <v>Porter Sq</v>
      </c>
      <c r="W2206" t="str">
        <f t="shared" si="499"/>
        <v/>
      </c>
      <c r="X2206" t="str">
        <f>IF(ISBLANK(S2206),"Intersection","Non-Intersection")</f>
        <v>Non-Intersection</v>
      </c>
      <c r="Y2206" t="s">
        <v>3233</v>
      </c>
      <c r="Z2206" t="str">
        <f t="shared" si="500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01"/>
        <v>40544</v>
      </c>
      <c r="D2207" s="4">
        <f t="shared" si="502"/>
        <v>0.39726027397260272</v>
      </c>
      <c r="E2207" s="3">
        <f t="shared" si="503"/>
        <v>2011</v>
      </c>
      <c r="F2207" s="3">
        <f t="shared" si="504"/>
        <v>5</v>
      </c>
      <c r="G2207" s="3">
        <f t="shared" si="505"/>
        <v>26</v>
      </c>
      <c r="H2207" s="3">
        <f t="shared" si="506"/>
        <v>11</v>
      </c>
      <c r="I2207" s="3">
        <f t="shared" si="507"/>
        <v>29</v>
      </c>
      <c r="J2207" s="3">
        <f t="shared" si="508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09"/>
        <v>YES</v>
      </c>
      <c r="Q2207" t="str">
        <f t="shared" si="510"/>
        <v>NO</v>
      </c>
      <c r="R2207" t="str">
        <f t="shared" si="511"/>
        <v>NO</v>
      </c>
      <c r="T2207" t="s">
        <v>198</v>
      </c>
      <c r="U2207" t="str">
        <f t="shared" si="498"/>
        <v>Mount Auburn St</v>
      </c>
      <c r="V2207" t="s">
        <v>464</v>
      </c>
      <c r="W2207" t="str">
        <f t="shared" si="499"/>
        <v>Aberdeen Way</v>
      </c>
      <c r="X2207" t="str">
        <f>IF(ISBLANK(S2207),"Intersection","Non-Intersection")</f>
        <v>Intersection</v>
      </c>
      <c r="Y2207" t="s">
        <v>1666</v>
      </c>
      <c r="Z2207" t="str">
        <f t="shared" si="500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01"/>
        <v>40544</v>
      </c>
      <c r="D2208" s="4">
        <f t="shared" si="502"/>
        <v>0.39726027397260272</v>
      </c>
      <c r="E2208" s="3">
        <f t="shared" si="503"/>
        <v>2011</v>
      </c>
      <c r="F2208" s="3">
        <f t="shared" si="504"/>
        <v>5</v>
      </c>
      <c r="G2208" s="3">
        <f t="shared" si="505"/>
        <v>26</v>
      </c>
      <c r="H2208" s="3">
        <f t="shared" si="506"/>
        <v>12</v>
      </c>
      <c r="I2208" s="3">
        <f t="shared" si="507"/>
        <v>0</v>
      </c>
      <c r="J2208" s="3">
        <f t="shared" si="508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09"/>
        <v>YES</v>
      </c>
      <c r="Q2208" t="str">
        <f t="shared" si="510"/>
        <v>NO</v>
      </c>
      <c r="R2208" t="str">
        <f t="shared" si="511"/>
        <v>YES</v>
      </c>
      <c r="S2208">
        <v>351</v>
      </c>
      <c r="T2208" t="s">
        <v>14</v>
      </c>
      <c r="U2208" t="str">
        <f t="shared" si="498"/>
        <v>Massachusetts Ave</v>
      </c>
      <c r="W2208" t="str">
        <f t="shared" si="499"/>
        <v/>
      </c>
      <c r="X2208" t="str">
        <f>IF(ISBLANK(S2208),"Intersection","Non-Intersection")</f>
        <v>Non-Intersection</v>
      </c>
      <c r="Y2208" t="s">
        <v>3235</v>
      </c>
      <c r="Z2208" t="str">
        <f t="shared" si="500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01"/>
        <v>40544</v>
      </c>
      <c r="D2209" s="4">
        <f t="shared" si="502"/>
        <v>0.4</v>
      </c>
      <c r="E2209" s="3">
        <f t="shared" si="503"/>
        <v>2011</v>
      </c>
      <c r="F2209" s="3">
        <f t="shared" si="504"/>
        <v>5</v>
      </c>
      <c r="G2209" s="3">
        <f t="shared" si="505"/>
        <v>27</v>
      </c>
      <c r="H2209" s="3">
        <f t="shared" si="506"/>
        <v>12</v>
      </c>
      <c r="I2209" s="3">
        <f t="shared" si="507"/>
        <v>59</v>
      </c>
      <c r="J2209" s="3">
        <f t="shared" si="508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09"/>
        <v>YES</v>
      </c>
      <c r="Q2209" t="str">
        <f t="shared" si="510"/>
        <v>NO</v>
      </c>
      <c r="R2209" t="str">
        <f t="shared" si="511"/>
        <v>NO</v>
      </c>
      <c r="S2209">
        <v>49</v>
      </c>
      <c r="T2209" t="s">
        <v>268</v>
      </c>
      <c r="U2209" t="str">
        <f t="shared" si="498"/>
        <v>White St</v>
      </c>
      <c r="W2209" t="str">
        <f t="shared" si="499"/>
        <v/>
      </c>
      <c r="X2209" t="str">
        <f>IF(ISBLANK(S2209),"Intersection","Non-Intersection")</f>
        <v>Non-Intersection</v>
      </c>
      <c r="Y2209" t="s">
        <v>270</v>
      </c>
      <c r="Z2209" t="str">
        <f t="shared" si="500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01"/>
        <v>40544</v>
      </c>
      <c r="D2210" s="4">
        <f t="shared" si="502"/>
        <v>0.4</v>
      </c>
      <c r="E2210" s="3">
        <f t="shared" si="503"/>
        <v>2011</v>
      </c>
      <c r="F2210" s="3">
        <f t="shared" si="504"/>
        <v>5</v>
      </c>
      <c r="G2210" s="3">
        <f t="shared" si="505"/>
        <v>27</v>
      </c>
      <c r="H2210" s="3">
        <f t="shared" si="506"/>
        <v>7</v>
      </c>
      <c r="I2210" s="3">
        <f t="shared" si="507"/>
        <v>30</v>
      </c>
      <c r="J2210" s="3">
        <f t="shared" si="508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09"/>
        <v>YES</v>
      </c>
      <c r="Q2210" t="str">
        <f t="shared" si="510"/>
        <v>NO</v>
      </c>
      <c r="R2210" t="str">
        <f t="shared" si="511"/>
        <v>NO</v>
      </c>
      <c r="S2210">
        <v>104</v>
      </c>
      <c r="T2210" t="s">
        <v>402</v>
      </c>
      <c r="U2210" t="str">
        <f t="shared" si="498"/>
        <v>Avon Hill St</v>
      </c>
      <c r="W2210" t="str">
        <f t="shared" si="499"/>
        <v/>
      </c>
      <c r="X2210" t="str">
        <f>IF(ISBLANK(S2210),"Intersection","Non-Intersection")</f>
        <v>Non-Intersection</v>
      </c>
      <c r="Y2210" t="s">
        <v>3237</v>
      </c>
      <c r="Z2210" t="str">
        <f t="shared" si="500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01"/>
        <v>40544</v>
      </c>
      <c r="D2211" s="4">
        <f t="shared" si="502"/>
        <v>0.4</v>
      </c>
      <c r="E2211" s="3">
        <f t="shared" si="503"/>
        <v>2011</v>
      </c>
      <c r="F2211" s="3">
        <f t="shared" si="504"/>
        <v>5</v>
      </c>
      <c r="G2211" s="3">
        <f t="shared" si="505"/>
        <v>27</v>
      </c>
      <c r="H2211" s="3">
        <f t="shared" si="506"/>
        <v>7</v>
      </c>
      <c r="I2211" s="3">
        <f t="shared" si="507"/>
        <v>59</v>
      </c>
      <c r="J2211" s="3">
        <f t="shared" si="508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09"/>
        <v>YES</v>
      </c>
      <c r="Q2211" t="str">
        <f t="shared" si="510"/>
        <v>NO</v>
      </c>
      <c r="R2211" t="str">
        <f t="shared" si="511"/>
        <v>NO</v>
      </c>
      <c r="T2211" t="s">
        <v>185</v>
      </c>
      <c r="U2211" t="str">
        <f t="shared" si="498"/>
        <v>Garden St</v>
      </c>
      <c r="V2211" t="s">
        <v>142</v>
      </c>
      <c r="W2211" t="str">
        <f t="shared" si="499"/>
        <v>Huron Ave</v>
      </c>
      <c r="X2211" t="str">
        <f>IF(ISBLANK(S2211),"Intersection","Non-Intersection")</f>
        <v>Intersection</v>
      </c>
      <c r="Y2211" t="s">
        <v>890</v>
      </c>
      <c r="Z2211" t="str">
        <f t="shared" si="500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01"/>
        <v>40544</v>
      </c>
      <c r="D2212" s="4">
        <f t="shared" si="502"/>
        <v>0.4</v>
      </c>
      <c r="E2212" s="3">
        <f t="shared" si="503"/>
        <v>2011</v>
      </c>
      <c r="F2212" s="3">
        <f t="shared" si="504"/>
        <v>5</v>
      </c>
      <c r="G2212" s="3">
        <f t="shared" si="505"/>
        <v>27</v>
      </c>
      <c r="H2212" s="3">
        <f t="shared" si="506"/>
        <v>13</v>
      </c>
      <c r="I2212" s="3">
        <f t="shared" si="507"/>
        <v>44</v>
      </c>
      <c r="J2212" s="3">
        <f t="shared" si="508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09"/>
        <v>YES</v>
      </c>
      <c r="Q2212" t="str">
        <f t="shared" si="510"/>
        <v>NO</v>
      </c>
      <c r="R2212" t="str">
        <f t="shared" si="511"/>
        <v>YES</v>
      </c>
      <c r="T2212" t="s">
        <v>325</v>
      </c>
      <c r="U2212" t="str">
        <f t="shared" si="498"/>
        <v>Eliot St</v>
      </c>
      <c r="V2212" t="s">
        <v>198</v>
      </c>
      <c r="W2212" t="str">
        <f t="shared" si="499"/>
        <v>Mount Auburn St</v>
      </c>
      <c r="X2212" t="str">
        <f>IF(ISBLANK(S2212),"Intersection","Non-Intersection")</f>
        <v>Intersection</v>
      </c>
      <c r="Y2212" t="s">
        <v>3239</v>
      </c>
      <c r="Z2212" t="str">
        <f t="shared" si="500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01"/>
        <v>40544</v>
      </c>
      <c r="D2213" s="4">
        <f t="shared" si="502"/>
        <v>0.4</v>
      </c>
      <c r="E2213" s="3">
        <f t="shared" si="503"/>
        <v>2011</v>
      </c>
      <c r="F2213" s="3">
        <f t="shared" si="504"/>
        <v>5</v>
      </c>
      <c r="G2213" s="3">
        <f t="shared" si="505"/>
        <v>27</v>
      </c>
      <c r="H2213" s="3">
        <f t="shared" si="506"/>
        <v>17</v>
      </c>
      <c r="I2213" s="3">
        <f t="shared" si="507"/>
        <v>0</v>
      </c>
      <c r="J2213" s="3">
        <f t="shared" si="508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09"/>
        <v>YES</v>
      </c>
      <c r="Q2213" t="str">
        <f t="shared" si="510"/>
        <v>NO</v>
      </c>
      <c r="R2213" t="str">
        <f t="shared" si="511"/>
        <v>NO</v>
      </c>
      <c r="T2213" t="s">
        <v>379</v>
      </c>
      <c r="U2213" t="str">
        <f t="shared" si="498"/>
        <v>Second St</v>
      </c>
      <c r="W2213" t="str">
        <f t="shared" si="499"/>
        <v/>
      </c>
      <c r="X2213" t="str">
        <f>IF(ISBLANK(S2213),"Intersection","Non-Intersection")</f>
        <v>Intersection</v>
      </c>
      <c r="Y2213" t="s">
        <v>3240</v>
      </c>
      <c r="Z2213" t="str">
        <f t="shared" si="500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01"/>
        <v>40544</v>
      </c>
      <c r="D2214" s="4">
        <f t="shared" si="502"/>
        <v>0.4</v>
      </c>
      <c r="E2214" s="3">
        <f t="shared" si="503"/>
        <v>2011</v>
      </c>
      <c r="F2214" s="3">
        <f t="shared" si="504"/>
        <v>5</v>
      </c>
      <c r="G2214" s="3">
        <f t="shared" si="505"/>
        <v>27</v>
      </c>
      <c r="H2214" s="3">
        <f t="shared" si="506"/>
        <v>17</v>
      </c>
      <c r="I2214" s="3">
        <f t="shared" si="507"/>
        <v>0</v>
      </c>
      <c r="J2214" s="3">
        <f t="shared" si="508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09"/>
        <v>YES</v>
      </c>
      <c r="Q2214" t="str">
        <f t="shared" si="510"/>
        <v>NO</v>
      </c>
      <c r="R2214" t="str">
        <f t="shared" si="511"/>
        <v>NO</v>
      </c>
      <c r="T2214" t="s">
        <v>737</v>
      </c>
      <c r="U2214" t="str">
        <f t="shared" si="498"/>
        <v>Willow St</v>
      </c>
      <c r="W2214" t="str">
        <f t="shared" si="499"/>
        <v/>
      </c>
      <c r="X2214" t="str">
        <f>IF(ISBLANK(S2214),"Intersection","Non-Intersection")</f>
        <v>Intersection</v>
      </c>
      <c r="Y2214" t="s">
        <v>3241</v>
      </c>
      <c r="Z2214" t="str">
        <f t="shared" si="500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01"/>
        <v>40544</v>
      </c>
      <c r="D2215" s="4">
        <f t="shared" si="502"/>
        <v>0.4</v>
      </c>
      <c r="E2215" s="3">
        <f t="shared" si="503"/>
        <v>2011</v>
      </c>
      <c r="F2215" s="3">
        <f t="shared" si="504"/>
        <v>5</v>
      </c>
      <c r="G2215" s="3">
        <f t="shared" si="505"/>
        <v>27</v>
      </c>
      <c r="H2215" s="3">
        <f t="shared" si="506"/>
        <v>13</v>
      </c>
      <c r="I2215" s="3">
        <f t="shared" si="507"/>
        <v>50</v>
      </c>
      <c r="J2215" s="3">
        <f t="shared" si="508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09"/>
        <v>YES</v>
      </c>
      <c r="Q2215" t="str">
        <f t="shared" si="510"/>
        <v>NO</v>
      </c>
      <c r="R2215" t="str">
        <f t="shared" si="511"/>
        <v>NO</v>
      </c>
      <c r="S2215">
        <v>43</v>
      </c>
      <c r="T2215" t="s">
        <v>202</v>
      </c>
      <c r="U2215" t="str">
        <f t="shared" si="498"/>
        <v>Vassar St</v>
      </c>
      <c r="W2215" t="str">
        <f t="shared" si="499"/>
        <v/>
      </c>
      <c r="X2215" t="str">
        <f>IF(ISBLANK(S2215),"Intersection","Non-Intersection")</f>
        <v>Non-Intersection</v>
      </c>
      <c r="Y2215" t="s">
        <v>3242</v>
      </c>
      <c r="Z2215" t="str">
        <f t="shared" si="500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01"/>
        <v>40544</v>
      </c>
      <c r="D2216" s="4">
        <f t="shared" si="502"/>
        <v>0.40273972602739727</v>
      </c>
      <c r="E2216" s="3">
        <f t="shared" si="503"/>
        <v>2011</v>
      </c>
      <c r="F2216" s="3">
        <f t="shared" si="504"/>
        <v>5</v>
      </c>
      <c r="G2216" s="3">
        <f t="shared" si="505"/>
        <v>28</v>
      </c>
      <c r="H2216" s="3">
        <f t="shared" si="506"/>
        <v>11</v>
      </c>
      <c r="I2216" s="3">
        <f t="shared" si="507"/>
        <v>3</v>
      </c>
      <c r="J2216" s="3">
        <f t="shared" si="508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09"/>
        <v>YES</v>
      </c>
      <c r="Q2216" t="str">
        <f t="shared" si="510"/>
        <v>YES</v>
      </c>
      <c r="R2216" t="str">
        <f t="shared" si="511"/>
        <v>NO</v>
      </c>
      <c r="S2216">
        <v>221</v>
      </c>
      <c r="T2216" t="s">
        <v>74</v>
      </c>
      <c r="U2216" t="str">
        <f t="shared" si="498"/>
        <v>Hampshire St</v>
      </c>
      <c r="W2216" t="str">
        <f t="shared" si="499"/>
        <v/>
      </c>
      <c r="X2216" t="str">
        <f>IF(ISBLANK(S2216),"Intersection","Non-Intersection")</f>
        <v>Non-Intersection</v>
      </c>
      <c r="Y2216" t="s">
        <v>3244</v>
      </c>
      <c r="Z2216" t="str">
        <f t="shared" si="500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01"/>
        <v>40544</v>
      </c>
      <c r="D2217" s="4">
        <f t="shared" si="502"/>
        <v>0.40273972602739727</v>
      </c>
      <c r="E2217" s="3">
        <f t="shared" si="503"/>
        <v>2011</v>
      </c>
      <c r="F2217" s="3">
        <f t="shared" si="504"/>
        <v>5</v>
      </c>
      <c r="G2217" s="3">
        <f t="shared" si="505"/>
        <v>28</v>
      </c>
      <c r="H2217" s="3">
        <f t="shared" si="506"/>
        <v>13</v>
      </c>
      <c r="I2217" s="3">
        <f t="shared" si="507"/>
        <v>32</v>
      </c>
      <c r="J2217" s="3">
        <f t="shared" si="508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09"/>
        <v>YES</v>
      </c>
      <c r="Q2217" t="str">
        <f t="shared" si="510"/>
        <v>NO</v>
      </c>
      <c r="R2217" t="str">
        <f t="shared" si="511"/>
        <v>NO</v>
      </c>
      <c r="T2217" t="s">
        <v>14</v>
      </c>
      <c r="U2217" t="str">
        <f t="shared" si="498"/>
        <v>Massachusetts Ave</v>
      </c>
      <c r="V2217" t="s">
        <v>203</v>
      </c>
      <c r="W2217" t="str">
        <f t="shared" si="499"/>
        <v>Memorial Dr</v>
      </c>
      <c r="X2217" t="str">
        <f>IF(ISBLANK(S2217),"Intersection","Non-Intersection")</f>
        <v>Intersection</v>
      </c>
      <c r="Y2217" t="s">
        <v>3246</v>
      </c>
      <c r="Z2217" t="str">
        <f t="shared" si="500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01"/>
        <v>40544</v>
      </c>
      <c r="D2218" s="4">
        <f t="shared" si="502"/>
        <v>0.40547945205479452</v>
      </c>
      <c r="E2218" s="3">
        <f t="shared" si="503"/>
        <v>2011</v>
      </c>
      <c r="F2218" s="3">
        <f t="shared" si="504"/>
        <v>5</v>
      </c>
      <c r="G2218" s="3">
        <f t="shared" si="505"/>
        <v>29</v>
      </c>
      <c r="H2218" s="3">
        <f t="shared" si="506"/>
        <v>0</v>
      </c>
      <c r="I2218" s="3">
        <f t="shared" si="507"/>
        <v>30</v>
      </c>
      <c r="J2218" s="3">
        <f t="shared" si="508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09"/>
        <v>YES</v>
      </c>
      <c r="Q2218" t="str">
        <f t="shared" si="510"/>
        <v>NO</v>
      </c>
      <c r="R2218" t="str">
        <f t="shared" si="511"/>
        <v>NO</v>
      </c>
      <c r="S2218">
        <v>432</v>
      </c>
      <c r="T2218" t="s">
        <v>189</v>
      </c>
      <c r="U2218" t="str">
        <f t="shared" si="498"/>
        <v>Windsor St</v>
      </c>
      <c r="W2218" t="str">
        <f t="shared" si="499"/>
        <v/>
      </c>
      <c r="X2218" t="str">
        <f>IF(ISBLANK(S2218),"Intersection","Non-Intersection")</f>
        <v>Non-Intersection</v>
      </c>
      <c r="Y2218" t="s">
        <v>3248</v>
      </c>
      <c r="Z2218" t="str">
        <f t="shared" si="500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01"/>
        <v>40544</v>
      </c>
      <c r="D2219" s="4">
        <f t="shared" si="502"/>
        <v>0.40821917808219177</v>
      </c>
      <c r="E2219" s="3">
        <f t="shared" si="503"/>
        <v>2011</v>
      </c>
      <c r="F2219" s="3">
        <f t="shared" si="504"/>
        <v>5</v>
      </c>
      <c r="G2219" s="3">
        <f t="shared" si="505"/>
        <v>30</v>
      </c>
      <c r="H2219" s="3">
        <f t="shared" si="506"/>
        <v>7</v>
      </c>
      <c r="I2219" s="3">
        <f t="shared" si="507"/>
        <v>30</v>
      </c>
      <c r="J2219" s="3">
        <f t="shared" si="508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09"/>
        <v>YES</v>
      </c>
      <c r="Q2219" t="str">
        <f t="shared" si="510"/>
        <v>NO</v>
      </c>
      <c r="R2219" t="str">
        <f t="shared" si="511"/>
        <v>NO</v>
      </c>
      <c r="T2219" t="s">
        <v>326</v>
      </c>
      <c r="U2219" t="str">
        <f t="shared" si="498"/>
        <v>Jfk St</v>
      </c>
      <c r="V2219" t="s">
        <v>325</v>
      </c>
      <c r="W2219" t="str">
        <f t="shared" si="499"/>
        <v>Eliot St</v>
      </c>
      <c r="X2219" t="str">
        <f>IF(ISBLANK(S2219),"Intersection","Non-Intersection")</f>
        <v>Intersection</v>
      </c>
      <c r="Y2219" t="s">
        <v>1420</v>
      </c>
      <c r="Z2219" t="str">
        <f t="shared" si="500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01"/>
        <v>40544</v>
      </c>
      <c r="D2220" s="4">
        <f t="shared" si="502"/>
        <v>0.40821917808219177</v>
      </c>
      <c r="E2220" s="3">
        <f t="shared" si="503"/>
        <v>2011</v>
      </c>
      <c r="F2220" s="3">
        <f t="shared" si="504"/>
        <v>5</v>
      </c>
      <c r="G2220" s="3">
        <f t="shared" si="505"/>
        <v>30</v>
      </c>
      <c r="H2220" s="3">
        <f t="shared" si="506"/>
        <v>17</v>
      </c>
      <c r="I2220" s="3">
        <f t="shared" si="507"/>
        <v>6</v>
      </c>
      <c r="J2220" s="3">
        <f t="shared" si="508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09"/>
        <v>YES</v>
      </c>
      <c r="Q2220" t="str">
        <f t="shared" si="510"/>
        <v>YES</v>
      </c>
      <c r="R2220" t="str">
        <f t="shared" si="511"/>
        <v>NO</v>
      </c>
      <c r="S2220">
        <v>359</v>
      </c>
      <c r="T2220" t="s">
        <v>15</v>
      </c>
      <c r="U2220" t="str">
        <f t="shared" si="498"/>
        <v>Rindge Ave</v>
      </c>
      <c r="W2220" t="str">
        <f t="shared" si="499"/>
        <v/>
      </c>
      <c r="X2220" t="str">
        <f>IF(ISBLANK(S2220),"Intersection","Non-Intersection")</f>
        <v>Non-Intersection</v>
      </c>
      <c r="Y2220" t="s">
        <v>3250</v>
      </c>
      <c r="Z2220" t="str">
        <f t="shared" si="500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01"/>
        <v>40544</v>
      </c>
      <c r="D2221" s="4">
        <f t="shared" si="502"/>
        <v>0.40821917808219177</v>
      </c>
      <c r="E2221" s="3">
        <f t="shared" si="503"/>
        <v>2011</v>
      </c>
      <c r="F2221" s="3">
        <f t="shared" si="504"/>
        <v>5</v>
      </c>
      <c r="G2221" s="3">
        <f t="shared" si="505"/>
        <v>30</v>
      </c>
      <c r="H2221" s="3">
        <f t="shared" si="506"/>
        <v>14</v>
      </c>
      <c r="I2221" s="3">
        <f t="shared" si="507"/>
        <v>39</v>
      </c>
      <c r="J2221" s="3">
        <f t="shared" si="508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09"/>
        <v>YES</v>
      </c>
      <c r="Q2221" t="str">
        <f t="shared" si="510"/>
        <v>NO</v>
      </c>
      <c r="R2221" t="str">
        <f t="shared" si="511"/>
        <v>NO</v>
      </c>
      <c r="T2221" t="s">
        <v>198</v>
      </c>
      <c r="U2221" t="str">
        <f t="shared" si="498"/>
        <v>Mount Auburn St</v>
      </c>
      <c r="V2221" t="s">
        <v>50</v>
      </c>
      <c r="W2221" t="str">
        <f t="shared" si="499"/>
        <v>Belmont St</v>
      </c>
      <c r="X2221" t="str">
        <f>IF(ISBLANK(S2221),"Intersection","Non-Intersection")</f>
        <v>Intersection</v>
      </c>
      <c r="Y2221" t="s">
        <v>3121</v>
      </c>
      <c r="Z2221" t="str">
        <f t="shared" si="500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01"/>
        <v>40544</v>
      </c>
      <c r="D2222" s="4">
        <f t="shared" si="502"/>
        <v>0.41095890410958902</v>
      </c>
      <c r="E2222" s="3">
        <f t="shared" si="503"/>
        <v>2011</v>
      </c>
      <c r="F2222" s="3">
        <f t="shared" si="504"/>
        <v>5</v>
      </c>
      <c r="G2222" s="3">
        <f t="shared" si="505"/>
        <v>31</v>
      </c>
      <c r="H2222" s="3">
        <f t="shared" si="506"/>
        <v>17</v>
      </c>
      <c r="I2222" s="3">
        <f t="shared" si="507"/>
        <v>7</v>
      </c>
      <c r="J2222" s="3">
        <f t="shared" si="508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09"/>
        <v>YES</v>
      </c>
      <c r="Q2222" t="str">
        <f t="shared" si="510"/>
        <v>YES</v>
      </c>
      <c r="R2222" t="str">
        <f t="shared" si="511"/>
        <v>NO</v>
      </c>
      <c r="T2222" t="s">
        <v>14</v>
      </c>
      <c r="U2222" t="str">
        <f t="shared" si="498"/>
        <v>Massachusetts Ave</v>
      </c>
      <c r="V2222" t="s">
        <v>3252</v>
      </c>
      <c r="W2222" t="str">
        <f t="shared" si="499"/>
        <v>Village St</v>
      </c>
      <c r="X2222" t="str">
        <f>IF(ISBLANK(S2222),"Intersection","Non-Intersection")</f>
        <v>Intersection</v>
      </c>
      <c r="Y2222" t="s">
        <v>3253</v>
      </c>
      <c r="Z2222" t="str">
        <f t="shared" si="500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01"/>
        <v>40544</v>
      </c>
      <c r="D2223" s="4">
        <f t="shared" si="502"/>
        <v>0.41095890410958902</v>
      </c>
      <c r="E2223" s="3">
        <f t="shared" si="503"/>
        <v>2011</v>
      </c>
      <c r="F2223" s="3">
        <f t="shared" si="504"/>
        <v>5</v>
      </c>
      <c r="G2223" s="3">
        <f t="shared" si="505"/>
        <v>31</v>
      </c>
      <c r="H2223" s="3">
        <f t="shared" si="506"/>
        <v>7</v>
      </c>
      <c r="I2223" s="3">
        <f t="shared" si="507"/>
        <v>40</v>
      </c>
      <c r="J2223" s="3">
        <f t="shared" si="508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09"/>
        <v>YES</v>
      </c>
      <c r="Q2223" t="str">
        <f t="shared" si="510"/>
        <v>YES</v>
      </c>
      <c r="R2223" t="str">
        <f t="shared" si="511"/>
        <v>NO</v>
      </c>
      <c r="T2223" t="s">
        <v>74</v>
      </c>
      <c r="U2223" t="str">
        <f t="shared" si="498"/>
        <v>Hampshire St</v>
      </c>
      <c r="V2223" t="s">
        <v>342</v>
      </c>
      <c r="W2223" t="str">
        <f t="shared" si="499"/>
        <v>Prospect St</v>
      </c>
      <c r="X2223" t="str">
        <f>IF(ISBLANK(S2223),"Intersection","Non-Intersection")</f>
        <v>Intersection</v>
      </c>
      <c r="Y2223" t="s">
        <v>462</v>
      </c>
      <c r="Z2223" t="str">
        <f t="shared" si="500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01"/>
        <v>40544</v>
      </c>
      <c r="D2224" s="4">
        <f t="shared" si="502"/>
        <v>0.41095890410958902</v>
      </c>
      <c r="E2224" s="3">
        <f t="shared" si="503"/>
        <v>2011</v>
      </c>
      <c r="F2224" s="3">
        <f t="shared" si="504"/>
        <v>5</v>
      </c>
      <c r="G2224" s="3">
        <f t="shared" si="505"/>
        <v>31</v>
      </c>
      <c r="H2224" s="3">
        <f t="shared" si="506"/>
        <v>13</v>
      </c>
      <c r="I2224" s="3">
        <f t="shared" si="507"/>
        <v>44</v>
      </c>
      <c r="J2224" s="3">
        <f t="shared" si="508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09"/>
        <v>YES</v>
      </c>
      <c r="Q2224" t="str">
        <f t="shared" si="510"/>
        <v>NO</v>
      </c>
      <c r="R2224" t="str">
        <f t="shared" si="511"/>
        <v>NO</v>
      </c>
      <c r="T2224" t="s">
        <v>147</v>
      </c>
      <c r="U2224" t="str">
        <f t="shared" si="498"/>
        <v>Sixth St</v>
      </c>
      <c r="V2224" t="s">
        <v>261</v>
      </c>
      <c r="W2224" t="str">
        <f t="shared" si="499"/>
        <v>Otis St</v>
      </c>
      <c r="X2224" t="str">
        <f>IF(ISBLANK(S2224),"Intersection","Non-Intersection")</f>
        <v>Intersection</v>
      </c>
      <c r="Y2224" t="s">
        <v>3011</v>
      </c>
      <c r="Z2224" t="str">
        <f t="shared" si="500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01"/>
        <v>40544</v>
      </c>
      <c r="D2225" s="4">
        <f t="shared" si="502"/>
        <v>0.41095890410958902</v>
      </c>
      <c r="E2225" s="3">
        <f t="shared" si="503"/>
        <v>2011</v>
      </c>
      <c r="F2225" s="3">
        <f t="shared" si="504"/>
        <v>5</v>
      </c>
      <c r="G2225" s="3">
        <f t="shared" si="505"/>
        <v>31</v>
      </c>
      <c r="H2225" s="3">
        <f t="shared" si="506"/>
        <v>18</v>
      </c>
      <c r="I2225" s="3">
        <f t="shared" si="507"/>
        <v>59</v>
      </c>
      <c r="J2225" s="3">
        <f t="shared" si="508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09"/>
        <v>YES</v>
      </c>
      <c r="Q2225" t="str">
        <f t="shared" si="510"/>
        <v>YES</v>
      </c>
      <c r="R2225" t="str">
        <f t="shared" si="511"/>
        <v>NO</v>
      </c>
      <c r="S2225">
        <v>250</v>
      </c>
      <c r="T2225" t="s">
        <v>199</v>
      </c>
      <c r="U2225" t="str">
        <f t="shared" si="498"/>
        <v>Brattle St</v>
      </c>
      <c r="W2225" t="str">
        <f t="shared" si="499"/>
        <v/>
      </c>
      <c r="X2225" t="str">
        <f>IF(ISBLANK(S2225),"Intersection","Non-Intersection")</f>
        <v>Non-Intersection</v>
      </c>
      <c r="Y2225" t="s">
        <v>3255</v>
      </c>
      <c r="Z2225" t="str">
        <f t="shared" si="500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01"/>
        <v>40544</v>
      </c>
      <c r="D2226" s="4">
        <f t="shared" si="502"/>
        <v>0.41095890410958902</v>
      </c>
      <c r="E2226" s="3">
        <f t="shared" si="503"/>
        <v>2011</v>
      </c>
      <c r="F2226" s="3">
        <f t="shared" si="504"/>
        <v>5</v>
      </c>
      <c r="G2226" s="3">
        <f t="shared" si="505"/>
        <v>31</v>
      </c>
      <c r="H2226" s="3">
        <f t="shared" si="506"/>
        <v>12</v>
      </c>
      <c r="I2226" s="3">
        <f t="shared" si="507"/>
        <v>10</v>
      </c>
      <c r="J2226" s="3">
        <f t="shared" si="508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09"/>
        <v>YES</v>
      </c>
      <c r="Q2226" t="str">
        <f t="shared" si="510"/>
        <v>NO</v>
      </c>
      <c r="R2226" t="str">
        <f t="shared" si="511"/>
        <v>NO</v>
      </c>
      <c r="T2226" t="s">
        <v>42</v>
      </c>
      <c r="U2226" t="str">
        <f t="shared" si="498"/>
        <v>Putnam Ave</v>
      </c>
      <c r="V2226" t="s">
        <v>178</v>
      </c>
      <c r="W2226" t="str">
        <f t="shared" si="499"/>
        <v>Pleasant St</v>
      </c>
      <c r="X2226" t="str">
        <f>IF(ISBLANK(S2226),"Intersection","Non-Intersection")</f>
        <v>Intersection</v>
      </c>
      <c r="Y2226" t="s">
        <v>179</v>
      </c>
      <c r="Z2226" t="str">
        <f t="shared" si="500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01"/>
        <v>40544</v>
      </c>
      <c r="D2227" s="4">
        <f t="shared" si="502"/>
        <v>0.41095890410958902</v>
      </c>
      <c r="E2227" s="3">
        <f t="shared" si="503"/>
        <v>2011</v>
      </c>
      <c r="F2227" s="3">
        <f t="shared" si="504"/>
        <v>5</v>
      </c>
      <c r="G2227" s="3">
        <f t="shared" si="505"/>
        <v>31</v>
      </c>
      <c r="H2227" s="3">
        <f t="shared" si="506"/>
        <v>21</v>
      </c>
      <c r="I2227" s="3">
        <f t="shared" si="507"/>
        <v>24</v>
      </c>
      <c r="J2227" s="3">
        <f t="shared" si="508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09"/>
        <v>YES</v>
      </c>
      <c r="Q2227" t="str">
        <f t="shared" si="510"/>
        <v>NO</v>
      </c>
      <c r="R2227" t="str">
        <f t="shared" si="511"/>
        <v>YES</v>
      </c>
      <c r="T2227" t="s">
        <v>667</v>
      </c>
      <c r="U2227" t="str">
        <f t="shared" si="498"/>
        <v>Tremont St</v>
      </c>
      <c r="V2227" t="s">
        <v>19</v>
      </c>
      <c r="W2227" t="str">
        <f t="shared" si="499"/>
        <v>Cambridge St</v>
      </c>
      <c r="X2227" t="str">
        <f>IF(ISBLANK(S2227),"Intersection","Non-Intersection")</f>
        <v>Intersection</v>
      </c>
      <c r="Y2227" t="s">
        <v>2283</v>
      </c>
      <c r="Z2227" t="str">
        <f t="shared" si="500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01"/>
        <v>40544</v>
      </c>
      <c r="D2228" s="4">
        <f t="shared" si="502"/>
        <v>0.41369863013698632</v>
      </c>
      <c r="E2228" s="3">
        <f t="shared" si="503"/>
        <v>2011</v>
      </c>
      <c r="F2228" s="3">
        <f t="shared" si="504"/>
        <v>6</v>
      </c>
      <c r="G2228" s="3">
        <f t="shared" si="505"/>
        <v>1</v>
      </c>
      <c r="H2228" s="3">
        <f t="shared" si="506"/>
        <v>1</v>
      </c>
      <c r="I2228" s="3">
        <f t="shared" si="507"/>
        <v>41</v>
      </c>
      <c r="J2228" s="3">
        <f t="shared" si="508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09"/>
        <v>YES</v>
      </c>
      <c r="Q2228" t="str">
        <f t="shared" si="510"/>
        <v>NO</v>
      </c>
      <c r="R2228" t="str">
        <f t="shared" si="511"/>
        <v>NO</v>
      </c>
      <c r="T2228" t="s">
        <v>70</v>
      </c>
      <c r="U2228" t="str">
        <f t="shared" si="498"/>
        <v>Pearl St</v>
      </c>
      <c r="V2228" t="s">
        <v>509</v>
      </c>
      <c r="W2228" t="str">
        <f t="shared" si="499"/>
        <v>Green St</v>
      </c>
      <c r="X2228" t="str">
        <f>IF(ISBLANK(S2228),"Intersection","Non-Intersection")</f>
        <v>Intersection</v>
      </c>
      <c r="Y2228" t="s">
        <v>3257</v>
      </c>
      <c r="Z2228" t="str">
        <f t="shared" si="500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01"/>
        <v>40544</v>
      </c>
      <c r="D2229" s="4">
        <f t="shared" si="502"/>
        <v>0.41369863013698632</v>
      </c>
      <c r="E2229" s="3">
        <f t="shared" si="503"/>
        <v>2011</v>
      </c>
      <c r="F2229" s="3">
        <f t="shared" si="504"/>
        <v>6</v>
      </c>
      <c r="G2229" s="3">
        <f t="shared" si="505"/>
        <v>1</v>
      </c>
      <c r="H2229" s="3">
        <f t="shared" si="506"/>
        <v>16</v>
      </c>
      <c r="I2229" s="3">
        <f t="shared" si="507"/>
        <v>37</v>
      </c>
      <c r="J2229" s="3">
        <f t="shared" si="508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09"/>
        <v>YES</v>
      </c>
      <c r="Q2229" t="str">
        <f t="shared" si="510"/>
        <v>NO</v>
      </c>
      <c r="R2229" t="str">
        <f t="shared" si="511"/>
        <v>NO</v>
      </c>
      <c r="T2229" t="s">
        <v>252</v>
      </c>
      <c r="U2229" t="str">
        <f t="shared" si="498"/>
        <v>Walden St</v>
      </c>
      <c r="V2229" t="s">
        <v>185</v>
      </c>
      <c r="W2229" t="str">
        <f t="shared" si="499"/>
        <v>Garden St</v>
      </c>
      <c r="X2229" t="str">
        <f>IF(ISBLANK(S2229),"Intersection","Non-Intersection")</f>
        <v>Intersection</v>
      </c>
      <c r="Y2229" t="s">
        <v>3259</v>
      </c>
      <c r="Z2229" t="str">
        <f t="shared" si="500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01"/>
        <v>40544</v>
      </c>
      <c r="D2230" s="4">
        <f t="shared" si="502"/>
        <v>0.41369863013698632</v>
      </c>
      <c r="E2230" s="3">
        <f t="shared" si="503"/>
        <v>2011</v>
      </c>
      <c r="F2230" s="3">
        <f t="shared" si="504"/>
        <v>6</v>
      </c>
      <c r="G2230" s="3">
        <f t="shared" si="505"/>
        <v>1</v>
      </c>
      <c r="H2230" s="3">
        <f t="shared" si="506"/>
        <v>18</v>
      </c>
      <c r="I2230" s="3">
        <f t="shared" si="507"/>
        <v>20</v>
      </c>
      <c r="J2230" s="3">
        <f t="shared" si="508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09"/>
        <v>YES</v>
      </c>
      <c r="Q2230" t="str">
        <f t="shared" si="510"/>
        <v>NO</v>
      </c>
      <c r="R2230" t="str">
        <f t="shared" si="511"/>
        <v>NO</v>
      </c>
      <c r="T2230" t="s">
        <v>533</v>
      </c>
      <c r="U2230" t="str">
        <f t="shared" si="498"/>
        <v>Cherry St</v>
      </c>
      <c r="V2230" t="s">
        <v>3260</v>
      </c>
      <c r="W2230" t="str">
        <f t="shared" si="499"/>
        <v>Eaton St</v>
      </c>
      <c r="X2230" t="str">
        <f>IF(ISBLANK(S2230),"Intersection","Non-Intersection")</f>
        <v>Intersection</v>
      </c>
      <c r="Y2230" t="s">
        <v>3261</v>
      </c>
      <c r="Z2230" t="str">
        <f t="shared" si="500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01"/>
        <v>40544</v>
      </c>
      <c r="D2231" s="4">
        <f t="shared" si="502"/>
        <v>0.41369863013698632</v>
      </c>
      <c r="E2231" s="3">
        <f t="shared" si="503"/>
        <v>2011</v>
      </c>
      <c r="F2231" s="3">
        <f t="shared" si="504"/>
        <v>6</v>
      </c>
      <c r="G2231" s="3">
        <f t="shared" si="505"/>
        <v>1</v>
      </c>
      <c r="H2231" s="3">
        <f t="shared" si="506"/>
        <v>14</v>
      </c>
      <c r="I2231" s="3">
        <f t="shared" si="507"/>
        <v>15</v>
      </c>
      <c r="J2231" s="3">
        <f t="shared" si="508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09"/>
        <v>YES</v>
      </c>
      <c r="Q2231" t="str">
        <f t="shared" si="510"/>
        <v>NO</v>
      </c>
      <c r="R2231" t="str">
        <f t="shared" si="511"/>
        <v>NO</v>
      </c>
      <c r="S2231">
        <v>81</v>
      </c>
      <c r="T2231" t="s">
        <v>1226</v>
      </c>
      <c r="U2231" t="str">
        <f t="shared" si="498"/>
        <v>Dana St</v>
      </c>
      <c r="W2231" t="str">
        <f t="shared" si="499"/>
        <v/>
      </c>
      <c r="X2231" t="str">
        <f>IF(ISBLANK(S2231),"Intersection","Non-Intersection")</f>
        <v>Non-Intersection</v>
      </c>
      <c r="Y2231" t="s">
        <v>3263</v>
      </c>
      <c r="Z2231" t="str">
        <f t="shared" si="500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01"/>
        <v>40544</v>
      </c>
      <c r="D2232" s="4">
        <f t="shared" si="502"/>
        <v>0.41369863013698632</v>
      </c>
      <c r="E2232" s="3">
        <f t="shared" si="503"/>
        <v>2011</v>
      </c>
      <c r="F2232" s="3">
        <f t="shared" si="504"/>
        <v>6</v>
      </c>
      <c r="G2232" s="3">
        <f t="shared" si="505"/>
        <v>1</v>
      </c>
      <c r="H2232" s="3">
        <f t="shared" si="506"/>
        <v>16</v>
      </c>
      <c r="I2232" s="3">
        <f t="shared" si="507"/>
        <v>50</v>
      </c>
      <c r="J2232" s="3">
        <f t="shared" si="508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09"/>
        <v>YES</v>
      </c>
      <c r="Q2232" t="str">
        <f t="shared" si="510"/>
        <v>NO</v>
      </c>
      <c r="R2232" t="str">
        <f t="shared" si="511"/>
        <v>NO</v>
      </c>
      <c r="T2232" t="s">
        <v>45</v>
      </c>
      <c r="U2232" t="str">
        <f t="shared" si="498"/>
        <v>Sherman St</v>
      </c>
      <c r="V2232" t="s">
        <v>252</v>
      </c>
      <c r="W2232" t="str">
        <f t="shared" si="499"/>
        <v>Walden St</v>
      </c>
      <c r="X2232" t="str">
        <f>IF(ISBLANK(S2232),"Intersection","Non-Intersection")</f>
        <v>Intersection</v>
      </c>
      <c r="Y2232" t="s">
        <v>3265</v>
      </c>
      <c r="Z2232" t="str">
        <f t="shared" si="500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01"/>
        <v>40544</v>
      </c>
      <c r="D2233" s="4">
        <f t="shared" si="502"/>
        <v>0.41643835616438357</v>
      </c>
      <c r="E2233" s="3">
        <f t="shared" si="503"/>
        <v>2011</v>
      </c>
      <c r="F2233" s="3">
        <f t="shared" si="504"/>
        <v>6</v>
      </c>
      <c r="G2233" s="3">
        <f t="shared" si="505"/>
        <v>2</v>
      </c>
      <c r="H2233" s="3">
        <f t="shared" si="506"/>
        <v>10</v>
      </c>
      <c r="I2233" s="3">
        <f t="shared" si="507"/>
        <v>30</v>
      </c>
      <c r="J2233" s="3">
        <f t="shared" si="508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09"/>
        <v>YES</v>
      </c>
      <c r="Q2233" t="str">
        <f t="shared" si="510"/>
        <v>NO</v>
      </c>
      <c r="R2233" t="str">
        <f t="shared" si="511"/>
        <v>NO</v>
      </c>
      <c r="T2233" t="s">
        <v>269</v>
      </c>
      <c r="U2233" t="str">
        <f t="shared" si="498"/>
        <v>Porter Sq</v>
      </c>
      <c r="W2233" t="str">
        <f t="shared" si="499"/>
        <v/>
      </c>
      <c r="X2233" t="str">
        <f>IF(ISBLANK(S2233),"Intersection","Non-Intersection")</f>
        <v>Intersection</v>
      </c>
      <c r="Y2233" t="s">
        <v>923</v>
      </c>
      <c r="Z2233" t="str">
        <f t="shared" si="500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01"/>
        <v>40544</v>
      </c>
      <c r="D2234" s="4">
        <f t="shared" si="502"/>
        <v>0.41643835616438357</v>
      </c>
      <c r="E2234" s="3">
        <f t="shared" si="503"/>
        <v>2011</v>
      </c>
      <c r="F2234" s="3">
        <f t="shared" si="504"/>
        <v>6</v>
      </c>
      <c r="G2234" s="3">
        <f t="shared" si="505"/>
        <v>2</v>
      </c>
      <c r="H2234" s="3">
        <f t="shared" si="506"/>
        <v>18</v>
      </c>
      <c r="I2234" s="3">
        <f t="shared" si="507"/>
        <v>27</v>
      </c>
      <c r="J2234" s="3">
        <f t="shared" si="508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09"/>
        <v>YES</v>
      </c>
      <c r="Q2234" t="str">
        <f t="shared" si="510"/>
        <v>NO</v>
      </c>
      <c r="R2234" t="str">
        <f t="shared" si="511"/>
        <v>NO</v>
      </c>
      <c r="T2234" t="s">
        <v>14</v>
      </c>
      <c r="U2234" t="str">
        <f t="shared" si="498"/>
        <v>Massachusetts Ave</v>
      </c>
      <c r="V2234" t="s">
        <v>202</v>
      </c>
      <c r="W2234" t="str">
        <f t="shared" si="499"/>
        <v>Vassar St</v>
      </c>
      <c r="X2234" t="str">
        <f>IF(ISBLANK(S2234),"Intersection","Non-Intersection")</f>
        <v>Intersection</v>
      </c>
      <c r="Y2234" t="s">
        <v>361</v>
      </c>
      <c r="Z2234" t="str">
        <f t="shared" si="500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01"/>
        <v>40544</v>
      </c>
      <c r="D2235" s="4">
        <f t="shared" si="502"/>
        <v>0.41643835616438357</v>
      </c>
      <c r="E2235" s="3">
        <f t="shared" si="503"/>
        <v>2011</v>
      </c>
      <c r="F2235" s="3">
        <f t="shared" si="504"/>
        <v>6</v>
      </c>
      <c r="G2235" s="3">
        <f t="shared" si="505"/>
        <v>2</v>
      </c>
      <c r="H2235" s="3">
        <f t="shared" si="506"/>
        <v>18</v>
      </c>
      <c r="I2235" s="3">
        <f t="shared" si="507"/>
        <v>49</v>
      </c>
      <c r="J2235" s="3">
        <f t="shared" si="508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09"/>
        <v>YES</v>
      </c>
      <c r="Q2235" t="str">
        <f t="shared" si="510"/>
        <v>NO</v>
      </c>
      <c r="R2235" t="str">
        <f t="shared" si="511"/>
        <v>NO</v>
      </c>
      <c r="T2235" t="s">
        <v>326</v>
      </c>
      <c r="U2235" t="str">
        <f t="shared" si="498"/>
        <v>Jfk St</v>
      </c>
      <c r="W2235" t="str">
        <f t="shared" si="499"/>
        <v/>
      </c>
      <c r="X2235" t="str">
        <f>IF(ISBLANK(S2235),"Intersection","Non-Intersection")</f>
        <v>Intersection</v>
      </c>
      <c r="Y2235" t="s">
        <v>2551</v>
      </c>
      <c r="Z2235" t="str">
        <f t="shared" si="500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01"/>
        <v>40544</v>
      </c>
      <c r="D2236" s="4">
        <f t="shared" si="502"/>
        <v>0.41643835616438357</v>
      </c>
      <c r="E2236" s="3">
        <f t="shared" si="503"/>
        <v>2011</v>
      </c>
      <c r="F2236" s="3">
        <f t="shared" si="504"/>
        <v>6</v>
      </c>
      <c r="G2236" s="3">
        <f t="shared" si="505"/>
        <v>2</v>
      </c>
      <c r="H2236" s="3">
        <f t="shared" si="506"/>
        <v>14</v>
      </c>
      <c r="I2236" s="3">
        <f t="shared" si="507"/>
        <v>0</v>
      </c>
      <c r="J2236" s="3">
        <f t="shared" si="508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09"/>
        <v>YES</v>
      </c>
      <c r="Q2236" t="str">
        <f t="shared" si="510"/>
        <v>NO</v>
      </c>
      <c r="R2236" t="str">
        <f t="shared" si="511"/>
        <v>NO</v>
      </c>
      <c r="S2236">
        <v>349</v>
      </c>
      <c r="T2236" t="s">
        <v>101</v>
      </c>
      <c r="U2236" t="str">
        <f t="shared" si="498"/>
        <v>Columbia St</v>
      </c>
      <c r="W2236" t="str">
        <f t="shared" si="499"/>
        <v/>
      </c>
      <c r="X2236" t="str">
        <f>IF(ISBLANK(S2236),"Intersection","Non-Intersection")</f>
        <v>Non-Intersection</v>
      </c>
      <c r="Y2236" t="s">
        <v>3266</v>
      </c>
      <c r="Z2236" t="str">
        <f t="shared" si="500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01"/>
        <v>40544</v>
      </c>
      <c r="D2237" s="4">
        <f t="shared" si="502"/>
        <v>0.41917808219178082</v>
      </c>
      <c r="E2237" s="3">
        <f t="shared" si="503"/>
        <v>2011</v>
      </c>
      <c r="F2237" s="3">
        <f t="shared" si="504"/>
        <v>6</v>
      </c>
      <c r="G2237" s="3">
        <f t="shared" si="505"/>
        <v>3</v>
      </c>
      <c r="H2237" s="3">
        <f t="shared" si="506"/>
        <v>15</v>
      </c>
      <c r="I2237" s="3">
        <f t="shared" si="507"/>
        <v>17</v>
      </c>
      <c r="J2237" s="3">
        <f t="shared" si="508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09"/>
        <v>YES</v>
      </c>
      <c r="Q2237" t="str">
        <f t="shared" si="510"/>
        <v>NO</v>
      </c>
      <c r="R2237" t="str">
        <f t="shared" si="511"/>
        <v>NO</v>
      </c>
      <c r="T2237" t="s">
        <v>14</v>
      </c>
      <c r="U2237" t="str">
        <f t="shared" si="498"/>
        <v>Massachusetts Ave</v>
      </c>
      <c r="V2237" t="s">
        <v>119</v>
      </c>
      <c r="W2237" t="str">
        <f t="shared" si="499"/>
        <v>Albany St</v>
      </c>
      <c r="X2237" t="str">
        <f>IF(ISBLANK(S2237),"Intersection","Non-Intersection")</f>
        <v>Intersection</v>
      </c>
      <c r="Y2237" t="s">
        <v>247</v>
      </c>
      <c r="Z2237" t="str">
        <f t="shared" si="500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01"/>
        <v>40544</v>
      </c>
      <c r="D2238" s="4">
        <f t="shared" si="502"/>
        <v>0.41917808219178082</v>
      </c>
      <c r="E2238" s="3">
        <f t="shared" si="503"/>
        <v>2011</v>
      </c>
      <c r="F2238" s="3">
        <f t="shared" si="504"/>
        <v>6</v>
      </c>
      <c r="G2238" s="3">
        <f t="shared" si="505"/>
        <v>3</v>
      </c>
      <c r="H2238" s="3">
        <f t="shared" si="506"/>
        <v>17</v>
      </c>
      <c r="I2238" s="3">
        <f t="shared" si="507"/>
        <v>29</v>
      </c>
      <c r="J2238" s="3">
        <f t="shared" si="508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09"/>
        <v>YES</v>
      </c>
      <c r="Q2238" t="str">
        <f t="shared" si="510"/>
        <v>YES</v>
      </c>
      <c r="R2238" t="str">
        <f t="shared" si="511"/>
        <v>NO</v>
      </c>
      <c r="T2238" t="s">
        <v>202</v>
      </c>
      <c r="U2238" t="str">
        <f t="shared" si="498"/>
        <v>Vassar St</v>
      </c>
      <c r="V2238" t="s">
        <v>32</v>
      </c>
      <c r="W2238" t="str">
        <f t="shared" si="499"/>
        <v>Main St</v>
      </c>
      <c r="X2238" t="str">
        <f>IF(ISBLANK(S2238),"Intersection","Non-Intersection")</f>
        <v>Intersection</v>
      </c>
      <c r="Y2238" t="s">
        <v>624</v>
      </c>
      <c r="Z2238" t="str">
        <f t="shared" si="500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01"/>
        <v>40544</v>
      </c>
      <c r="D2239" s="4">
        <f t="shared" si="502"/>
        <v>0.41917808219178082</v>
      </c>
      <c r="E2239" s="3">
        <f t="shared" si="503"/>
        <v>2011</v>
      </c>
      <c r="F2239" s="3">
        <f t="shared" si="504"/>
        <v>6</v>
      </c>
      <c r="G2239" s="3">
        <f t="shared" si="505"/>
        <v>3</v>
      </c>
      <c r="H2239" s="3">
        <f t="shared" si="506"/>
        <v>10</v>
      </c>
      <c r="I2239" s="3">
        <f t="shared" si="507"/>
        <v>8</v>
      </c>
      <c r="J2239" s="3">
        <f t="shared" si="508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09"/>
        <v>YES</v>
      </c>
      <c r="Q2239" t="str">
        <f t="shared" si="510"/>
        <v>NO</v>
      </c>
      <c r="R2239" t="str">
        <f t="shared" si="511"/>
        <v>NO</v>
      </c>
      <c r="T2239" t="s">
        <v>32</v>
      </c>
      <c r="U2239" t="str">
        <f t="shared" si="498"/>
        <v>Main St</v>
      </c>
      <c r="V2239" t="s">
        <v>202</v>
      </c>
      <c r="W2239" t="str">
        <f t="shared" si="499"/>
        <v>Vassar St</v>
      </c>
      <c r="X2239" t="str">
        <f>IF(ISBLANK(S2239),"Intersection","Non-Intersection")</f>
        <v>Intersection</v>
      </c>
      <c r="Y2239" t="s">
        <v>772</v>
      </c>
      <c r="Z2239" t="str">
        <f t="shared" si="500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01"/>
        <v>40544</v>
      </c>
      <c r="D2240" s="4">
        <f t="shared" si="502"/>
        <v>0.42191780821917807</v>
      </c>
      <c r="E2240" s="3">
        <f t="shared" si="503"/>
        <v>2011</v>
      </c>
      <c r="F2240" s="3">
        <f t="shared" si="504"/>
        <v>6</v>
      </c>
      <c r="G2240" s="3">
        <f t="shared" si="505"/>
        <v>4</v>
      </c>
      <c r="H2240" s="3">
        <f t="shared" si="506"/>
        <v>11</v>
      </c>
      <c r="I2240" s="3">
        <f t="shared" si="507"/>
        <v>29</v>
      </c>
      <c r="J2240" s="3">
        <f t="shared" si="508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09"/>
        <v>YES</v>
      </c>
      <c r="Q2240" t="str">
        <f t="shared" si="510"/>
        <v>NO</v>
      </c>
      <c r="R2240" t="str">
        <f t="shared" si="511"/>
        <v>NO</v>
      </c>
      <c r="T2240" t="s">
        <v>832</v>
      </c>
      <c r="U2240" t="str">
        <f t="shared" si="498"/>
        <v>Fairmont Ave</v>
      </c>
      <c r="V2240" t="s">
        <v>41</v>
      </c>
      <c r="W2240" t="str">
        <f t="shared" si="499"/>
        <v>River St</v>
      </c>
      <c r="X2240" t="str">
        <f>IF(ISBLANK(S2240),"Intersection","Non-Intersection")</f>
        <v>Intersection</v>
      </c>
      <c r="Y2240" t="s">
        <v>3268</v>
      </c>
      <c r="Z2240" t="str">
        <f t="shared" si="500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01"/>
        <v>40544</v>
      </c>
      <c r="D2241" s="4">
        <f t="shared" si="502"/>
        <v>0.42191780821917807</v>
      </c>
      <c r="E2241" s="3">
        <f t="shared" si="503"/>
        <v>2011</v>
      </c>
      <c r="F2241" s="3">
        <f t="shared" si="504"/>
        <v>6</v>
      </c>
      <c r="G2241" s="3">
        <f t="shared" si="505"/>
        <v>4</v>
      </c>
      <c r="H2241" s="3">
        <f t="shared" si="506"/>
        <v>22</v>
      </c>
      <c r="I2241" s="3">
        <f t="shared" si="507"/>
        <v>30</v>
      </c>
      <c r="J2241" s="3">
        <f t="shared" si="508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09"/>
        <v>YES</v>
      </c>
      <c r="Q2241" t="str">
        <f t="shared" si="510"/>
        <v>NO</v>
      </c>
      <c r="R2241" t="str">
        <f t="shared" si="511"/>
        <v>NO</v>
      </c>
      <c r="T2241" t="s">
        <v>312</v>
      </c>
      <c r="U2241" t="str">
        <f t="shared" si="498"/>
        <v>Auburn St</v>
      </c>
      <c r="W2241" t="str">
        <f t="shared" si="499"/>
        <v/>
      </c>
      <c r="X2241" t="str">
        <f>IF(ISBLANK(S2241),"Intersection","Non-Intersection")</f>
        <v>Intersection</v>
      </c>
      <c r="Y2241" t="s">
        <v>3270</v>
      </c>
      <c r="Z2241" t="str">
        <f t="shared" si="500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01"/>
        <v>40544</v>
      </c>
      <c r="D2242" s="4">
        <f t="shared" si="502"/>
        <v>0.42191780821917807</v>
      </c>
      <c r="E2242" s="3">
        <f t="shared" si="503"/>
        <v>2011</v>
      </c>
      <c r="F2242" s="3">
        <f t="shared" si="504"/>
        <v>6</v>
      </c>
      <c r="G2242" s="3">
        <f t="shared" si="505"/>
        <v>4</v>
      </c>
      <c r="H2242" s="3">
        <f t="shared" si="506"/>
        <v>22</v>
      </c>
      <c r="I2242" s="3">
        <f t="shared" si="507"/>
        <v>50</v>
      </c>
      <c r="J2242" s="3">
        <f t="shared" si="508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09"/>
        <v>YES</v>
      </c>
      <c r="Q2242" t="str">
        <f t="shared" si="510"/>
        <v>NO</v>
      </c>
      <c r="R2242" t="str">
        <f t="shared" si="511"/>
        <v>NO</v>
      </c>
      <c r="T2242" t="s">
        <v>105</v>
      </c>
      <c r="U2242" t="str">
        <f t="shared" si="498"/>
        <v>Broadway</v>
      </c>
      <c r="V2242" t="s">
        <v>342</v>
      </c>
      <c r="W2242" t="str">
        <f t="shared" si="499"/>
        <v>Prospect St</v>
      </c>
      <c r="X2242" t="str">
        <f>IF(ISBLANK(S2242),"Intersection","Non-Intersection")</f>
        <v>Intersection</v>
      </c>
      <c r="Y2242" t="s">
        <v>343</v>
      </c>
      <c r="Z2242" t="str">
        <f t="shared" si="500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01"/>
        <v>40544</v>
      </c>
      <c r="D2243" s="4">
        <f t="shared" si="502"/>
        <v>0.42191780821917807</v>
      </c>
      <c r="E2243" s="3">
        <f t="shared" si="503"/>
        <v>2011</v>
      </c>
      <c r="F2243" s="3">
        <f t="shared" si="504"/>
        <v>6</v>
      </c>
      <c r="G2243" s="3">
        <f t="shared" si="505"/>
        <v>4</v>
      </c>
      <c r="H2243" s="3">
        <f t="shared" si="506"/>
        <v>10</v>
      </c>
      <c r="I2243" s="3">
        <f t="shared" si="507"/>
        <v>30</v>
      </c>
      <c r="J2243" s="3">
        <f t="shared" si="508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09"/>
        <v>YES</v>
      </c>
      <c r="Q2243" t="str">
        <f t="shared" si="510"/>
        <v>YES</v>
      </c>
      <c r="R2243" t="str">
        <f t="shared" si="511"/>
        <v>NO</v>
      </c>
      <c r="T2243" t="s">
        <v>14</v>
      </c>
      <c r="U2243" t="str">
        <f t="shared" ref="U2243:U2306" si="512">TRIM(PROPER(T2243))</f>
        <v>Massachusetts Ave</v>
      </c>
      <c r="V2243" t="s">
        <v>15</v>
      </c>
      <c r="W2243" t="str">
        <f t="shared" ref="W2243:W2306" si="513">TRIM(PROPER(V2243))</f>
        <v>Rindge Ave</v>
      </c>
      <c r="X2243" t="str">
        <f>IF(ISBLANK(S2243),"Intersection","Non-Intersection")</f>
        <v>Intersection</v>
      </c>
      <c r="Y2243" t="s">
        <v>16</v>
      </c>
      <c r="Z2243" t="str">
        <f t="shared" ref="Z2243:Z2306" si="514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01"/>
        <v>40544</v>
      </c>
      <c r="D2244" s="4">
        <f t="shared" si="502"/>
        <v>0.42191780821917807</v>
      </c>
      <c r="E2244" s="3">
        <f t="shared" si="503"/>
        <v>2011</v>
      </c>
      <c r="F2244" s="3">
        <f t="shared" si="504"/>
        <v>6</v>
      </c>
      <c r="G2244" s="3">
        <f t="shared" si="505"/>
        <v>4</v>
      </c>
      <c r="H2244" s="3">
        <f t="shared" si="506"/>
        <v>12</v>
      </c>
      <c r="I2244" s="3">
        <f t="shared" si="507"/>
        <v>0</v>
      </c>
      <c r="J2244" s="3">
        <f t="shared" si="508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09"/>
        <v>YES</v>
      </c>
      <c r="Q2244" t="str">
        <f t="shared" si="510"/>
        <v>NO</v>
      </c>
      <c r="R2244" t="str">
        <f t="shared" si="511"/>
        <v>NO</v>
      </c>
      <c r="S2244">
        <v>126</v>
      </c>
      <c r="T2244" t="s">
        <v>1013</v>
      </c>
      <c r="U2244" t="str">
        <f t="shared" si="512"/>
        <v>Blanchard Rd</v>
      </c>
      <c r="W2244" t="str">
        <f t="shared" si="513"/>
        <v/>
      </c>
      <c r="X2244" t="str">
        <f>IF(ISBLANK(S2244),"Intersection","Non-Intersection")</f>
        <v>Non-Intersection</v>
      </c>
      <c r="Y2244" t="s">
        <v>3271</v>
      </c>
      <c r="Z2244" t="str">
        <f t="shared" si="514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01"/>
        <v>40544</v>
      </c>
      <c r="D2245" s="4">
        <f t="shared" si="502"/>
        <v>0.42191780821917807</v>
      </c>
      <c r="E2245" s="3">
        <f t="shared" si="503"/>
        <v>2011</v>
      </c>
      <c r="F2245" s="3">
        <f t="shared" si="504"/>
        <v>6</v>
      </c>
      <c r="G2245" s="3">
        <f t="shared" si="505"/>
        <v>4</v>
      </c>
      <c r="H2245" s="3">
        <f t="shared" si="506"/>
        <v>12</v>
      </c>
      <c r="I2245" s="3">
        <f t="shared" si="507"/>
        <v>10</v>
      </c>
      <c r="J2245" s="3">
        <f t="shared" si="508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09"/>
        <v>YES</v>
      </c>
      <c r="Q2245" t="str">
        <f t="shared" si="510"/>
        <v>YES</v>
      </c>
      <c r="R2245" t="str">
        <f t="shared" si="511"/>
        <v>NO</v>
      </c>
      <c r="T2245" t="s">
        <v>14</v>
      </c>
      <c r="U2245" t="str">
        <f t="shared" si="512"/>
        <v>Massachusetts Ave</v>
      </c>
      <c r="V2245" t="s">
        <v>1916</v>
      </c>
      <c r="W2245" t="str">
        <f t="shared" si="513"/>
        <v>Hadley St</v>
      </c>
      <c r="X2245" t="str">
        <f>IF(ISBLANK(S2245),"Intersection","Non-Intersection")</f>
        <v>Intersection</v>
      </c>
      <c r="Y2245" t="s">
        <v>1917</v>
      </c>
      <c r="Z2245" t="str">
        <f t="shared" si="514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01"/>
        <v>40544</v>
      </c>
      <c r="D2246" s="4">
        <f t="shared" si="502"/>
        <v>0.42465753424657532</v>
      </c>
      <c r="E2246" s="3">
        <f t="shared" si="503"/>
        <v>2011</v>
      </c>
      <c r="F2246" s="3">
        <f t="shared" si="504"/>
        <v>6</v>
      </c>
      <c r="G2246" s="3">
        <f t="shared" si="505"/>
        <v>5</v>
      </c>
      <c r="H2246" s="3">
        <f t="shared" si="506"/>
        <v>1</v>
      </c>
      <c r="I2246" s="3">
        <f t="shared" si="507"/>
        <v>18</v>
      </c>
      <c r="J2246" s="3">
        <f t="shared" si="508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09"/>
        <v>YES</v>
      </c>
      <c r="Q2246" t="str">
        <f t="shared" si="510"/>
        <v>NO</v>
      </c>
      <c r="R2246" t="str">
        <f t="shared" si="511"/>
        <v>NO</v>
      </c>
      <c r="S2246">
        <v>1414</v>
      </c>
      <c r="T2246" t="s">
        <v>14</v>
      </c>
      <c r="U2246" t="str">
        <f t="shared" si="512"/>
        <v>Massachusetts Ave</v>
      </c>
      <c r="W2246" t="str">
        <f t="shared" si="513"/>
        <v/>
      </c>
      <c r="X2246" t="str">
        <f>IF(ISBLANK(S2246),"Intersection","Non-Intersection")</f>
        <v>Non-Intersection</v>
      </c>
      <c r="Y2246" t="s">
        <v>3273</v>
      </c>
      <c r="Z2246" t="str">
        <f t="shared" si="514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01"/>
        <v>40544</v>
      </c>
      <c r="D2247" s="4">
        <f t="shared" si="502"/>
        <v>0.42465753424657532</v>
      </c>
      <c r="E2247" s="3">
        <f t="shared" si="503"/>
        <v>2011</v>
      </c>
      <c r="F2247" s="3">
        <f t="shared" si="504"/>
        <v>6</v>
      </c>
      <c r="G2247" s="3">
        <f t="shared" si="505"/>
        <v>5</v>
      </c>
      <c r="H2247" s="3">
        <f t="shared" si="506"/>
        <v>9</v>
      </c>
      <c r="I2247" s="3">
        <f t="shared" si="507"/>
        <v>30</v>
      </c>
      <c r="J2247" s="3">
        <f t="shared" si="508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09"/>
        <v>YES</v>
      </c>
      <c r="Q2247" t="str">
        <f t="shared" si="510"/>
        <v>NO</v>
      </c>
      <c r="R2247" t="str">
        <f t="shared" si="511"/>
        <v>NO</v>
      </c>
      <c r="T2247" t="s">
        <v>993</v>
      </c>
      <c r="U2247" t="str">
        <f t="shared" si="512"/>
        <v>Fifth St</v>
      </c>
      <c r="V2247" t="s">
        <v>698</v>
      </c>
      <c r="W2247" t="str">
        <f t="shared" si="513"/>
        <v>Thorndike St</v>
      </c>
      <c r="X2247" t="str">
        <f>IF(ISBLANK(S2247),"Intersection","Non-Intersection")</f>
        <v>Intersection</v>
      </c>
      <c r="Y2247" t="s">
        <v>1344</v>
      </c>
      <c r="Z2247" t="str">
        <f t="shared" si="514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01"/>
        <v>40544</v>
      </c>
      <c r="D2248" s="4">
        <f t="shared" si="502"/>
        <v>0.42465753424657532</v>
      </c>
      <c r="E2248" s="3">
        <f t="shared" si="503"/>
        <v>2011</v>
      </c>
      <c r="F2248" s="3">
        <f t="shared" si="504"/>
        <v>6</v>
      </c>
      <c r="G2248" s="3">
        <f t="shared" si="505"/>
        <v>5</v>
      </c>
      <c r="H2248" s="3">
        <f t="shared" si="506"/>
        <v>18</v>
      </c>
      <c r="I2248" s="3">
        <f t="shared" si="507"/>
        <v>20</v>
      </c>
      <c r="J2248" s="3">
        <f t="shared" si="508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09"/>
        <v>YES</v>
      </c>
      <c r="Q2248" t="str">
        <f t="shared" si="510"/>
        <v>NO</v>
      </c>
      <c r="R2248" t="str">
        <f t="shared" si="511"/>
        <v>NO</v>
      </c>
      <c r="T2248" t="s">
        <v>166</v>
      </c>
      <c r="U2248" t="str">
        <f t="shared" si="512"/>
        <v>Oxford Ave</v>
      </c>
      <c r="V2248" t="s">
        <v>1701</v>
      </c>
      <c r="W2248" t="str">
        <f t="shared" si="513"/>
        <v>Prentiss St</v>
      </c>
      <c r="X2248" t="str">
        <f>IF(ISBLANK(S2248),"Intersection","Non-Intersection")</f>
        <v>Intersection</v>
      </c>
      <c r="Y2248" t="s">
        <v>3275</v>
      </c>
      <c r="Z2248" t="str">
        <f t="shared" si="514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01"/>
        <v>40544</v>
      </c>
      <c r="D2249" s="4">
        <f t="shared" si="502"/>
        <v>0.42465753424657532</v>
      </c>
      <c r="E2249" s="3">
        <f t="shared" si="503"/>
        <v>2011</v>
      </c>
      <c r="F2249" s="3">
        <f t="shared" si="504"/>
        <v>6</v>
      </c>
      <c r="G2249" s="3">
        <f t="shared" si="505"/>
        <v>5</v>
      </c>
      <c r="H2249" s="3">
        <f t="shared" si="506"/>
        <v>11</v>
      </c>
      <c r="I2249" s="3">
        <f t="shared" si="507"/>
        <v>36</v>
      </c>
      <c r="J2249" s="3">
        <f t="shared" si="508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09"/>
        <v>YES</v>
      </c>
      <c r="Q2249" t="str">
        <f t="shared" si="510"/>
        <v>NO</v>
      </c>
      <c r="R2249" t="str">
        <f t="shared" si="511"/>
        <v>NO</v>
      </c>
      <c r="S2249">
        <v>1921</v>
      </c>
      <c r="T2249" t="s">
        <v>14</v>
      </c>
      <c r="U2249" t="str">
        <f t="shared" si="512"/>
        <v>Massachusetts Ave</v>
      </c>
      <c r="W2249" t="str">
        <f t="shared" si="513"/>
        <v/>
      </c>
      <c r="X2249" t="str">
        <f>IF(ISBLANK(S2249),"Intersection","Non-Intersection")</f>
        <v>Non-Intersection</v>
      </c>
      <c r="Y2249" t="s">
        <v>3277</v>
      </c>
      <c r="Z2249" t="str">
        <f t="shared" si="514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01"/>
        <v>40544</v>
      </c>
      <c r="D2250" s="4">
        <f t="shared" si="502"/>
        <v>0.42465753424657532</v>
      </c>
      <c r="E2250" s="3">
        <f t="shared" si="503"/>
        <v>2011</v>
      </c>
      <c r="F2250" s="3">
        <f t="shared" si="504"/>
        <v>6</v>
      </c>
      <c r="G2250" s="3">
        <f t="shared" si="505"/>
        <v>5</v>
      </c>
      <c r="H2250" s="3">
        <f t="shared" si="506"/>
        <v>15</v>
      </c>
      <c r="I2250" s="3">
        <f t="shared" si="507"/>
        <v>42</v>
      </c>
      <c r="J2250" s="3">
        <f t="shared" si="508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09"/>
        <v>YES</v>
      </c>
      <c r="Q2250" t="str">
        <f t="shared" si="510"/>
        <v>NO</v>
      </c>
      <c r="R2250" t="str">
        <f t="shared" si="511"/>
        <v>NO</v>
      </c>
      <c r="T2250" t="s">
        <v>209</v>
      </c>
      <c r="U2250" t="str">
        <f t="shared" si="512"/>
        <v>Binney St</v>
      </c>
      <c r="V2250" t="s">
        <v>260</v>
      </c>
      <c r="W2250" t="str">
        <f t="shared" si="513"/>
        <v>Third St</v>
      </c>
      <c r="X2250" t="str">
        <f>IF(ISBLANK(S2250),"Intersection","Non-Intersection")</f>
        <v>Intersection</v>
      </c>
      <c r="Y2250" t="s">
        <v>531</v>
      </c>
      <c r="Z2250" t="str">
        <f t="shared" si="514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01"/>
        <v>40544</v>
      </c>
      <c r="D2251" s="4">
        <f t="shared" si="502"/>
        <v>0.42739726027397262</v>
      </c>
      <c r="E2251" s="3">
        <f t="shared" si="503"/>
        <v>2011</v>
      </c>
      <c r="F2251" s="3">
        <f t="shared" si="504"/>
        <v>6</v>
      </c>
      <c r="G2251" s="3">
        <f t="shared" si="505"/>
        <v>6</v>
      </c>
      <c r="H2251" s="3">
        <f t="shared" si="506"/>
        <v>17</v>
      </c>
      <c r="I2251" s="3">
        <f t="shared" si="507"/>
        <v>38</v>
      </c>
      <c r="J2251" s="3">
        <f t="shared" si="508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09"/>
        <v>YES</v>
      </c>
      <c r="Q2251" t="str">
        <f t="shared" si="510"/>
        <v>NO</v>
      </c>
      <c r="R2251" t="str">
        <f t="shared" si="511"/>
        <v>NO</v>
      </c>
      <c r="T2251" t="s">
        <v>199</v>
      </c>
      <c r="U2251" t="str">
        <f t="shared" si="512"/>
        <v>Brattle St</v>
      </c>
      <c r="V2251" t="s">
        <v>1469</v>
      </c>
      <c r="W2251" t="str">
        <f t="shared" si="513"/>
        <v>Fresh Pond Ln</v>
      </c>
      <c r="X2251" t="str">
        <f>IF(ISBLANK(S2251),"Intersection","Non-Intersection")</f>
        <v>Intersection</v>
      </c>
      <c r="Y2251" t="s">
        <v>3278</v>
      </c>
      <c r="Z2251" t="str">
        <f t="shared" si="514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01"/>
        <v>40544</v>
      </c>
      <c r="D2252" s="4">
        <f t="shared" si="502"/>
        <v>0.42739726027397262</v>
      </c>
      <c r="E2252" s="3">
        <f t="shared" si="503"/>
        <v>2011</v>
      </c>
      <c r="F2252" s="3">
        <f t="shared" si="504"/>
        <v>6</v>
      </c>
      <c r="G2252" s="3">
        <f t="shared" si="505"/>
        <v>6</v>
      </c>
      <c r="H2252" s="3">
        <f t="shared" si="506"/>
        <v>13</v>
      </c>
      <c r="I2252" s="3">
        <f t="shared" si="507"/>
        <v>38</v>
      </c>
      <c r="J2252" s="3">
        <f t="shared" si="508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09"/>
        <v>YES</v>
      </c>
      <c r="Q2252" t="str">
        <f t="shared" si="510"/>
        <v>NO</v>
      </c>
      <c r="R2252" t="str">
        <f t="shared" si="511"/>
        <v>NO</v>
      </c>
      <c r="S2252">
        <v>5</v>
      </c>
      <c r="T2252" t="s">
        <v>553</v>
      </c>
      <c r="U2252" t="str">
        <f t="shared" si="512"/>
        <v>Cameron Ave</v>
      </c>
      <c r="W2252" t="str">
        <f t="shared" si="513"/>
        <v/>
      </c>
      <c r="X2252" t="str">
        <f>IF(ISBLANK(S2252),"Intersection","Non-Intersection")</f>
        <v>Non-Intersection</v>
      </c>
      <c r="Y2252" t="s">
        <v>3280</v>
      </c>
      <c r="Z2252" t="str">
        <f t="shared" si="514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01"/>
        <v>40544</v>
      </c>
      <c r="D2253" s="4">
        <f t="shared" si="502"/>
        <v>0.42739726027397262</v>
      </c>
      <c r="E2253" s="3">
        <f t="shared" si="503"/>
        <v>2011</v>
      </c>
      <c r="F2253" s="3">
        <f t="shared" si="504"/>
        <v>6</v>
      </c>
      <c r="G2253" s="3">
        <f t="shared" si="505"/>
        <v>6</v>
      </c>
      <c r="H2253" s="3">
        <f t="shared" si="506"/>
        <v>14</v>
      </c>
      <c r="I2253" s="3">
        <f t="shared" si="507"/>
        <v>15</v>
      </c>
      <c r="J2253" s="3">
        <f t="shared" si="508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09"/>
        <v>YES</v>
      </c>
      <c r="Q2253" t="str">
        <f t="shared" si="510"/>
        <v>NO</v>
      </c>
      <c r="R2253" t="str">
        <f t="shared" si="511"/>
        <v>NO</v>
      </c>
      <c r="S2253">
        <v>362</v>
      </c>
      <c r="T2253" t="s">
        <v>41</v>
      </c>
      <c r="U2253" t="str">
        <f t="shared" si="512"/>
        <v>River St</v>
      </c>
      <c r="W2253" t="str">
        <f t="shared" si="513"/>
        <v/>
      </c>
      <c r="X2253" t="str">
        <f>IF(ISBLANK(S2253),"Intersection","Non-Intersection")</f>
        <v>Non-Intersection</v>
      </c>
      <c r="Y2253" t="s">
        <v>3282</v>
      </c>
      <c r="Z2253" t="str">
        <f t="shared" si="514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01"/>
        <v>40544</v>
      </c>
      <c r="D2254" s="4">
        <f t="shared" si="502"/>
        <v>0.42739726027397262</v>
      </c>
      <c r="E2254" s="3">
        <f t="shared" si="503"/>
        <v>2011</v>
      </c>
      <c r="F2254" s="3">
        <f t="shared" si="504"/>
        <v>6</v>
      </c>
      <c r="G2254" s="3">
        <f t="shared" si="505"/>
        <v>6</v>
      </c>
      <c r="H2254" s="3">
        <f t="shared" si="506"/>
        <v>12</v>
      </c>
      <c r="I2254" s="3">
        <f t="shared" si="507"/>
        <v>49</v>
      </c>
      <c r="J2254" s="3">
        <f t="shared" si="508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09"/>
        <v>YES</v>
      </c>
      <c r="Q2254" t="str">
        <f t="shared" si="510"/>
        <v>NO</v>
      </c>
      <c r="R2254" t="str">
        <f t="shared" si="511"/>
        <v>NO</v>
      </c>
      <c r="S2254">
        <v>190</v>
      </c>
      <c r="T2254" t="s">
        <v>14</v>
      </c>
      <c r="U2254" t="str">
        <f t="shared" si="512"/>
        <v>Massachusetts Ave</v>
      </c>
      <c r="V2254" t="s">
        <v>119</v>
      </c>
      <c r="W2254" t="str">
        <f t="shared" si="513"/>
        <v>Albany St</v>
      </c>
      <c r="X2254" t="str">
        <f>IF(ISBLANK(S2254),"Intersection","Non-Intersection")</f>
        <v>Non-Intersection</v>
      </c>
      <c r="Y2254" t="s">
        <v>3284</v>
      </c>
      <c r="Z2254" t="str">
        <f t="shared" si="514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01"/>
        <v>40544</v>
      </c>
      <c r="D2255" s="4">
        <f t="shared" si="502"/>
        <v>0.43013698630136987</v>
      </c>
      <c r="E2255" s="3">
        <f t="shared" si="503"/>
        <v>2011</v>
      </c>
      <c r="F2255" s="3">
        <f t="shared" si="504"/>
        <v>6</v>
      </c>
      <c r="G2255" s="3">
        <f t="shared" si="505"/>
        <v>7</v>
      </c>
      <c r="H2255" s="3">
        <f t="shared" si="506"/>
        <v>8</v>
      </c>
      <c r="I2255" s="3">
        <f t="shared" si="507"/>
        <v>35</v>
      </c>
      <c r="J2255" s="3">
        <f t="shared" si="508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09"/>
        <v>YES</v>
      </c>
      <c r="Q2255" t="str">
        <f t="shared" si="510"/>
        <v>YES</v>
      </c>
      <c r="R2255" t="str">
        <f t="shared" si="511"/>
        <v>NO</v>
      </c>
      <c r="T2255" t="s">
        <v>19</v>
      </c>
      <c r="U2255" t="str">
        <f t="shared" si="512"/>
        <v>Cambridge St</v>
      </c>
      <c r="V2255" t="s">
        <v>129</v>
      </c>
      <c r="W2255" t="str">
        <f t="shared" si="513"/>
        <v>Cardinal Medeiros Ave</v>
      </c>
      <c r="X2255" t="str">
        <f>IF(ISBLANK(S2255),"Intersection","Non-Intersection")</f>
        <v>Intersection</v>
      </c>
      <c r="Y2255" t="s">
        <v>130</v>
      </c>
      <c r="Z2255" t="str">
        <f t="shared" si="514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01"/>
        <v>40544</v>
      </c>
      <c r="D2256" s="4">
        <f t="shared" si="502"/>
        <v>0.43013698630136987</v>
      </c>
      <c r="E2256" s="3">
        <f t="shared" si="503"/>
        <v>2011</v>
      </c>
      <c r="F2256" s="3">
        <f t="shared" si="504"/>
        <v>6</v>
      </c>
      <c r="G2256" s="3">
        <f t="shared" si="505"/>
        <v>7</v>
      </c>
      <c r="H2256" s="3">
        <f t="shared" si="506"/>
        <v>9</v>
      </c>
      <c r="I2256" s="3">
        <f t="shared" si="507"/>
        <v>30</v>
      </c>
      <c r="J2256" s="3">
        <f t="shared" si="508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09"/>
        <v>YES</v>
      </c>
      <c r="Q2256" t="str">
        <f t="shared" si="510"/>
        <v>YES</v>
      </c>
      <c r="R2256" t="str">
        <f t="shared" si="511"/>
        <v>NO</v>
      </c>
      <c r="T2256" t="s">
        <v>342</v>
      </c>
      <c r="U2256" t="str">
        <f t="shared" si="512"/>
        <v>Prospect St</v>
      </c>
      <c r="V2256" t="s">
        <v>3286</v>
      </c>
      <c r="W2256" t="str">
        <f t="shared" si="513"/>
        <v>Gardner Rd</v>
      </c>
      <c r="X2256" t="str">
        <f>IF(ISBLANK(S2256),"Intersection","Non-Intersection")</f>
        <v>Intersection</v>
      </c>
      <c r="Y2256" t="s">
        <v>3287</v>
      </c>
      <c r="Z2256" t="str">
        <f t="shared" si="514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01"/>
        <v>40544</v>
      </c>
      <c r="D2257" s="4">
        <f t="shared" si="502"/>
        <v>0.43013698630136987</v>
      </c>
      <c r="E2257" s="3">
        <f t="shared" si="503"/>
        <v>2011</v>
      </c>
      <c r="F2257" s="3">
        <f t="shared" si="504"/>
        <v>6</v>
      </c>
      <c r="G2257" s="3">
        <f t="shared" si="505"/>
        <v>7</v>
      </c>
      <c r="H2257" s="3">
        <f t="shared" si="506"/>
        <v>17</v>
      </c>
      <c r="I2257" s="3">
        <f t="shared" si="507"/>
        <v>6</v>
      </c>
      <c r="J2257" s="3">
        <f t="shared" si="508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09"/>
        <v>YES</v>
      </c>
      <c r="Q2257" t="str">
        <f t="shared" si="510"/>
        <v>NO</v>
      </c>
      <c r="R2257" t="str">
        <f t="shared" si="511"/>
        <v>NO</v>
      </c>
      <c r="T2257" t="s">
        <v>186</v>
      </c>
      <c r="U2257" t="str">
        <f t="shared" si="512"/>
        <v>Concord Ave</v>
      </c>
      <c r="V2257" t="s">
        <v>1320</v>
      </c>
      <c r="W2257" t="str">
        <f t="shared" si="513"/>
        <v>Craigie St</v>
      </c>
      <c r="X2257" t="str">
        <f>IF(ISBLANK(S2257),"Intersection","Non-Intersection")</f>
        <v>Intersection</v>
      </c>
      <c r="Y2257" t="s">
        <v>3289</v>
      </c>
      <c r="Z2257" t="str">
        <f t="shared" si="514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01"/>
        <v>40544</v>
      </c>
      <c r="D2258" s="4">
        <f t="shared" si="502"/>
        <v>0.43013698630136987</v>
      </c>
      <c r="E2258" s="3">
        <f t="shared" si="503"/>
        <v>2011</v>
      </c>
      <c r="F2258" s="3">
        <f t="shared" si="504"/>
        <v>6</v>
      </c>
      <c r="G2258" s="3">
        <f t="shared" si="505"/>
        <v>7</v>
      </c>
      <c r="H2258" s="3">
        <f t="shared" si="506"/>
        <v>17</v>
      </c>
      <c r="I2258" s="3">
        <f t="shared" si="507"/>
        <v>25</v>
      </c>
      <c r="J2258" s="3">
        <f t="shared" si="508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09"/>
        <v>YES</v>
      </c>
      <c r="Q2258" t="str">
        <f t="shared" si="510"/>
        <v>YES</v>
      </c>
      <c r="R2258" t="str">
        <f t="shared" si="511"/>
        <v>NO</v>
      </c>
      <c r="T2258" t="s">
        <v>316</v>
      </c>
      <c r="U2258" t="str">
        <f t="shared" si="512"/>
        <v>Bishop Allen Dr</v>
      </c>
      <c r="V2258" t="s">
        <v>101</v>
      </c>
      <c r="W2258" t="str">
        <f t="shared" si="513"/>
        <v>Columbia St</v>
      </c>
      <c r="X2258" t="str">
        <f>IF(ISBLANK(S2258),"Intersection","Non-Intersection")</f>
        <v>Intersection</v>
      </c>
      <c r="Y2258" t="s">
        <v>688</v>
      </c>
      <c r="Z2258" t="str">
        <f t="shared" si="514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15">EOMONTH(B2259,MONTH(B2259)*-1)+1</f>
        <v>40544</v>
      </c>
      <c r="D2259" s="4">
        <f t="shared" ref="D2259:D2318" si="516">YEARFRAC(C2259,B2259,1)</f>
        <v>0.43013698630136987</v>
      </c>
      <c r="E2259" s="3">
        <f t="shared" ref="E2259:E2318" si="517">YEAR(B2259)</f>
        <v>2011</v>
      </c>
      <c r="F2259" s="3">
        <f t="shared" ref="F2259:F2318" si="518">MONTH(B2259)</f>
        <v>6</v>
      </c>
      <c r="G2259" s="3">
        <f t="shared" ref="G2259:G2318" si="519">DAY(B2259)</f>
        <v>7</v>
      </c>
      <c r="H2259" s="3">
        <f t="shared" ref="H2259:H2318" si="520">HOUR(B2259)</f>
        <v>17</v>
      </c>
      <c r="I2259" s="3">
        <f t="shared" ref="I2259:I2318" si="521">MINUTE(B2259)</f>
        <v>29</v>
      </c>
      <c r="J2259" s="3">
        <f t="shared" ref="J2259:J2318" si="522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23">IF(OR(N2259="Auto",O2259="Auto"),"YES",IF(OR(N2259="Taxi",O2259="Taxi"),"YES",IF(OR(N2259="Van",O2259="Van"),"YES",IF(OR(N2259="Truck",O2259="Truck"),"YES","NO"))))</f>
        <v>YES</v>
      </c>
      <c r="Q2259" t="str">
        <f t="shared" ref="Q2259:Q2318" si="524">IF(OR(N2259="Bicycle",O2259="Bicycle"),"YES","NO")</f>
        <v>YES</v>
      </c>
      <c r="R2259" t="str">
        <f t="shared" ref="R2259:R2318" si="525">IF(OR(N2259="Pedestrian",O2259="Pedestrian"),"YES","NO")</f>
        <v>NO</v>
      </c>
      <c r="T2259" t="s">
        <v>199</v>
      </c>
      <c r="U2259" t="str">
        <f t="shared" si="512"/>
        <v>Brattle St</v>
      </c>
      <c r="V2259" t="s">
        <v>710</v>
      </c>
      <c r="W2259" t="str">
        <f t="shared" si="513"/>
        <v>Fresh Pond Pky</v>
      </c>
      <c r="X2259" t="str">
        <f>IF(ISBLANK(S2259),"Intersection","Non-Intersection")</f>
        <v>Intersection</v>
      </c>
      <c r="Y2259" t="s">
        <v>2153</v>
      </c>
      <c r="Z2259" t="str">
        <f t="shared" si="514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15"/>
        <v>40544</v>
      </c>
      <c r="D2260" s="4">
        <f t="shared" si="516"/>
        <v>0.43013698630136987</v>
      </c>
      <c r="E2260" s="3">
        <f t="shared" si="517"/>
        <v>2011</v>
      </c>
      <c r="F2260" s="3">
        <f t="shared" si="518"/>
        <v>6</v>
      </c>
      <c r="G2260" s="3">
        <f t="shared" si="519"/>
        <v>7</v>
      </c>
      <c r="H2260" s="3">
        <f t="shared" si="520"/>
        <v>14</v>
      </c>
      <c r="I2260" s="3">
        <f t="shared" si="521"/>
        <v>45</v>
      </c>
      <c r="J2260" s="3">
        <f t="shared" si="522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23"/>
        <v>YES</v>
      </c>
      <c r="Q2260" t="str">
        <f t="shared" si="524"/>
        <v>NO</v>
      </c>
      <c r="R2260" t="str">
        <f t="shared" si="525"/>
        <v>YES</v>
      </c>
      <c r="T2260" t="s">
        <v>14</v>
      </c>
      <c r="U2260" t="str">
        <f t="shared" si="512"/>
        <v>Massachusetts Ave</v>
      </c>
      <c r="V2260" t="s">
        <v>202</v>
      </c>
      <c r="W2260" t="str">
        <f t="shared" si="513"/>
        <v>Vassar St</v>
      </c>
      <c r="X2260" t="str">
        <f>IF(ISBLANK(S2260),"Intersection","Non-Intersection")</f>
        <v>Intersection</v>
      </c>
      <c r="Y2260" t="s">
        <v>361</v>
      </c>
      <c r="Z2260" t="str">
        <f t="shared" si="514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15"/>
        <v>40544</v>
      </c>
      <c r="D2261" s="4">
        <f t="shared" si="516"/>
        <v>0.43013698630136987</v>
      </c>
      <c r="E2261" s="3">
        <f t="shared" si="517"/>
        <v>2011</v>
      </c>
      <c r="F2261" s="3">
        <f t="shared" si="518"/>
        <v>6</v>
      </c>
      <c r="G2261" s="3">
        <f t="shared" si="519"/>
        <v>7</v>
      </c>
      <c r="H2261" s="3">
        <f t="shared" si="520"/>
        <v>17</v>
      </c>
      <c r="I2261" s="3">
        <f t="shared" si="521"/>
        <v>29</v>
      </c>
      <c r="J2261" s="3">
        <f t="shared" si="522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23"/>
        <v>YES</v>
      </c>
      <c r="Q2261" t="str">
        <f t="shared" si="524"/>
        <v>YES</v>
      </c>
      <c r="R2261" t="str">
        <f t="shared" si="525"/>
        <v>NO</v>
      </c>
      <c r="T2261" t="s">
        <v>14</v>
      </c>
      <c r="U2261" t="str">
        <f t="shared" si="512"/>
        <v>Massachusetts Ave</v>
      </c>
      <c r="V2261" t="s">
        <v>524</v>
      </c>
      <c r="W2261" t="str">
        <f t="shared" si="513"/>
        <v>Blake St</v>
      </c>
      <c r="X2261" t="str">
        <f>IF(ISBLANK(S2261),"Intersection","Non-Intersection")</f>
        <v>Intersection</v>
      </c>
      <c r="Y2261" t="s">
        <v>3291</v>
      </c>
      <c r="Z2261" t="str">
        <f t="shared" si="514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15"/>
        <v>40544</v>
      </c>
      <c r="D2262" s="4">
        <f t="shared" si="516"/>
        <v>0.43287671232876712</v>
      </c>
      <c r="E2262" s="3">
        <f t="shared" si="517"/>
        <v>2011</v>
      </c>
      <c r="F2262" s="3">
        <f t="shared" si="518"/>
        <v>6</v>
      </c>
      <c r="G2262" s="3">
        <f t="shared" si="519"/>
        <v>8</v>
      </c>
      <c r="H2262" s="3">
        <f t="shared" si="520"/>
        <v>7</v>
      </c>
      <c r="I2262" s="3">
        <f t="shared" si="521"/>
        <v>54</v>
      </c>
      <c r="J2262" s="3">
        <f t="shared" si="522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23"/>
        <v>YES</v>
      </c>
      <c r="Q2262" t="str">
        <f t="shared" si="524"/>
        <v>YES</v>
      </c>
      <c r="R2262" t="str">
        <f t="shared" si="525"/>
        <v>NO</v>
      </c>
      <c r="T2262" t="s">
        <v>105</v>
      </c>
      <c r="U2262" t="str">
        <f t="shared" si="512"/>
        <v>Broadway</v>
      </c>
      <c r="V2262" t="s">
        <v>1520</v>
      </c>
      <c r="W2262" t="str">
        <f t="shared" si="513"/>
        <v>Fayette St</v>
      </c>
      <c r="X2262" t="str">
        <f>IF(ISBLANK(S2262),"Intersection","Non-Intersection")</f>
        <v>Intersection</v>
      </c>
      <c r="Y2262" t="s">
        <v>3293</v>
      </c>
      <c r="Z2262" t="str">
        <f t="shared" si="514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15"/>
        <v>40544</v>
      </c>
      <c r="D2263" s="4">
        <f t="shared" si="516"/>
        <v>0.43287671232876712</v>
      </c>
      <c r="E2263" s="3">
        <f t="shared" si="517"/>
        <v>2011</v>
      </c>
      <c r="F2263" s="3">
        <f t="shared" si="518"/>
        <v>6</v>
      </c>
      <c r="G2263" s="3">
        <f t="shared" si="519"/>
        <v>8</v>
      </c>
      <c r="H2263" s="3">
        <f t="shared" si="520"/>
        <v>13</v>
      </c>
      <c r="I2263" s="3">
        <f t="shared" si="521"/>
        <v>30</v>
      </c>
      <c r="J2263" s="3">
        <f t="shared" si="522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23"/>
        <v>YES</v>
      </c>
      <c r="Q2263" t="str">
        <f t="shared" si="524"/>
        <v>NO</v>
      </c>
      <c r="R2263" t="str">
        <f t="shared" si="525"/>
        <v>NO</v>
      </c>
      <c r="T2263" t="s">
        <v>104</v>
      </c>
      <c r="U2263" t="str">
        <f t="shared" si="512"/>
        <v>Inman St</v>
      </c>
      <c r="V2263" t="s">
        <v>74</v>
      </c>
      <c r="W2263" t="str">
        <f t="shared" si="513"/>
        <v>Hampshire St</v>
      </c>
      <c r="X2263" t="str">
        <f>IF(ISBLANK(S2263),"Intersection","Non-Intersection")</f>
        <v>Intersection</v>
      </c>
      <c r="Y2263" t="s">
        <v>3144</v>
      </c>
      <c r="Z2263" t="str">
        <f t="shared" si="514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15"/>
        <v>40544</v>
      </c>
      <c r="D2264" s="4">
        <f t="shared" si="516"/>
        <v>0.43287671232876712</v>
      </c>
      <c r="E2264" s="3">
        <f t="shared" si="517"/>
        <v>2011</v>
      </c>
      <c r="F2264" s="3">
        <f t="shared" si="518"/>
        <v>6</v>
      </c>
      <c r="G2264" s="3">
        <f t="shared" si="519"/>
        <v>8</v>
      </c>
      <c r="H2264" s="3">
        <f t="shared" si="520"/>
        <v>8</v>
      </c>
      <c r="I2264" s="3">
        <f t="shared" si="521"/>
        <v>55</v>
      </c>
      <c r="J2264" s="3">
        <f t="shared" si="522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23"/>
        <v>YES</v>
      </c>
      <c r="Q2264" t="str">
        <f t="shared" si="524"/>
        <v>NO</v>
      </c>
      <c r="R2264" t="str">
        <f t="shared" si="525"/>
        <v>NO</v>
      </c>
      <c r="T2264" t="s">
        <v>19</v>
      </c>
      <c r="U2264" t="str">
        <f t="shared" si="512"/>
        <v>Cambridge St</v>
      </c>
      <c r="V2264" t="s">
        <v>342</v>
      </c>
      <c r="W2264" t="str">
        <f t="shared" si="513"/>
        <v>Prospect St</v>
      </c>
      <c r="X2264" t="str">
        <f>IF(ISBLANK(S2264),"Intersection","Non-Intersection")</f>
        <v>Intersection</v>
      </c>
      <c r="Y2264" t="s">
        <v>821</v>
      </c>
      <c r="Z2264" t="str">
        <f t="shared" si="514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15"/>
        <v>40544</v>
      </c>
      <c r="D2265" s="4">
        <f t="shared" si="516"/>
        <v>0.43287671232876712</v>
      </c>
      <c r="E2265" s="3">
        <f t="shared" si="517"/>
        <v>2011</v>
      </c>
      <c r="F2265" s="3">
        <f t="shared" si="518"/>
        <v>6</v>
      </c>
      <c r="G2265" s="3">
        <f t="shared" si="519"/>
        <v>8</v>
      </c>
      <c r="H2265" s="3">
        <f t="shared" si="520"/>
        <v>14</v>
      </c>
      <c r="I2265" s="3">
        <f t="shared" si="521"/>
        <v>46</v>
      </c>
      <c r="J2265" s="3">
        <f t="shared" si="522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23"/>
        <v>YES</v>
      </c>
      <c r="Q2265" t="str">
        <f t="shared" si="524"/>
        <v>YES</v>
      </c>
      <c r="R2265" t="str">
        <f t="shared" si="525"/>
        <v>NO</v>
      </c>
      <c r="S2265">
        <v>93</v>
      </c>
      <c r="T2265" t="s">
        <v>15</v>
      </c>
      <c r="U2265" t="str">
        <f t="shared" si="512"/>
        <v>Rindge Ave</v>
      </c>
      <c r="W2265" t="str">
        <f t="shared" si="513"/>
        <v/>
      </c>
      <c r="X2265" t="str">
        <f>IF(ISBLANK(S2265),"Intersection","Non-Intersection")</f>
        <v>Non-Intersection</v>
      </c>
      <c r="Y2265" t="s">
        <v>3295</v>
      </c>
      <c r="Z2265" t="str">
        <f t="shared" si="514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15"/>
        <v>40544</v>
      </c>
      <c r="D2266" s="4">
        <f t="shared" si="516"/>
        <v>0.43287671232876712</v>
      </c>
      <c r="E2266" s="3">
        <f t="shared" si="517"/>
        <v>2011</v>
      </c>
      <c r="F2266" s="3">
        <f t="shared" si="518"/>
        <v>6</v>
      </c>
      <c r="G2266" s="3">
        <f t="shared" si="519"/>
        <v>8</v>
      </c>
      <c r="H2266" s="3">
        <f t="shared" si="520"/>
        <v>15</v>
      </c>
      <c r="I2266" s="3">
        <f t="shared" si="521"/>
        <v>49</v>
      </c>
      <c r="J2266" s="3">
        <f t="shared" si="522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23"/>
        <v>YES</v>
      </c>
      <c r="Q2266" t="str">
        <f t="shared" si="524"/>
        <v>NO</v>
      </c>
      <c r="R2266" t="str">
        <f t="shared" si="525"/>
        <v>NO</v>
      </c>
      <c r="S2266">
        <v>130</v>
      </c>
      <c r="T2266" t="s">
        <v>74</v>
      </c>
      <c r="U2266" t="str">
        <f t="shared" si="512"/>
        <v>Hampshire St</v>
      </c>
      <c r="W2266" t="str">
        <f t="shared" si="513"/>
        <v/>
      </c>
      <c r="X2266" t="str">
        <f>IF(ISBLANK(S2266),"Intersection","Non-Intersection")</f>
        <v>Non-Intersection</v>
      </c>
      <c r="Y2266" t="s">
        <v>3297</v>
      </c>
      <c r="Z2266" t="str">
        <f t="shared" si="514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15"/>
        <v>40544</v>
      </c>
      <c r="D2267" s="4">
        <f t="shared" si="516"/>
        <v>0.43561643835616437</v>
      </c>
      <c r="E2267" s="3">
        <f t="shared" si="517"/>
        <v>2011</v>
      </c>
      <c r="F2267" s="3">
        <f t="shared" si="518"/>
        <v>6</v>
      </c>
      <c r="G2267" s="3">
        <f t="shared" si="519"/>
        <v>9</v>
      </c>
      <c r="H2267" s="3">
        <f t="shared" si="520"/>
        <v>13</v>
      </c>
      <c r="I2267" s="3">
        <f t="shared" si="521"/>
        <v>9</v>
      </c>
      <c r="J2267" s="3">
        <f t="shared" si="522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23"/>
        <v>YES</v>
      </c>
      <c r="Q2267" t="str">
        <f t="shared" si="524"/>
        <v>NO</v>
      </c>
      <c r="R2267" t="str">
        <f t="shared" si="525"/>
        <v>NO</v>
      </c>
      <c r="S2267">
        <v>119</v>
      </c>
      <c r="T2267" t="s">
        <v>61</v>
      </c>
      <c r="U2267" t="str">
        <f t="shared" si="512"/>
        <v>First St</v>
      </c>
      <c r="W2267" t="str">
        <f t="shared" si="513"/>
        <v/>
      </c>
      <c r="X2267" t="str">
        <f>IF(ISBLANK(S2267),"Intersection","Non-Intersection")</f>
        <v>Non-Intersection</v>
      </c>
      <c r="Y2267" t="s">
        <v>538</v>
      </c>
      <c r="Z2267" t="str">
        <f t="shared" si="514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15"/>
        <v>40544</v>
      </c>
      <c r="D2268" s="4">
        <f t="shared" si="516"/>
        <v>0.43561643835616437</v>
      </c>
      <c r="E2268" s="3">
        <f t="shared" si="517"/>
        <v>2011</v>
      </c>
      <c r="F2268" s="3">
        <f t="shared" si="518"/>
        <v>6</v>
      </c>
      <c r="G2268" s="3">
        <f t="shared" si="519"/>
        <v>9</v>
      </c>
      <c r="H2268" s="3">
        <f t="shared" si="520"/>
        <v>15</v>
      </c>
      <c r="I2268" s="3">
        <f t="shared" si="521"/>
        <v>45</v>
      </c>
      <c r="J2268" s="3">
        <f t="shared" si="522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23"/>
        <v>YES</v>
      </c>
      <c r="Q2268" t="str">
        <f t="shared" si="524"/>
        <v>NO</v>
      </c>
      <c r="R2268" t="str">
        <f t="shared" si="525"/>
        <v>YES</v>
      </c>
      <c r="S2268">
        <v>515</v>
      </c>
      <c r="T2268" t="s">
        <v>14</v>
      </c>
      <c r="U2268" t="str">
        <f t="shared" si="512"/>
        <v>Massachusetts Ave</v>
      </c>
      <c r="W2268" t="str">
        <f t="shared" si="513"/>
        <v/>
      </c>
      <c r="X2268" t="str">
        <f>IF(ISBLANK(S2268),"Intersection","Non-Intersection")</f>
        <v>Non-Intersection</v>
      </c>
      <c r="Y2268" t="s">
        <v>3299</v>
      </c>
      <c r="Z2268" t="str">
        <f t="shared" si="514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15"/>
        <v>40544</v>
      </c>
      <c r="D2269" s="4">
        <f t="shared" si="516"/>
        <v>0.43561643835616437</v>
      </c>
      <c r="E2269" s="3">
        <f t="shared" si="517"/>
        <v>2011</v>
      </c>
      <c r="F2269" s="3">
        <f t="shared" si="518"/>
        <v>6</v>
      </c>
      <c r="G2269" s="3">
        <f t="shared" si="519"/>
        <v>9</v>
      </c>
      <c r="H2269" s="3">
        <f t="shared" si="520"/>
        <v>6</v>
      </c>
      <c r="I2269" s="3">
        <f t="shared" si="521"/>
        <v>30</v>
      </c>
      <c r="J2269" s="3">
        <f t="shared" si="522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23"/>
        <v>YES</v>
      </c>
      <c r="Q2269" t="str">
        <f t="shared" si="524"/>
        <v>NO</v>
      </c>
      <c r="R2269" t="str">
        <f t="shared" si="525"/>
        <v>NO</v>
      </c>
      <c r="S2269">
        <v>134</v>
      </c>
      <c r="T2269" t="s">
        <v>198</v>
      </c>
      <c r="U2269" t="str">
        <f t="shared" si="512"/>
        <v>Mount Auburn St</v>
      </c>
      <c r="W2269" t="str">
        <f t="shared" si="513"/>
        <v/>
      </c>
      <c r="X2269" t="str">
        <f>IF(ISBLANK(S2269),"Intersection","Non-Intersection")</f>
        <v>Non-Intersection</v>
      </c>
      <c r="Y2269" t="s">
        <v>3301</v>
      </c>
      <c r="Z2269" t="str">
        <f t="shared" si="514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15"/>
        <v>40544</v>
      </c>
      <c r="D2270" s="4">
        <f t="shared" si="516"/>
        <v>0.43561643835616437</v>
      </c>
      <c r="E2270" s="3">
        <f t="shared" si="517"/>
        <v>2011</v>
      </c>
      <c r="F2270" s="3">
        <f t="shared" si="518"/>
        <v>6</v>
      </c>
      <c r="G2270" s="3">
        <f t="shared" si="519"/>
        <v>9</v>
      </c>
      <c r="H2270" s="3">
        <f t="shared" si="520"/>
        <v>8</v>
      </c>
      <c r="I2270" s="3">
        <f t="shared" si="521"/>
        <v>0</v>
      </c>
      <c r="J2270" s="3">
        <f t="shared" si="522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23"/>
        <v>YES</v>
      </c>
      <c r="Q2270" t="str">
        <f t="shared" si="524"/>
        <v>NO</v>
      </c>
      <c r="R2270" t="str">
        <f t="shared" si="525"/>
        <v>NO</v>
      </c>
      <c r="S2270">
        <v>173</v>
      </c>
      <c r="T2270" t="s">
        <v>15</v>
      </c>
      <c r="U2270" t="str">
        <f t="shared" si="512"/>
        <v>Rindge Ave</v>
      </c>
      <c r="W2270" t="str">
        <f t="shared" si="513"/>
        <v/>
      </c>
      <c r="X2270" t="str">
        <f>IF(ISBLANK(S2270),"Intersection","Non-Intersection")</f>
        <v>Non-Intersection</v>
      </c>
      <c r="Y2270" t="s">
        <v>3303</v>
      </c>
      <c r="Z2270" t="str">
        <f t="shared" si="514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15"/>
        <v>40544</v>
      </c>
      <c r="D2271" s="4">
        <f t="shared" si="516"/>
        <v>0.43561643835616437</v>
      </c>
      <c r="E2271" s="3">
        <f t="shared" si="517"/>
        <v>2011</v>
      </c>
      <c r="F2271" s="3">
        <f t="shared" si="518"/>
        <v>6</v>
      </c>
      <c r="G2271" s="3">
        <f t="shared" si="519"/>
        <v>9</v>
      </c>
      <c r="H2271" s="3">
        <f t="shared" si="520"/>
        <v>8</v>
      </c>
      <c r="I2271" s="3">
        <f t="shared" si="521"/>
        <v>55</v>
      </c>
      <c r="J2271" s="3">
        <f t="shared" si="522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23"/>
        <v>YES</v>
      </c>
      <c r="Q2271" t="str">
        <f t="shared" si="524"/>
        <v>NO</v>
      </c>
      <c r="R2271" t="str">
        <f t="shared" si="525"/>
        <v>NO</v>
      </c>
      <c r="T2271" t="s">
        <v>14</v>
      </c>
      <c r="U2271" t="str">
        <f t="shared" si="512"/>
        <v>Massachusetts Ave</v>
      </c>
      <c r="V2271" t="s">
        <v>840</v>
      </c>
      <c r="W2271" t="str">
        <f t="shared" si="513"/>
        <v>Church St</v>
      </c>
      <c r="X2271" t="str">
        <f>IF(ISBLANK(S2271),"Intersection","Non-Intersection")</f>
        <v>Intersection</v>
      </c>
      <c r="Y2271" t="s">
        <v>1264</v>
      </c>
      <c r="Z2271" t="str">
        <f t="shared" si="514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15"/>
        <v>40544</v>
      </c>
      <c r="D2272" s="4">
        <f t="shared" si="516"/>
        <v>0.43561643835616437</v>
      </c>
      <c r="E2272" s="3">
        <f t="shared" si="517"/>
        <v>2011</v>
      </c>
      <c r="F2272" s="3">
        <f t="shared" si="518"/>
        <v>6</v>
      </c>
      <c r="G2272" s="3">
        <f t="shared" si="519"/>
        <v>9</v>
      </c>
      <c r="H2272" s="3">
        <f t="shared" si="520"/>
        <v>14</v>
      </c>
      <c r="I2272" s="3">
        <f t="shared" si="521"/>
        <v>0</v>
      </c>
      <c r="J2272" s="3">
        <f t="shared" si="522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23"/>
        <v>YES</v>
      </c>
      <c r="Q2272" t="str">
        <f t="shared" si="524"/>
        <v>NO</v>
      </c>
      <c r="R2272" t="str">
        <f t="shared" si="525"/>
        <v>NO</v>
      </c>
      <c r="S2272">
        <v>330</v>
      </c>
      <c r="T2272" t="s">
        <v>198</v>
      </c>
      <c r="U2272" t="str">
        <f t="shared" si="512"/>
        <v>Mount Auburn St</v>
      </c>
      <c r="W2272" t="str">
        <f t="shared" si="513"/>
        <v/>
      </c>
      <c r="X2272" t="str">
        <f>IF(ISBLANK(S2272),"Intersection","Non-Intersection")</f>
        <v>Non-Intersection</v>
      </c>
      <c r="Y2272" t="s">
        <v>1488</v>
      </c>
      <c r="Z2272" t="str">
        <f t="shared" si="514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15"/>
        <v>40544</v>
      </c>
      <c r="D2273" s="4">
        <f t="shared" si="516"/>
        <v>0.43835616438356162</v>
      </c>
      <c r="E2273" s="3">
        <f t="shared" si="517"/>
        <v>2011</v>
      </c>
      <c r="F2273" s="3">
        <f t="shared" si="518"/>
        <v>6</v>
      </c>
      <c r="G2273" s="3">
        <f t="shared" si="519"/>
        <v>10</v>
      </c>
      <c r="H2273" s="3">
        <f t="shared" si="520"/>
        <v>8</v>
      </c>
      <c r="I2273" s="3">
        <f t="shared" si="521"/>
        <v>35</v>
      </c>
      <c r="J2273" s="3">
        <f t="shared" si="522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23"/>
        <v>YES</v>
      </c>
      <c r="Q2273" t="str">
        <f t="shared" si="524"/>
        <v>NO</v>
      </c>
      <c r="R2273" t="str">
        <f t="shared" si="525"/>
        <v>NO</v>
      </c>
      <c r="S2273">
        <v>179</v>
      </c>
      <c r="T2273" t="s">
        <v>101</v>
      </c>
      <c r="U2273" t="str">
        <f t="shared" si="512"/>
        <v>Columbia St</v>
      </c>
      <c r="W2273" t="str">
        <f t="shared" si="513"/>
        <v/>
      </c>
      <c r="X2273" t="str">
        <f>IF(ISBLANK(S2273),"Intersection","Non-Intersection")</f>
        <v>Non-Intersection</v>
      </c>
      <c r="Y2273" t="s">
        <v>3305</v>
      </c>
      <c r="Z2273" t="str">
        <f t="shared" si="514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15"/>
        <v>40544</v>
      </c>
      <c r="D2274" s="4">
        <f t="shared" si="516"/>
        <v>0.43835616438356162</v>
      </c>
      <c r="E2274" s="3">
        <f t="shared" si="517"/>
        <v>2011</v>
      </c>
      <c r="F2274" s="3">
        <f t="shared" si="518"/>
        <v>6</v>
      </c>
      <c r="G2274" s="3">
        <f t="shared" si="519"/>
        <v>10</v>
      </c>
      <c r="H2274" s="3">
        <f t="shared" si="520"/>
        <v>8</v>
      </c>
      <c r="I2274" s="3">
        <f t="shared" si="521"/>
        <v>58</v>
      </c>
      <c r="J2274" s="3">
        <f t="shared" si="522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23"/>
        <v>YES</v>
      </c>
      <c r="Q2274" t="str">
        <f t="shared" si="524"/>
        <v>NO</v>
      </c>
      <c r="R2274" t="str">
        <f t="shared" si="525"/>
        <v>NO</v>
      </c>
      <c r="S2274">
        <v>1847</v>
      </c>
      <c r="T2274" t="s">
        <v>14</v>
      </c>
      <c r="U2274" t="str">
        <f t="shared" si="512"/>
        <v>Massachusetts Ave</v>
      </c>
      <c r="W2274" t="str">
        <f t="shared" si="513"/>
        <v/>
      </c>
      <c r="X2274" t="str">
        <f>IF(ISBLANK(S2274),"Intersection","Non-Intersection")</f>
        <v>Non-Intersection</v>
      </c>
      <c r="Y2274" t="s">
        <v>3307</v>
      </c>
      <c r="Z2274" t="str">
        <f t="shared" si="514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15"/>
        <v>40544</v>
      </c>
      <c r="D2275" s="4">
        <f t="shared" si="516"/>
        <v>0.43835616438356162</v>
      </c>
      <c r="E2275" s="3">
        <f t="shared" si="517"/>
        <v>2011</v>
      </c>
      <c r="F2275" s="3">
        <f t="shared" si="518"/>
        <v>6</v>
      </c>
      <c r="G2275" s="3">
        <f t="shared" si="519"/>
        <v>10</v>
      </c>
      <c r="H2275" s="3">
        <f t="shared" si="520"/>
        <v>12</v>
      </c>
      <c r="I2275" s="3">
        <f t="shared" si="521"/>
        <v>0</v>
      </c>
      <c r="J2275" s="3">
        <f t="shared" si="522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23"/>
        <v>YES</v>
      </c>
      <c r="Q2275" t="str">
        <f t="shared" si="524"/>
        <v>NO</v>
      </c>
      <c r="R2275" t="str">
        <f t="shared" si="525"/>
        <v>NO</v>
      </c>
      <c r="S2275">
        <v>29</v>
      </c>
      <c r="T2275" t="s">
        <v>198</v>
      </c>
      <c r="U2275" t="str">
        <f t="shared" si="512"/>
        <v>Mount Auburn St</v>
      </c>
      <c r="V2275" t="s">
        <v>2546</v>
      </c>
      <c r="W2275" t="str">
        <f t="shared" si="513"/>
        <v>St Paul St</v>
      </c>
      <c r="X2275" t="str">
        <f>IF(ISBLANK(S2275),"Intersection","Non-Intersection")</f>
        <v>Non-Intersection</v>
      </c>
      <c r="Y2275" t="s">
        <v>3309</v>
      </c>
      <c r="Z2275" t="str">
        <f t="shared" si="514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15"/>
        <v>40544</v>
      </c>
      <c r="D2276" s="4">
        <f t="shared" si="516"/>
        <v>0.43835616438356162</v>
      </c>
      <c r="E2276" s="3">
        <f t="shared" si="517"/>
        <v>2011</v>
      </c>
      <c r="F2276" s="3">
        <f t="shared" si="518"/>
        <v>6</v>
      </c>
      <c r="G2276" s="3">
        <f t="shared" si="519"/>
        <v>10</v>
      </c>
      <c r="H2276" s="3">
        <f t="shared" si="520"/>
        <v>14</v>
      </c>
      <c r="I2276" s="3">
        <f t="shared" si="521"/>
        <v>55</v>
      </c>
      <c r="J2276" s="3">
        <f t="shared" si="522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23"/>
        <v>YES</v>
      </c>
      <c r="Q2276" t="str">
        <f t="shared" si="524"/>
        <v>NO</v>
      </c>
      <c r="R2276" t="str">
        <f t="shared" si="525"/>
        <v>NO</v>
      </c>
      <c r="S2276">
        <v>407</v>
      </c>
      <c r="T2276" t="s">
        <v>186</v>
      </c>
      <c r="U2276" t="str">
        <f t="shared" si="512"/>
        <v>Concord Ave</v>
      </c>
      <c r="V2276" t="s">
        <v>3311</v>
      </c>
      <c r="W2276" t="str">
        <f t="shared" si="513"/>
        <v>Corporal Burns Rd</v>
      </c>
      <c r="X2276" t="str">
        <f>IF(ISBLANK(S2276),"Intersection","Non-Intersection")</f>
        <v>Non-Intersection</v>
      </c>
      <c r="Y2276" t="s">
        <v>3312</v>
      </c>
      <c r="Z2276" t="str">
        <f t="shared" si="514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15"/>
        <v>40544</v>
      </c>
      <c r="D2277" s="4">
        <f t="shared" si="516"/>
        <v>0.43835616438356162</v>
      </c>
      <c r="E2277" s="3">
        <f t="shared" si="517"/>
        <v>2011</v>
      </c>
      <c r="F2277" s="3">
        <f t="shared" si="518"/>
        <v>6</v>
      </c>
      <c r="G2277" s="3">
        <f t="shared" si="519"/>
        <v>10</v>
      </c>
      <c r="H2277" s="3">
        <f t="shared" si="520"/>
        <v>17</v>
      </c>
      <c r="I2277" s="3">
        <f t="shared" si="521"/>
        <v>39</v>
      </c>
      <c r="J2277" s="3">
        <f t="shared" si="522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23"/>
        <v>YES</v>
      </c>
      <c r="Q2277" t="str">
        <f t="shared" si="524"/>
        <v>NO</v>
      </c>
      <c r="R2277" t="str">
        <f t="shared" si="525"/>
        <v>NO</v>
      </c>
      <c r="S2277">
        <v>48</v>
      </c>
      <c r="T2277" t="s">
        <v>459</v>
      </c>
      <c r="U2277" t="str">
        <f t="shared" si="512"/>
        <v>Fayerweather St</v>
      </c>
      <c r="W2277" t="str">
        <f t="shared" si="513"/>
        <v/>
      </c>
      <c r="X2277" t="str">
        <f>IF(ISBLANK(S2277),"Intersection","Non-Intersection")</f>
        <v>Non-Intersection</v>
      </c>
      <c r="Y2277" t="s">
        <v>3314</v>
      </c>
      <c r="Z2277" t="str">
        <f t="shared" si="514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15"/>
        <v>40544</v>
      </c>
      <c r="D2278" s="4">
        <f t="shared" si="516"/>
        <v>0.43835616438356162</v>
      </c>
      <c r="E2278" s="3">
        <f t="shared" si="517"/>
        <v>2011</v>
      </c>
      <c r="F2278" s="3">
        <f t="shared" si="518"/>
        <v>6</v>
      </c>
      <c r="G2278" s="3">
        <f t="shared" si="519"/>
        <v>10</v>
      </c>
      <c r="H2278" s="3">
        <f t="shared" si="520"/>
        <v>21</v>
      </c>
      <c r="I2278" s="3">
        <f t="shared" si="521"/>
        <v>33</v>
      </c>
      <c r="J2278" s="3">
        <f t="shared" si="522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23"/>
        <v>YES</v>
      </c>
      <c r="Q2278" t="str">
        <f t="shared" si="524"/>
        <v>NO</v>
      </c>
      <c r="R2278" t="str">
        <f t="shared" si="525"/>
        <v>NO</v>
      </c>
      <c r="T2278" t="s">
        <v>105</v>
      </c>
      <c r="U2278" t="str">
        <f t="shared" si="512"/>
        <v>Broadway</v>
      </c>
      <c r="V2278" t="s">
        <v>288</v>
      </c>
      <c r="W2278" t="str">
        <f t="shared" si="513"/>
        <v>Galileo Galilei Way</v>
      </c>
      <c r="X2278" t="str">
        <f>IF(ISBLANK(S2278),"Intersection","Non-Intersection")</f>
        <v>Intersection</v>
      </c>
      <c r="Y2278" t="s">
        <v>289</v>
      </c>
      <c r="Z2278" t="str">
        <f t="shared" si="514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15"/>
        <v>40544</v>
      </c>
      <c r="D2279" s="4">
        <f t="shared" si="516"/>
        <v>0.44109589041095892</v>
      </c>
      <c r="E2279" s="3">
        <f t="shared" si="517"/>
        <v>2011</v>
      </c>
      <c r="F2279" s="3">
        <f t="shared" si="518"/>
        <v>6</v>
      </c>
      <c r="G2279" s="3">
        <f t="shared" si="519"/>
        <v>11</v>
      </c>
      <c r="H2279" s="3">
        <f t="shared" si="520"/>
        <v>0</v>
      </c>
      <c r="I2279" s="3">
        <f t="shared" si="521"/>
        <v>59</v>
      </c>
      <c r="J2279" s="3">
        <f t="shared" si="522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23"/>
        <v>YES</v>
      </c>
      <c r="Q2279" t="str">
        <f t="shared" si="524"/>
        <v>NO</v>
      </c>
      <c r="R2279" t="str">
        <f t="shared" si="525"/>
        <v>NO</v>
      </c>
      <c r="S2279">
        <v>20</v>
      </c>
      <c r="T2279" t="s">
        <v>325</v>
      </c>
      <c r="U2279" t="str">
        <f t="shared" si="512"/>
        <v>Eliot St</v>
      </c>
      <c r="W2279" t="str">
        <f t="shared" si="513"/>
        <v/>
      </c>
      <c r="X2279" t="str">
        <f>IF(ISBLANK(S2279),"Intersection","Non-Intersection")</f>
        <v>Non-Intersection</v>
      </c>
      <c r="Y2279" t="s">
        <v>3316</v>
      </c>
      <c r="Z2279" t="str">
        <f t="shared" si="514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15"/>
        <v>40544</v>
      </c>
      <c r="D2280" s="4">
        <f t="shared" si="516"/>
        <v>0.44109589041095892</v>
      </c>
      <c r="E2280" s="3">
        <f t="shared" si="517"/>
        <v>2011</v>
      </c>
      <c r="F2280" s="3">
        <f t="shared" si="518"/>
        <v>6</v>
      </c>
      <c r="G2280" s="3">
        <f t="shared" si="519"/>
        <v>11</v>
      </c>
      <c r="H2280" s="3">
        <f t="shared" si="520"/>
        <v>14</v>
      </c>
      <c r="I2280" s="3">
        <f t="shared" si="521"/>
        <v>38</v>
      </c>
      <c r="J2280" s="3">
        <f t="shared" si="522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23"/>
        <v>YES</v>
      </c>
      <c r="Q2280" t="str">
        <f t="shared" si="524"/>
        <v>NO</v>
      </c>
      <c r="R2280" t="str">
        <f t="shared" si="525"/>
        <v>YES</v>
      </c>
      <c r="T2280" t="s">
        <v>186</v>
      </c>
      <c r="U2280" t="str">
        <f t="shared" si="512"/>
        <v>Concord Ave</v>
      </c>
      <c r="V2280" t="s">
        <v>299</v>
      </c>
      <c r="W2280" t="str">
        <f t="shared" si="513"/>
        <v>Buckingham St</v>
      </c>
      <c r="X2280" t="str">
        <f>IF(ISBLANK(S2280),"Intersection","Non-Intersection")</f>
        <v>Intersection</v>
      </c>
      <c r="Y2280" t="s">
        <v>300</v>
      </c>
      <c r="Z2280" t="str">
        <f t="shared" si="514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15"/>
        <v>40544</v>
      </c>
      <c r="D2281" s="4">
        <f t="shared" si="516"/>
        <v>0.44109589041095892</v>
      </c>
      <c r="E2281" s="3">
        <f t="shared" si="517"/>
        <v>2011</v>
      </c>
      <c r="F2281" s="3">
        <f t="shared" si="518"/>
        <v>6</v>
      </c>
      <c r="G2281" s="3">
        <f t="shared" si="519"/>
        <v>11</v>
      </c>
      <c r="H2281" s="3">
        <f t="shared" si="520"/>
        <v>18</v>
      </c>
      <c r="I2281" s="3">
        <f t="shared" si="521"/>
        <v>0</v>
      </c>
      <c r="J2281" s="3">
        <f t="shared" si="522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23"/>
        <v>YES</v>
      </c>
      <c r="Q2281" t="str">
        <f t="shared" si="524"/>
        <v>NO</v>
      </c>
      <c r="R2281" t="str">
        <f t="shared" si="525"/>
        <v>NO</v>
      </c>
      <c r="S2281">
        <v>107</v>
      </c>
      <c r="T2281" t="s">
        <v>805</v>
      </c>
      <c r="U2281" t="str">
        <f t="shared" si="512"/>
        <v>Trowbridge St</v>
      </c>
      <c r="W2281" t="str">
        <f t="shared" si="513"/>
        <v/>
      </c>
      <c r="X2281" t="str">
        <f>IF(ISBLANK(S2281),"Intersection","Non-Intersection")</f>
        <v>Non-Intersection</v>
      </c>
      <c r="Y2281" t="s">
        <v>3318</v>
      </c>
      <c r="Z2281" t="str">
        <f t="shared" si="514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15"/>
        <v>40544</v>
      </c>
      <c r="D2282" s="4">
        <f t="shared" si="516"/>
        <v>0.44383561643835617</v>
      </c>
      <c r="E2282" s="3">
        <f t="shared" si="517"/>
        <v>2011</v>
      </c>
      <c r="F2282" s="3">
        <f t="shared" si="518"/>
        <v>6</v>
      </c>
      <c r="G2282" s="3">
        <f t="shared" si="519"/>
        <v>12</v>
      </c>
      <c r="H2282" s="3">
        <f t="shared" si="520"/>
        <v>6</v>
      </c>
      <c r="I2282" s="3">
        <f t="shared" si="521"/>
        <v>14</v>
      </c>
      <c r="J2282" s="3">
        <f t="shared" si="522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23"/>
        <v>YES</v>
      </c>
      <c r="Q2282" t="str">
        <f t="shared" si="524"/>
        <v>NO</v>
      </c>
      <c r="R2282" t="str">
        <f t="shared" si="525"/>
        <v>NO</v>
      </c>
      <c r="S2282">
        <v>362</v>
      </c>
      <c r="T2282" t="s">
        <v>15</v>
      </c>
      <c r="U2282" t="str">
        <f t="shared" si="512"/>
        <v>Rindge Ave</v>
      </c>
      <c r="W2282" t="str">
        <f t="shared" si="513"/>
        <v/>
      </c>
      <c r="X2282" t="str">
        <f>IF(ISBLANK(S2282),"Intersection","Non-Intersection")</f>
        <v>Non-Intersection</v>
      </c>
      <c r="Y2282" t="s">
        <v>3320</v>
      </c>
      <c r="Z2282" t="str">
        <f t="shared" si="514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15"/>
        <v>40544</v>
      </c>
      <c r="D2283" s="4">
        <f t="shared" si="516"/>
        <v>0.44383561643835617</v>
      </c>
      <c r="E2283" s="3">
        <f t="shared" si="517"/>
        <v>2011</v>
      </c>
      <c r="F2283" s="3">
        <f t="shared" si="518"/>
        <v>6</v>
      </c>
      <c r="G2283" s="3">
        <f t="shared" si="519"/>
        <v>12</v>
      </c>
      <c r="H2283" s="3">
        <f t="shared" si="520"/>
        <v>0</v>
      </c>
      <c r="I2283" s="3">
        <f t="shared" si="521"/>
        <v>4</v>
      </c>
      <c r="J2283" s="3">
        <f t="shared" si="522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23"/>
        <v>YES</v>
      </c>
      <c r="Q2283" t="str">
        <f t="shared" si="524"/>
        <v>NO</v>
      </c>
      <c r="R2283" t="str">
        <f t="shared" si="525"/>
        <v>NO</v>
      </c>
      <c r="T2283" t="s">
        <v>74</v>
      </c>
      <c r="U2283" t="str">
        <f t="shared" si="512"/>
        <v>Hampshire St</v>
      </c>
      <c r="W2283" t="str">
        <f t="shared" si="513"/>
        <v/>
      </c>
      <c r="X2283" t="str">
        <f>IF(ISBLANK(S2283),"Intersection","Non-Intersection")</f>
        <v>Intersection</v>
      </c>
      <c r="Y2283" t="s">
        <v>1519</v>
      </c>
      <c r="Z2283" t="str">
        <f t="shared" si="514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15"/>
        <v>40544</v>
      </c>
      <c r="D2284" s="4">
        <f t="shared" si="516"/>
        <v>0.44383561643835617</v>
      </c>
      <c r="E2284" s="3">
        <f t="shared" si="517"/>
        <v>2011</v>
      </c>
      <c r="F2284" s="3">
        <f t="shared" si="518"/>
        <v>6</v>
      </c>
      <c r="G2284" s="3">
        <f t="shared" si="519"/>
        <v>12</v>
      </c>
      <c r="H2284" s="3">
        <f t="shared" si="520"/>
        <v>18</v>
      </c>
      <c r="I2284" s="3">
        <f t="shared" si="521"/>
        <v>0</v>
      </c>
      <c r="J2284" s="3">
        <f t="shared" si="522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23"/>
        <v>YES</v>
      </c>
      <c r="Q2284" t="str">
        <f t="shared" si="524"/>
        <v>NO</v>
      </c>
      <c r="R2284" t="str">
        <f t="shared" si="525"/>
        <v>NO</v>
      </c>
      <c r="S2284">
        <v>15</v>
      </c>
      <c r="T2284" t="s">
        <v>202</v>
      </c>
      <c r="U2284" t="str">
        <f t="shared" si="512"/>
        <v>Vassar St</v>
      </c>
      <c r="W2284" t="str">
        <f t="shared" si="513"/>
        <v/>
      </c>
      <c r="X2284" t="str">
        <f>IF(ISBLANK(S2284),"Intersection","Non-Intersection")</f>
        <v>Non-Intersection</v>
      </c>
      <c r="Y2284" t="s">
        <v>3322</v>
      </c>
      <c r="Z2284" t="str">
        <f t="shared" si="514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15"/>
        <v>40544</v>
      </c>
      <c r="D2285" s="4">
        <f t="shared" si="516"/>
        <v>0.44383561643835617</v>
      </c>
      <c r="E2285" s="3">
        <f t="shared" si="517"/>
        <v>2011</v>
      </c>
      <c r="F2285" s="3">
        <f t="shared" si="518"/>
        <v>6</v>
      </c>
      <c r="G2285" s="3">
        <f t="shared" si="519"/>
        <v>12</v>
      </c>
      <c r="H2285" s="3">
        <f t="shared" si="520"/>
        <v>21</v>
      </c>
      <c r="I2285" s="3">
        <f t="shared" si="521"/>
        <v>59</v>
      </c>
      <c r="J2285" s="3">
        <f t="shared" si="522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23"/>
        <v>YES</v>
      </c>
      <c r="Q2285" t="str">
        <f t="shared" si="524"/>
        <v>NO</v>
      </c>
      <c r="R2285" t="str">
        <f t="shared" si="525"/>
        <v>NO</v>
      </c>
      <c r="S2285">
        <v>77</v>
      </c>
      <c r="T2285" t="s">
        <v>79</v>
      </c>
      <c r="U2285" t="str">
        <f t="shared" si="512"/>
        <v>Ames St</v>
      </c>
      <c r="W2285" t="str">
        <f t="shared" si="513"/>
        <v/>
      </c>
      <c r="X2285" t="str">
        <f>IF(ISBLANK(S2285),"Intersection","Non-Intersection")</f>
        <v>Non-Intersection</v>
      </c>
      <c r="Y2285" t="s">
        <v>3324</v>
      </c>
      <c r="Z2285" t="str">
        <f t="shared" si="514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15"/>
        <v>40544</v>
      </c>
      <c r="D2286" s="4">
        <f t="shared" si="516"/>
        <v>0.44657534246575342</v>
      </c>
      <c r="E2286" s="3">
        <f t="shared" si="517"/>
        <v>2011</v>
      </c>
      <c r="F2286" s="3">
        <f t="shared" si="518"/>
        <v>6</v>
      </c>
      <c r="G2286" s="3">
        <f t="shared" si="519"/>
        <v>13</v>
      </c>
      <c r="H2286" s="3">
        <f t="shared" si="520"/>
        <v>7</v>
      </c>
      <c r="I2286" s="3">
        <f t="shared" si="521"/>
        <v>50</v>
      </c>
      <c r="J2286" s="3">
        <f t="shared" si="522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23"/>
        <v>YES</v>
      </c>
      <c r="Q2286" t="str">
        <f t="shared" si="524"/>
        <v>YES</v>
      </c>
      <c r="R2286" t="str">
        <f t="shared" si="525"/>
        <v>NO</v>
      </c>
      <c r="S2286">
        <v>359</v>
      </c>
      <c r="T2286" t="s">
        <v>105</v>
      </c>
      <c r="U2286" t="str">
        <f t="shared" si="512"/>
        <v>Broadway</v>
      </c>
      <c r="W2286" t="str">
        <f t="shared" si="513"/>
        <v/>
      </c>
      <c r="X2286" t="str">
        <f>IF(ISBLANK(S2286),"Intersection","Non-Intersection")</f>
        <v>Non-Intersection</v>
      </c>
      <c r="Y2286" t="s">
        <v>3327</v>
      </c>
      <c r="Z2286" t="str">
        <f t="shared" si="514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15"/>
        <v>40544</v>
      </c>
      <c r="D2287" s="4">
        <f t="shared" si="516"/>
        <v>0.44657534246575342</v>
      </c>
      <c r="E2287" s="3">
        <f t="shared" si="517"/>
        <v>2011</v>
      </c>
      <c r="F2287" s="3">
        <f t="shared" si="518"/>
        <v>6</v>
      </c>
      <c r="G2287" s="3">
        <f t="shared" si="519"/>
        <v>13</v>
      </c>
      <c r="H2287" s="3">
        <f t="shared" si="520"/>
        <v>13</v>
      </c>
      <c r="I2287" s="3">
        <f t="shared" si="521"/>
        <v>12</v>
      </c>
      <c r="J2287" s="3">
        <f t="shared" si="522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23"/>
        <v>YES</v>
      </c>
      <c r="Q2287" t="str">
        <f t="shared" si="524"/>
        <v>NO</v>
      </c>
      <c r="R2287" t="str">
        <f t="shared" si="525"/>
        <v>NO</v>
      </c>
      <c r="S2287">
        <v>48</v>
      </c>
      <c r="T2287" t="s">
        <v>147</v>
      </c>
      <c r="U2287" t="str">
        <f t="shared" si="512"/>
        <v>Sixth St</v>
      </c>
      <c r="W2287" t="str">
        <f t="shared" si="513"/>
        <v/>
      </c>
      <c r="X2287" t="str">
        <f>IF(ISBLANK(S2287),"Intersection","Non-Intersection")</f>
        <v>Non-Intersection</v>
      </c>
      <c r="Y2287" t="s">
        <v>3329</v>
      </c>
      <c r="Z2287" t="str">
        <f t="shared" si="514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15"/>
        <v>40544</v>
      </c>
      <c r="D2288" s="4">
        <f t="shared" si="516"/>
        <v>0.44657534246575342</v>
      </c>
      <c r="E2288" s="3">
        <f t="shared" si="517"/>
        <v>2011</v>
      </c>
      <c r="F2288" s="3">
        <f t="shared" si="518"/>
        <v>6</v>
      </c>
      <c r="G2288" s="3">
        <f t="shared" si="519"/>
        <v>13</v>
      </c>
      <c r="H2288" s="3">
        <f t="shared" si="520"/>
        <v>16</v>
      </c>
      <c r="I2288" s="3">
        <f t="shared" si="521"/>
        <v>43</v>
      </c>
      <c r="J2288" s="3">
        <f t="shared" si="522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23"/>
        <v>YES</v>
      </c>
      <c r="Q2288" t="str">
        <f t="shared" si="524"/>
        <v>NO</v>
      </c>
      <c r="R2288" t="str">
        <f t="shared" si="525"/>
        <v>NO</v>
      </c>
      <c r="S2288" t="s">
        <v>3331</v>
      </c>
      <c r="T2288" t="s">
        <v>42</v>
      </c>
      <c r="U2288" t="str">
        <f t="shared" si="512"/>
        <v>Putnam Ave</v>
      </c>
      <c r="W2288" t="str">
        <f t="shared" si="513"/>
        <v/>
      </c>
      <c r="X2288" t="str">
        <f>IF(ISBLANK(S2288),"Intersection","Non-Intersection")</f>
        <v>Non-Intersection</v>
      </c>
      <c r="Y2288" t="s">
        <v>3332</v>
      </c>
      <c r="Z2288" t="str">
        <f t="shared" si="514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15"/>
        <v>40544</v>
      </c>
      <c r="D2289" s="4">
        <f t="shared" si="516"/>
        <v>0.44657534246575342</v>
      </c>
      <c r="E2289" s="3">
        <f t="shared" si="517"/>
        <v>2011</v>
      </c>
      <c r="F2289" s="3">
        <f t="shared" si="518"/>
        <v>6</v>
      </c>
      <c r="G2289" s="3">
        <f t="shared" si="519"/>
        <v>13</v>
      </c>
      <c r="H2289" s="3">
        <f t="shared" si="520"/>
        <v>22</v>
      </c>
      <c r="I2289" s="3">
        <f t="shared" si="521"/>
        <v>9</v>
      </c>
      <c r="J2289" s="3">
        <f t="shared" si="522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23"/>
        <v>YES</v>
      </c>
      <c r="Q2289" t="str">
        <f t="shared" si="524"/>
        <v>NO</v>
      </c>
      <c r="R2289" t="str">
        <f t="shared" si="525"/>
        <v>NO</v>
      </c>
      <c r="T2289" t="s">
        <v>198</v>
      </c>
      <c r="U2289" t="str">
        <f t="shared" si="512"/>
        <v>Mount Auburn St</v>
      </c>
      <c r="V2289" t="s">
        <v>2285</v>
      </c>
      <c r="W2289" t="str">
        <f t="shared" si="513"/>
        <v>Homer Ave</v>
      </c>
      <c r="X2289" t="str">
        <f>IF(ISBLANK(S2289),"Intersection","Non-Intersection")</f>
        <v>Intersection</v>
      </c>
      <c r="Y2289" t="s">
        <v>3334</v>
      </c>
      <c r="Z2289" t="str">
        <f t="shared" si="514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15"/>
        <v>40544</v>
      </c>
      <c r="D2290" s="4">
        <f t="shared" si="516"/>
        <v>0.44657534246575342</v>
      </c>
      <c r="E2290" s="3">
        <f t="shared" si="517"/>
        <v>2011</v>
      </c>
      <c r="F2290" s="3">
        <f t="shared" si="518"/>
        <v>6</v>
      </c>
      <c r="G2290" s="3">
        <f t="shared" si="519"/>
        <v>13</v>
      </c>
      <c r="H2290" s="3">
        <f t="shared" si="520"/>
        <v>13</v>
      </c>
      <c r="I2290" s="3">
        <f t="shared" si="521"/>
        <v>12</v>
      </c>
      <c r="J2290" s="3">
        <f t="shared" si="522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23"/>
        <v>YES</v>
      </c>
      <c r="Q2290" t="str">
        <f t="shared" si="524"/>
        <v>NO</v>
      </c>
      <c r="R2290" t="str">
        <f t="shared" si="525"/>
        <v>NO</v>
      </c>
      <c r="S2290">
        <v>48</v>
      </c>
      <c r="T2290" t="s">
        <v>147</v>
      </c>
      <c r="U2290" t="str">
        <f t="shared" si="512"/>
        <v>Sixth St</v>
      </c>
      <c r="W2290" t="str">
        <f t="shared" si="513"/>
        <v/>
      </c>
      <c r="X2290" t="str">
        <f>IF(ISBLANK(S2290),"Intersection","Non-Intersection")</f>
        <v>Non-Intersection</v>
      </c>
      <c r="Y2290" t="s">
        <v>3329</v>
      </c>
      <c r="Z2290" t="str">
        <f t="shared" si="514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15"/>
        <v>40544</v>
      </c>
      <c r="D2291" s="4">
        <f t="shared" si="516"/>
        <v>0.44931506849315067</v>
      </c>
      <c r="E2291" s="3">
        <f t="shared" si="517"/>
        <v>2011</v>
      </c>
      <c r="F2291" s="3">
        <f t="shared" si="518"/>
        <v>6</v>
      </c>
      <c r="G2291" s="3">
        <f t="shared" si="519"/>
        <v>14</v>
      </c>
      <c r="H2291" s="3">
        <f t="shared" si="520"/>
        <v>9</v>
      </c>
      <c r="I2291" s="3">
        <f t="shared" si="521"/>
        <v>0</v>
      </c>
      <c r="J2291" s="3">
        <f t="shared" si="522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23"/>
        <v>YES</v>
      </c>
      <c r="Q2291" t="str">
        <f t="shared" si="524"/>
        <v>NO</v>
      </c>
      <c r="R2291" t="str">
        <f t="shared" si="525"/>
        <v>NO</v>
      </c>
      <c r="T2291" t="s">
        <v>342</v>
      </c>
      <c r="U2291" t="str">
        <f t="shared" si="512"/>
        <v>Prospect St</v>
      </c>
      <c r="W2291" t="str">
        <f t="shared" si="513"/>
        <v/>
      </c>
      <c r="X2291" t="str">
        <f>IF(ISBLANK(S2291),"Intersection","Non-Intersection")</f>
        <v>Intersection</v>
      </c>
      <c r="Y2291" t="s">
        <v>1487</v>
      </c>
      <c r="Z2291" t="str">
        <f t="shared" si="514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15"/>
        <v>40544</v>
      </c>
      <c r="D2292" s="4">
        <f t="shared" si="516"/>
        <v>0.44931506849315067</v>
      </c>
      <c r="E2292" s="3">
        <f t="shared" si="517"/>
        <v>2011</v>
      </c>
      <c r="F2292" s="3">
        <f t="shared" si="518"/>
        <v>6</v>
      </c>
      <c r="G2292" s="3">
        <f t="shared" si="519"/>
        <v>14</v>
      </c>
      <c r="H2292" s="3">
        <f t="shared" si="520"/>
        <v>10</v>
      </c>
      <c r="I2292" s="3">
        <f t="shared" si="521"/>
        <v>44</v>
      </c>
      <c r="J2292" s="3">
        <f t="shared" si="522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23"/>
        <v>YES</v>
      </c>
      <c r="Q2292" t="str">
        <f t="shared" si="524"/>
        <v>NO</v>
      </c>
      <c r="R2292" t="str">
        <f t="shared" si="525"/>
        <v>NO</v>
      </c>
      <c r="S2292">
        <v>1498</v>
      </c>
      <c r="T2292" t="s">
        <v>19</v>
      </c>
      <c r="U2292" t="str">
        <f t="shared" si="512"/>
        <v>Cambridge St</v>
      </c>
      <c r="W2292" t="str">
        <f t="shared" si="513"/>
        <v/>
      </c>
      <c r="X2292" t="str">
        <f>IF(ISBLANK(S2292),"Intersection","Non-Intersection")</f>
        <v>Non-Intersection</v>
      </c>
      <c r="Y2292" t="s">
        <v>3336</v>
      </c>
      <c r="Z2292" t="str">
        <f t="shared" si="514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15"/>
        <v>40544</v>
      </c>
      <c r="D2293" s="4">
        <f t="shared" si="516"/>
        <v>0.44931506849315067</v>
      </c>
      <c r="E2293" s="3">
        <f t="shared" si="517"/>
        <v>2011</v>
      </c>
      <c r="F2293" s="3">
        <f t="shared" si="518"/>
        <v>6</v>
      </c>
      <c r="G2293" s="3">
        <f t="shared" si="519"/>
        <v>14</v>
      </c>
      <c r="H2293" s="3">
        <f t="shared" si="520"/>
        <v>11</v>
      </c>
      <c r="I2293" s="3">
        <f t="shared" si="521"/>
        <v>0</v>
      </c>
      <c r="J2293" s="3">
        <f t="shared" si="522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23"/>
        <v>YES</v>
      </c>
      <c r="Q2293" t="str">
        <f t="shared" si="524"/>
        <v>NO</v>
      </c>
      <c r="R2293" t="str">
        <f t="shared" si="525"/>
        <v>NO</v>
      </c>
      <c r="S2293">
        <v>725</v>
      </c>
      <c r="T2293" t="s">
        <v>186</v>
      </c>
      <c r="U2293" t="str">
        <f t="shared" si="512"/>
        <v>Concord Ave</v>
      </c>
      <c r="W2293" t="str">
        <f t="shared" si="513"/>
        <v/>
      </c>
      <c r="X2293" t="str">
        <f>IF(ISBLANK(S2293),"Intersection","Non-Intersection")</f>
        <v>Non-Intersection</v>
      </c>
      <c r="Y2293" t="s">
        <v>617</v>
      </c>
      <c r="Z2293" t="str">
        <f t="shared" si="514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15"/>
        <v>40544</v>
      </c>
      <c r="D2294" s="4">
        <f t="shared" si="516"/>
        <v>0.44931506849315067</v>
      </c>
      <c r="E2294" s="3">
        <f t="shared" si="517"/>
        <v>2011</v>
      </c>
      <c r="F2294" s="3">
        <f t="shared" si="518"/>
        <v>6</v>
      </c>
      <c r="G2294" s="3">
        <f t="shared" si="519"/>
        <v>14</v>
      </c>
      <c r="H2294" s="3">
        <f t="shared" si="520"/>
        <v>12</v>
      </c>
      <c r="I2294" s="3">
        <f t="shared" si="521"/>
        <v>49</v>
      </c>
      <c r="J2294" s="3">
        <f t="shared" si="522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23"/>
        <v>YES</v>
      </c>
      <c r="Q2294" t="str">
        <f t="shared" si="524"/>
        <v>YES</v>
      </c>
      <c r="R2294" t="str">
        <f t="shared" si="525"/>
        <v>NO</v>
      </c>
      <c r="T2294" t="s">
        <v>101</v>
      </c>
      <c r="U2294" t="str">
        <f t="shared" si="512"/>
        <v>Columbia St</v>
      </c>
      <c r="V2294" t="s">
        <v>19</v>
      </c>
      <c r="W2294" t="str">
        <f t="shared" si="513"/>
        <v>Cambridge St</v>
      </c>
      <c r="X2294" t="str">
        <f>IF(ISBLANK(S2294),"Intersection","Non-Intersection")</f>
        <v>Intersection</v>
      </c>
      <c r="Y2294" t="s">
        <v>206</v>
      </c>
      <c r="Z2294" t="str">
        <f t="shared" si="514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15"/>
        <v>40544</v>
      </c>
      <c r="D2295" s="4">
        <f t="shared" si="516"/>
        <v>0.44931506849315067</v>
      </c>
      <c r="E2295" s="3">
        <f t="shared" si="517"/>
        <v>2011</v>
      </c>
      <c r="F2295" s="3">
        <f t="shared" si="518"/>
        <v>6</v>
      </c>
      <c r="G2295" s="3">
        <f t="shared" si="519"/>
        <v>14</v>
      </c>
      <c r="H2295" s="3">
        <f t="shared" si="520"/>
        <v>18</v>
      </c>
      <c r="I2295" s="3">
        <f t="shared" si="521"/>
        <v>14</v>
      </c>
      <c r="J2295" s="3">
        <f t="shared" si="522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23"/>
        <v>YES</v>
      </c>
      <c r="Q2295" t="str">
        <f t="shared" si="524"/>
        <v>NO</v>
      </c>
      <c r="R2295" t="str">
        <f t="shared" si="525"/>
        <v>NO</v>
      </c>
      <c r="T2295" t="s">
        <v>189</v>
      </c>
      <c r="U2295" t="str">
        <f t="shared" si="512"/>
        <v>Windsor St</v>
      </c>
      <c r="V2295" t="s">
        <v>32</v>
      </c>
      <c r="W2295" t="str">
        <f t="shared" si="513"/>
        <v>Main St</v>
      </c>
      <c r="X2295" t="str">
        <f>IF(ISBLANK(S2295),"Intersection","Non-Intersection")</f>
        <v>Intersection</v>
      </c>
      <c r="Y2295" t="s">
        <v>3338</v>
      </c>
      <c r="Z2295" t="str">
        <f t="shared" si="514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15"/>
        <v>40544</v>
      </c>
      <c r="D2296" s="4">
        <f t="shared" si="516"/>
        <v>0.45205479452054792</v>
      </c>
      <c r="E2296" s="3">
        <f t="shared" si="517"/>
        <v>2011</v>
      </c>
      <c r="F2296" s="3">
        <f t="shared" si="518"/>
        <v>6</v>
      </c>
      <c r="G2296" s="3">
        <f t="shared" si="519"/>
        <v>15</v>
      </c>
      <c r="H2296" s="3">
        <f t="shared" si="520"/>
        <v>16</v>
      </c>
      <c r="I2296" s="3">
        <f t="shared" si="521"/>
        <v>12</v>
      </c>
      <c r="J2296" s="3">
        <f t="shared" si="522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23"/>
        <v>NO</v>
      </c>
      <c r="Q2296" t="str">
        <f t="shared" si="524"/>
        <v>YES</v>
      </c>
      <c r="R2296" t="str">
        <f t="shared" si="525"/>
        <v>NO</v>
      </c>
      <c r="T2296" t="s">
        <v>105</v>
      </c>
      <c r="U2296" t="str">
        <f t="shared" si="512"/>
        <v>Broadway</v>
      </c>
      <c r="V2296" t="s">
        <v>387</v>
      </c>
      <c r="W2296" t="str">
        <f t="shared" si="513"/>
        <v>Antrim St</v>
      </c>
      <c r="X2296" t="str">
        <f>IF(ISBLANK(S2296),"Intersection","Non-Intersection")</f>
        <v>Intersection</v>
      </c>
      <c r="Y2296" t="s">
        <v>388</v>
      </c>
      <c r="Z2296" t="str">
        <f t="shared" si="514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15"/>
        <v>40544</v>
      </c>
      <c r="D2297" s="4">
        <f t="shared" si="516"/>
        <v>0.45205479452054792</v>
      </c>
      <c r="E2297" s="3">
        <f t="shared" si="517"/>
        <v>2011</v>
      </c>
      <c r="F2297" s="3">
        <f t="shared" si="518"/>
        <v>6</v>
      </c>
      <c r="G2297" s="3">
        <f t="shared" si="519"/>
        <v>15</v>
      </c>
      <c r="H2297" s="3">
        <f t="shared" si="520"/>
        <v>10</v>
      </c>
      <c r="I2297" s="3">
        <f t="shared" si="521"/>
        <v>30</v>
      </c>
      <c r="J2297" s="3">
        <f t="shared" si="522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23"/>
        <v>YES</v>
      </c>
      <c r="Q2297" t="str">
        <f t="shared" si="524"/>
        <v>NO</v>
      </c>
      <c r="R2297" t="str">
        <f t="shared" si="525"/>
        <v>NO</v>
      </c>
      <c r="T2297" t="s">
        <v>3339</v>
      </c>
      <c r="U2297" t="str">
        <f t="shared" si="512"/>
        <v>Field St</v>
      </c>
      <c r="V2297" t="s">
        <v>1065</v>
      </c>
      <c r="W2297" t="str">
        <f t="shared" si="513"/>
        <v>Fern St</v>
      </c>
      <c r="X2297" t="str">
        <f>IF(ISBLANK(S2297),"Intersection","Non-Intersection")</f>
        <v>Intersection</v>
      </c>
      <c r="Y2297" t="s">
        <v>3340</v>
      </c>
      <c r="Z2297" t="str">
        <f t="shared" si="514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15"/>
        <v>40544</v>
      </c>
      <c r="D2298" s="4">
        <f t="shared" si="516"/>
        <v>0.45205479452054792</v>
      </c>
      <c r="E2298" s="3">
        <f t="shared" si="517"/>
        <v>2011</v>
      </c>
      <c r="F2298" s="3">
        <f t="shared" si="518"/>
        <v>6</v>
      </c>
      <c r="G2298" s="3">
        <f t="shared" si="519"/>
        <v>15</v>
      </c>
      <c r="H2298" s="3">
        <f t="shared" si="520"/>
        <v>14</v>
      </c>
      <c r="I2298" s="3">
        <f t="shared" si="521"/>
        <v>29</v>
      </c>
      <c r="J2298" s="3">
        <f t="shared" si="522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23"/>
        <v>YES</v>
      </c>
      <c r="Q2298" t="str">
        <f t="shared" si="524"/>
        <v>NO</v>
      </c>
      <c r="R2298" t="str">
        <f t="shared" si="525"/>
        <v>NO</v>
      </c>
      <c r="T2298" t="s">
        <v>14</v>
      </c>
      <c r="U2298" t="str">
        <f t="shared" si="512"/>
        <v>Massachusetts Ave</v>
      </c>
      <c r="V2298" t="s">
        <v>3342</v>
      </c>
      <c r="W2298" t="str">
        <f t="shared" si="513"/>
        <v>Allen St</v>
      </c>
      <c r="X2298" t="str">
        <f>IF(ISBLANK(S2298),"Intersection","Non-Intersection")</f>
        <v>Intersection</v>
      </c>
      <c r="Y2298" t="s">
        <v>3343</v>
      </c>
      <c r="Z2298" t="str">
        <f t="shared" si="514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15"/>
        <v>40544</v>
      </c>
      <c r="D2299" s="4">
        <f t="shared" si="516"/>
        <v>0.45205479452054792</v>
      </c>
      <c r="E2299" s="3">
        <f t="shared" si="517"/>
        <v>2011</v>
      </c>
      <c r="F2299" s="3">
        <f t="shared" si="518"/>
        <v>6</v>
      </c>
      <c r="G2299" s="3">
        <f t="shared" si="519"/>
        <v>15</v>
      </c>
      <c r="H2299" s="3">
        <f t="shared" si="520"/>
        <v>18</v>
      </c>
      <c r="I2299" s="3">
        <f t="shared" si="521"/>
        <v>14</v>
      </c>
      <c r="J2299" s="3">
        <f t="shared" si="522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23"/>
        <v>YES</v>
      </c>
      <c r="Q2299" t="str">
        <f t="shared" si="524"/>
        <v>NO</v>
      </c>
      <c r="R2299" t="str">
        <f t="shared" si="525"/>
        <v>NO</v>
      </c>
      <c r="S2299">
        <v>1493</v>
      </c>
      <c r="T2299" t="s">
        <v>19</v>
      </c>
      <c r="U2299" t="str">
        <f t="shared" si="512"/>
        <v>Cambridge St</v>
      </c>
      <c r="W2299" t="str">
        <f t="shared" si="513"/>
        <v/>
      </c>
      <c r="X2299" t="str">
        <f>IF(ISBLANK(S2299),"Intersection","Non-Intersection")</f>
        <v>Non-Intersection</v>
      </c>
      <c r="Y2299" t="s">
        <v>1660</v>
      </c>
      <c r="Z2299" t="str">
        <f t="shared" si="514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15"/>
        <v>40544</v>
      </c>
      <c r="D2300" s="4">
        <f t="shared" si="516"/>
        <v>0.45479452054794522</v>
      </c>
      <c r="E2300" s="3">
        <f t="shared" si="517"/>
        <v>2011</v>
      </c>
      <c r="F2300" s="3">
        <f t="shared" si="518"/>
        <v>6</v>
      </c>
      <c r="G2300" s="3">
        <f t="shared" si="519"/>
        <v>16</v>
      </c>
      <c r="H2300" s="3">
        <f t="shared" si="520"/>
        <v>13</v>
      </c>
      <c r="I2300" s="3">
        <f t="shared" si="521"/>
        <v>34</v>
      </c>
      <c r="J2300" s="3">
        <f t="shared" si="522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23"/>
        <v>YES</v>
      </c>
      <c r="Q2300" t="str">
        <f t="shared" si="524"/>
        <v>NO</v>
      </c>
      <c r="R2300" t="str">
        <f t="shared" si="525"/>
        <v>NO</v>
      </c>
      <c r="T2300" t="s">
        <v>291</v>
      </c>
      <c r="U2300" t="str">
        <f t="shared" si="512"/>
        <v>Raymond St</v>
      </c>
      <c r="V2300" t="s">
        <v>252</v>
      </c>
      <c r="W2300" t="str">
        <f t="shared" si="513"/>
        <v>Walden St</v>
      </c>
      <c r="X2300" t="str">
        <f>IF(ISBLANK(S2300),"Intersection","Non-Intersection")</f>
        <v>Intersection</v>
      </c>
      <c r="Y2300" t="s">
        <v>3345</v>
      </c>
      <c r="Z2300" t="str">
        <f t="shared" si="514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15"/>
        <v>40544</v>
      </c>
      <c r="D2301" s="4">
        <f t="shared" si="516"/>
        <v>0.45479452054794522</v>
      </c>
      <c r="E2301" s="3">
        <f t="shared" si="517"/>
        <v>2011</v>
      </c>
      <c r="F2301" s="3">
        <f t="shared" si="518"/>
        <v>6</v>
      </c>
      <c r="G2301" s="3">
        <f t="shared" si="519"/>
        <v>16</v>
      </c>
      <c r="H2301" s="3">
        <f t="shared" si="520"/>
        <v>10</v>
      </c>
      <c r="I2301" s="3">
        <f t="shared" si="521"/>
        <v>15</v>
      </c>
      <c r="J2301" s="3">
        <f t="shared" si="522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23"/>
        <v>YES</v>
      </c>
      <c r="Q2301" t="str">
        <f t="shared" si="524"/>
        <v>NO</v>
      </c>
      <c r="R2301" t="str">
        <f t="shared" si="525"/>
        <v>NO</v>
      </c>
      <c r="T2301" t="s">
        <v>105</v>
      </c>
      <c r="U2301" t="str">
        <f t="shared" si="512"/>
        <v>Broadway</v>
      </c>
      <c r="V2301" t="s">
        <v>138</v>
      </c>
      <c r="W2301" t="str">
        <f t="shared" si="513"/>
        <v>Felton St</v>
      </c>
      <c r="X2301" t="str">
        <f>IF(ISBLANK(S2301),"Intersection","Non-Intersection")</f>
        <v>Intersection</v>
      </c>
      <c r="Y2301" t="s">
        <v>139</v>
      </c>
      <c r="Z2301" t="str">
        <f t="shared" si="514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15"/>
        <v>40544</v>
      </c>
      <c r="D2302" s="4">
        <f t="shared" si="516"/>
        <v>0.45479452054794522</v>
      </c>
      <c r="E2302" s="3">
        <f t="shared" si="517"/>
        <v>2011</v>
      </c>
      <c r="F2302" s="3">
        <f t="shared" si="518"/>
        <v>6</v>
      </c>
      <c r="G2302" s="3">
        <f t="shared" si="519"/>
        <v>16</v>
      </c>
      <c r="H2302" s="3">
        <f t="shared" si="520"/>
        <v>16</v>
      </c>
      <c r="I2302" s="3">
        <f t="shared" si="521"/>
        <v>9</v>
      </c>
      <c r="J2302" s="3">
        <f t="shared" si="522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23"/>
        <v>YES</v>
      </c>
      <c r="Q2302" t="str">
        <f t="shared" si="524"/>
        <v>NO</v>
      </c>
      <c r="R2302" t="str">
        <f t="shared" si="525"/>
        <v>NO</v>
      </c>
      <c r="S2302">
        <v>831</v>
      </c>
      <c r="T2302" t="s">
        <v>14</v>
      </c>
      <c r="U2302" t="str">
        <f t="shared" si="512"/>
        <v>Massachusetts Ave</v>
      </c>
      <c r="W2302" t="str">
        <f t="shared" si="513"/>
        <v/>
      </c>
      <c r="X2302" t="str">
        <f>IF(ISBLANK(S2302),"Intersection","Non-Intersection")</f>
        <v>Non-Intersection</v>
      </c>
      <c r="Y2302" t="s">
        <v>3346</v>
      </c>
      <c r="Z2302" t="str">
        <f t="shared" si="514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15"/>
        <v>40544</v>
      </c>
      <c r="D2303" s="4">
        <f t="shared" si="516"/>
        <v>0.45479452054794522</v>
      </c>
      <c r="E2303" s="3">
        <f t="shared" si="517"/>
        <v>2011</v>
      </c>
      <c r="F2303" s="3">
        <f t="shared" si="518"/>
        <v>6</v>
      </c>
      <c r="G2303" s="3">
        <f t="shared" si="519"/>
        <v>16</v>
      </c>
      <c r="H2303" s="3">
        <f t="shared" si="520"/>
        <v>20</v>
      </c>
      <c r="I2303" s="3">
        <f t="shared" si="521"/>
        <v>32</v>
      </c>
      <c r="J2303" s="3">
        <f t="shared" si="522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23"/>
        <v>YES</v>
      </c>
      <c r="Q2303" t="str">
        <f t="shared" si="524"/>
        <v>NO</v>
      </c>
      <c r="R2303" t="str">
        <f t="shared" si="525"/>
        <v>NO</v>
      </c>
      <c r="T2303" t="s">
        <v>14</v>
      </c>
      <c r="U2303" t="str">
        <f t="shared" si="512"/>
        <v>Massachusetts Ave</v>
      </c>
      <c r="V2303" t="s">
        <v>3348</v>
      </c>
      <c r="W2303" t="str">
        <f t="shared" si="513"/>
        <v>Blanche St</v>
      </c>
      <c r="X2303" t="str">
        <f>IF(ISBLANK(S2303),"Intersection","Non-Intersection")</f>
        <v>Intersection</v>
      </c>
      <c r="Y2303" t="s">
        <v>3349</v>
      </c>
      <c r="Z2303" t="str">
        <f t="shared" si="514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15"/>
        <v>40544</v>
      </c>
      <c r="D2304" s="4">
        <f t="shared" si="516"/>
        <v>0.45479452054794522</v>
      </c>
      <c r="E2304" s="3">
        <f t="shared" si="517"/>
        <v>2011</v>
      </c>
      <c r="F2304" s="3">
        <f t="shared" si="518"/>
        <v>6</v>
      </c>
      <c r="G2304" s="3">
        <f t="shared" si="519"/>
        <v>16</v>
      </c>
      <c r="H2304" s="3">
        <f t="shared" si="520"/>
        <v>9</v>
      </c>
      <c r="I2304" s="3">
        <f t="shared" si="521"/>
        <v>59</v>
      </c>
      <c r="J2304" s="3">
        <f t="shared" si="522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23"/>
        <v>YES</v>
      </c>
      <c r="Q2304" t="str">
        <f t="shared" si="524"/>
        <v>NO</v>
      </c>
      <c r="R2304" t="str">
        <f t="shared" si="525"/>
        <v>NO</v>
      </c>
      <c r="T2304" t="s">
        <v>269</v>
      </c>
      <c r="U2304" t="str">
        <f t="shared" si="512"/>
        <v>Porter Sq</v>
      </c>
      <c r="W2304" t="str">
        <f t="shared" si="513"/>
        <v/>
      </c>
      <c r="X2304" t="str">
        <f>IF(ISBLANK(S2304),"Intersection","Non-Intersection")</f>
        <v>Intersection</v>
      </c>
      <c r="Y2304" t="s">
        <v>923</v>
      </c>
      <c r="Z2304" t="str">
        <f t="shared" si="514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15"/>
        <v>40544</v>
      </c>
      <c r="D2305" s="4">
        <f t="shared" si="516"/>
        <v>0.45753424657534247</v>
      </c>
      <c r="E2305" s="3">
        <f t="shared" si="517"/>
        <v>2011</v>
      </c>
      <c r="F2305" s="3">
        <f t="shared" si="518"/>
        <v>6</v>
      </c>
      <c r="G2305" s="3">
        <f t="shared" si="519"/>
        <v>17</v>
      </c>
      <c r="H2305" s="3">
        <f t="shared" si="520"/>
        <v>9</v>
      </c>
      <c r="I2305" s="3">
        <f t="shared" si="521"/>
        <v>11</v>
      </c>
      <c r="J2305" s="3">
        <f t="shared" si="522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23"/>
        <v>YES</v>
      </c>
      <c r="Q2305" t="str">
        <f t="shared" si="524"/>
        <v>YES</v>
      </c>
      <c r="R2305" t="str">
        <f t="shared" si="525"/>
        <v>NO</v>
      </c>
      <c r="T2305" t="s">
        <v>32</v>
      </c>
      <c r="U2305" t="str">
        <f t="shared" si="512"/>
        <v>Main St</v>
      </c>
      <c r="V2305" t="s">
        <v>189</v>
      </c>
      <c r="W2305" t="str">
        <f t="shared" si="513"/>
        <v>Windsor St</v>
      </c>
      <c r="X2305" t="str">
        <f>IF(ISBLANK(S2305),"Intersection","Non-Intersection")</f>
        <v>Intersection</v>
      </c>
      <c r="Y2305" t="s">
        <v>1737</v>
      </c>
      <c r="Z2305" t="str">
        <f t="shared" si="514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15"/>
        <v>40544</v>
      </c>
      <c r="D2306" s="4">
        <f t="shared" si="516"/>
        <v>0.45753424657534247</v>
      </c>
      <c r="E2306" s="3">
        <f t="shared" si="517"/>
        <v>2011</v>
      </c>
      <c r="F2306" s="3">
        <f t="shared" si="518"/>
        <v>6</v>
      </c>
      <c r="G2306" s="3">
        <f t="shared" si="519"/>
        <v>17</v>
      </c>
      <c r="H2306" s="3">
        <f t="shared" si="520"/>
        <v>12</v>
      </c>
      <c r="I2306" s="3">
        <f t="shared" si="521"/>
        <v>4</v>
      </c>
      <c r="J2306" s="3">
        <f t="shared" si="522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23"/>
        <v>YES</v>
      </c>
      <c r="Q2306" t="str">
        <f t="shared" si="524"/>
        <v>NO</v>
      </c>
      <c r="R2306" t="str">
        <f t="shared" si="525"/>
        <v>YES</v>
      </c>
      <c r="T2306" t="s">
        <v>509</v>
      </c>
      <c r="U2306" t="str">
        <f t="shared" si="512"/>
        <v>Green St</v>
      </c>
      <c r="V2306" t="s">
        <v>37</v>
      </c>
      <c r="W2306" t="str">
        <f t="shared" si="513"/>
        <v>Magazine St</v>
      </c>
      <c r="X2306" t="str">
        <f>IF(ISBLANK(S2306),"Intersection","Non-Intersection")</f>
        <v>Intersection</v>
      </c>
      <c r="Y2306" t="s">
        <v>3350</v>
      </c>
      <c r="Z2306" t="str">
        <f t="shared" si="514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15"/>
        <v>40544</v>
      </c>
      <c r="D2307" s="4">
        <f t="shared" si="516"/>
        <v>0.45753424657534247</v>
      </c>
      <c r="E2307" s="3">
        <f t="shared" si="517"/>
        <v>2011</v>
      </c>
      <c r="F2307" s="3">
        <f t="shared" si="518"/>
        <v>6</v>
      </c>
      <c r="G2307" s="3">
        <f t="shared" si="519"/>
        <v>17</v>
      </c>
      <c r="H2307" s="3">
        <f t="shared" si="520"/>
        <v>12</v>
      </c>
      <c r="I2307" s="3">
        <f t="shared" si="521"/>
        <v>17</v>
      </c>
      <c r="J2307" s="3">
        <f t="shared" si="522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23"/>
        <v>YES</v>
      </c>
      <c r="Q2307" t="str">
        <f t="shared" si="524"/>
        <v>NO</v>
      </c>
      <c r="R2307" t="str">
        <f t="shared" si="525"/>
        <v>NO</v>
      </c>
      <c r="S2307">
        <v>534</v>
      </c>
      <c r="T2307" t="s">
        <v>19</v>
      </c>
      <c r="U2307" t="str">
        <f t="shared" ref="U2307:U2370" si="526">TRIM(PROPER(T2307))</f>
        <v>Cambridge St</v>
      </c>
      <c r="W2307" t="str">
        <f t="shared" ref="W2307:W2370" si="527">TRIM(PROPER(V2307))</f>
        <v/>
      </c>
      <c r="X2307" t="str">
        <f>IF(ISBLANK(S2307),"Intersection","Non-Intersection")</f>
        <v>Non-Intersection</v>
      </c>
      <c r="Y2307" t="s">
        <v>3351</v>
      </c>
      <c r="Z2307" t="str">
        <f t="shared" ref="Z2307:Z2370" si="528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15"/>
        <v>40544</v>
      </c>
      <c r="D2308" s="4">
        <f t="shared" si="516"/>
        <v>0.46027397260273972</v>
      </c>
      <c r="E2308" s="3">
        <f t="shared" si="517"/>
        <v>2011</v>
      </c>
      <c r="F2308" s="3">
        <f t="shared" si="518"/>
        <v>6</v>
      </c>
      <c r="G2308" s="3">
        <f t="shared" si="519"/>
        <v>18</v>
      </c>
      <c r="H2308" s="3">
        <f t="shared" si="520"/>
        <v>7</v>
      </c>
      <c r="I2308" s="3">
        <f t="shared" si="521"/>
        <v>19</v>
      </c>
      <c r="J2308" s="3">
        <f t="shared" si="522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23"/>
        <v>YES</v>
      </c>
      <c r="Q2308" t="str">
        <f t="shared" si="524"/>
        <v>NO</v>
      </c>
      <c r="R2308" t="str">
        <f t="shared" si="525"/>
        <v>NO</v>
      </c>
      <c r="T2308" t="s">
        <v>70</v>
      </c>
      <c r="U2308" t="str">
        <f t="shared" si="526"/>
        <v>Pearl St</v>
      </c>
      <c r="V2308" t="s">
        <v>108</v>
      </c>
      <c r="W2308" t="str">
        <f t="shared" si="527"/>
        <v>Franklin St</v>
      </c>
      <c r="X2308" t="str">
        <f>IF(ISBLANK(S2308),"Intersection","Non-Intersection")</f>
        <v>Intersection</v>
      </c>
      <c r="Y2308" t="s">
        <v>153</v>
      </c>
      <c r="Z2308" t="str">
        <f t="shared" si="528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15"/>
        <v>40544</v>
      </c>
      <c r="D2309" s="4">
        <f t="shared" si="516"/>
        <v>0.46027397260273972</v>
      </c>
      <c r="E2309" s="3">
        <f t="shared" si="517"/>
        <v>2011</v>
      </c>
      <c r="F2309" s="3">
        <f t="shared" si="518"/>
        <v>6</v>
      </c>
      <c r="G2309" s="3">
        <f t="shared" si="519"/>
        <v>18</v>
      </c>
      <c r="H2309" s="3">
        <f t="shared" si="520"/>
        <v>15</v>
      </c>
      <c r="I2309" s="3">
        <f t="shared" si="521"/>
        <v>21</v>
      </c>
      <c r="J2309" s="3">
        <f t="shared" si="522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23"/>
        <v>YES</v>
      </c>
      <c r="Q2309" t="str">
        <f t="shared" si="524"/>
        <v>NO</v>
      </c>
      <c r="R2309" t="str">
        <f t="shared" si="525"/>
        <v>NO</v>
      </c>
      <c r="T2309" t="s">
        <v>409</v>
      </c>
      <c r="U2309" t="str">
        <f t="shared" si="526"/>
        <v>Appleton St</v>
      </c>
      <c r="V2309" t="s">
        <v>199</v>
      </c>
      <c r="W2309" t="str">
        <f t="shared" si="527"/>
        <v>Brattle St</v>
      </c>
      <c r="X2309" t="str">
        <f>IF(ISBLANK(S2309),"Intersection","Non-Intersection")</f>
        <v>Intersection</v>
      </c>
      <c r="Y2309" t="s">
        <v>3353</v>
      </c>
      <c r="Z2309" t="str">
        <f t="shared" si="528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15"/>
        <v>40544</v>
      </c>
      <c r="D2310" s="4">
        <f t="shared" si="516"/>
        <v>0.46301369863013697</v>
      </c>
      <c r="E2310" s="3">
        <f t="shared" si="517"/>
        <v>2011</v>
      </c>
      <c r="F2310" s="3">
        <f t="shared" si="518"/>
        <v>6</v>
      </c>
      <c r="G2310" s="3">
        <f t="shared" si="519"/>
        <v>19</v>
      </c>
      <c r="H2310" s="3">
        <f t="shared" si="520"/>
        <v>15</v>
      </c>
      <c r="I2310" s="3">
        <f t="shared" si="521"/>
        <v>30</v>
      </c>
      <c r="J2310" s="3">
        <f t="shared" si="522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23"/>
        <v>YES</v>
      </c>
      <c r="Q2310" t="str">
        <f t="shared" si="524"/>
        <v>NO</v>
      </c>
      <c r="R2310" t="str">
        <f t="shared" si="525"/>
        <v>YES</v>
      </c>
      <c r="T2310" t="s">
        <v>41</v>
      </c>
      <c r="U2310" t="str">
        <f t="shared" si="526"/>
        <v>River St</v>
      </c>
      <c r="V2310" t="s">
        <v>312</v>
      </c>
      <c r="W2310" t="str">
        <f t="shared" si="527"/>
        <v>Auburn St</v>
      </c>
      <c r="X2310" t="str">
        <f>IF(ISBLANK(S2310),"Intersection","Non-Intersection")</f>
        <v>Intersection</v>
      </c>
      <c r="Y2310" t="s">
        <v>3355</v>
      </c>
      <c r="Z2310" t="str">
        <f t="shared" si="528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15"/>
        <v>40544</v>
      </c>
      <c r="D2311" s="4">
        <f t="shared" si="516"/>
        <v>0.46301369863013697</v>
      </c>
      <c r="E2311" s="3">
        <f t="shared" si="517"/>
        <v>2011</v>
      </c>
      <c r="F2311" s="3">
        <f t="shared" si="518"/>
        <v>6</v>
      </c>
      <c r="G2311" s="3">
        <f t="shared" si="519"/>
        <v>19</v>
      </c>
      <c r="H2311" s="3">
        <f t="shared" si="520"/>
        <v>17</v>
      </c>
      <c r="I2311" s="3">
        <f t="shared" si="521"/>
        <v>29</v>
      </c>
      <c r="J2311" s="3">
        <f t="shared" si="522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23"/>
        <v>YES</v>
      </c>
      <c r="Q2311" t="str">
        <f t="shared" si="524"/>
        <v>NO</v>
      </c>
      <c r="R2311" t="str">
        <f t="shared" si="525"/>
        <v>NO</v>
      </c>
      <c r="S2311">
        <v>124</v>
      </c>
      <c r="T2311" t="s">
        <v>611</v>
      </c>
      <c r="U2311" t="str">
        <f t="shared" si="526"/>
        <v>Berkshire St</v>
      </c>
      <c r="V2311" t="s">
        <v>2325</v>
      </c>
      <c r="W2311" t="str">
        <f t="shared" si="527"/>
        <v>Marcella St</v>
      </c>
      <c r="X2311" t="str">
        <f>IF(ISBLANK(S2311),"Intersection","Non-Intersection")</f>
        <v>Non-Intersection</v>
      </c>
      <c r="Y2311" t="s">
        <v>3357</v>
      </c>
      <c r="Z2311" t="str">
        <f t="shared" si="528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15"/>
        <v>40544</v>
      </c>
      <c r="D2312" s="4">
        <f t="shared" si="516"/>
        <v>0.46301369863013697</v>
      </c>
      <c r="E2312" s="3">
        <f t="shared" si="517"/>
        <v>2011</v>
      </c>
      <c r="F2312" s="3">
        <f t="shared" si="518"/>
        <v>6</v>
      </c>
      <c r="G2312" s="3">
        <f t="shared" si="519"/>
        <v>19</v>
      </c>
      <c r="H2312" s="3">
        <f t="shared" si="520"/>
        <v>1</v>
      </c>
      <c r="I2312" s="3">
        <f t="shared" si="521"/>
        <v>14</v>
      </c>
      <c r="J2312" s="3">
        <f t="shared" si="522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23"/>
        <v>YES</v>
      </c>
      <c r="Q2312" t="str">
        <f t="shared" si="524"/>
        <v>NO</v>
      </c>
      <c r="R2312" t="str">
        <f t="shared" si="525"/>
        <v>NO</v>
      </c>
      <c r="T2312" t="s">
        <v>186</v>
      </c>
      <c r="U2312" t="str">
        <f t="shared" si="526"/>
        <v>Concord Ave</v>
      </c>
      <c r="V2312" t="s">
        <v>1132</v>
      </c>
      <c r="W2312" t="str">
        <f t="shared" si="527"/>
        <v>Moulton St</v>
      </c>
      <c r="X2312" t="str">
        <f>IF(ISBLANK(S2312),"Intersection","Non-Intersection")</f>
        <v>Intersection</v>
      </c>
      <c r="Y2312" t="s">
        <v>1133</v>
      </c>
      <c r="Z2312" t="str">
        <f t="shared" si="528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15"/>
        <v>40544</v>
      </c>
      <c r="D2313" s="4">
        <f t="shared" si="516"/>
        <v>0.46301369863013697</v>
      </c>
      <c r="E2313" s="3">
        <f t="shared" si="517"/>
        <v>2011</v>
      </c>
      <c r="F2313" s="3">
        <f t="shared" si="518"/>
        <v>6</v>
      </c>
      <c r="G2313" s="3">
        <f t="shared" si="519"/>
        <v>19</v>
      </c>
      <c r="H2313" s="3">
        <f t="shared" si="520"/>
        <v>8</v>
      </c>
      <c r="I2313" s="3">
        <f t="shared" si="521"/>
        <v>10</v>
      </c>
      <c r="J2313" s="3">
        <f t="shared" si="522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23"/>
        <v>YES</v>
      </c>
      <c r="Q2313" t="str">
        <f t="shared" si="524"/>
        <v>NO</v>
      </c>
      <c r="R2313" t="str">
        <f t="shared" si="525"/>
        <v>NO</v>
      </c>
      <c r="T2313" t="s">
        <v>186</v>
      </c>
      <c r="U2313" t="str">
        <f t="shared" si="526"/>
        <v>Concord Ave</v>
      </c>
      <c r="V2313" t="s">
        <v>2754</v>
      </c>
      <c r="W2313" t="str">
        <f t="shared" si="527"/>
        <v>Fawcett St</v>
      </c>
      <c r="X2313" t="str">
        <f>IF(ISBLANK(S2313),"Intersection","Non-Intersection")</f>
        <v>Intersection</v>
      </c>
      <c r="Y2313" t="s">
        <v>2755</v>
      </c>
      <c r="Z2313" t="str">
        <f t="shared" si="528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15"/>
        <v>40544</v>
      </c>
      <c r="D2314" s="4">
        <f t="shared" si="516"/>
        <v>0.46301369863013697</v>
      </c>
      <c r="E2314" s="3">
        <f t="shared" si="517"/>
        <v>2011</v>
      </c>
      <c r="F2314" s="3">
        <f t="shared" si="518"/>
        <v>6</v>
      </c>
      <c r="G2314" s="3">
        <f t="shared" si="519"/>
        <v>19</v>
      </c>
      <c r="H2314" s="3">
        <f t="shared" si="520"/>
        <v>19</v>
      </c>
      <c r="I2314" s="3">
        <f t="shared" si="521"/>
        <v>30</v>
      </c>
      <c r="J2314" s="3">
        <f t="shared" si="522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23"/>
        <v>YES</v>
      </c>
      <c r="Q2314" t="str">
        <f t="shared" si="524"/>
        <v>NO</v>
      </c>
      <c r="R2314" t="str">
        <f t="shared" si="525"/>
        <v>NO</v>
      </c>
      <c r="S2314">
        <v>92</v>
      </c>
      <c r="T2314" t="s">
        <v>20</v>
      </c>
      <c r="U2314" t="str">
        <f t="shared" si="526"/>
        <v>Sciarappa St</v>
      </c>
      <c r="W2314" t="str">
        <f t="shared" si="527"/>
        <v/>
      </c>
      <c r="X2314" t="str">
        <f>IF(ISBLANK(S2314),"Intersection","Non-Intersection")</f>
        <v>Non-Intersection</v>
      </c>
      <c r="Y2314" t="s">
        <v>1401</v>
      </c>
      <c r="Z2314" t="str">
        <f t="shared" si="528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15"/>
        <v>40544</v>
      </c>
      <c r="D2315" s="4">
        <f t="shared" si="516"/>
        <v>0.46301369863013697</v>
      </c>
      <c r="E2315" s="3">
        <f t="shared" si="517"/>
        <v>2011</v>
      </c>
      <c r="F2315" s="3">
        <f t="shared" si="518"/>
        <v>6</v>
      </c>
      <c r="G2315" s="3">
        <f t="shared" si="519"/>
        <v>19</v>
      </c>
      <c r="H2315" s="3">
        <f t="shared" si="520"/>
        <v>10</v>
      </c>
      <c r="I2315" s="3">
        <f t="shared" si="521"/>
        <v>40</v>
      </c>
      <c r="J2315" s="3">
        <f t="shared" si="522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23"/>
        <v>YES</v>
      </c>
      <c r="Q2315" t="str">
        <f t="shared" si="524"/>
        <v>NO</v>
      </c>
      <c r="R2315" t="str">
        <f t="shared" si="525"/>
        <v>NO</v>
      </c>
      <c r="S2315">
        <v>5</v>
      </c>
      <c r="T2315" t="s">
        <v>1752</v>
      </c>
      <c r="U2315" t="str">
        <f t="shared" si="526"/>
        <v>Cambridgepark Dr</v>
      </c>
      <c r="V2315" t="s">
        <v>170</v>
      </c>
      <c r="W2315" t="str">
        <f t="shared" si="527"/>
        <v>Alewife Brook Pky</v>
      </c>
      <c r="X2315" t="str">
        <f>IF(ISBLANK(S2315),"Intersection","Non-Intersection")</f>
        <v>Non-Intersection</v>
      </c>
      <c r="Y2315" t="s">
        <v>2952</v>
      </c>
      <c r="Z2315" t="str">
        <f t="shared" si="528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15"/>
        <v>40544</v>
      </c>
      <c r="D2316" s="4">
        <f t="shared" si="516"/>
        <v>0.46575342465753422</v>
      </c>
      <c r="E2316" s="3">
        <f t="shared" si="517"/>
        <v>2011</v>
      </c>
      <c r="F2316" s="3">
        <f t="shared" si="518"/>
        <v>6</v>
      </c>
      <c r="G2316" s="3">
        <f t="shared" si="519"/>
        <v>20</v>
      </c>
      <c r="H2316" s="3">
        <f t="shared" si="520"/>
        <v>3</v>
      </c>
      <c r="I2316" s="3">
        <f t="shared" si="521"/>
        <v>0</v>
      </c>
      <c r="J2316" s="3">
        <f t="shared" si="522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23"/>
        <v>YES</v>
      </c>
      <c r="Q2316" t="str">
        <f t="shared" si="524"/>
        <v>NO</v>
      </c>
      <c r="R2316" t="str">
        <f t="shared" si="525"/>
        <v>NO</v>
      </c>
      <c r="T2316" t="s">
        <v>170</v>
      </c>
      <c r="U2316" t="str">
        <f t="shared" si="526"/>
        <v>Alewife Brook Pky</v>
      </c>
      <c r="V2316" t="s">
        <v>665</v>
      </c>
      <c r="W2316" t="str">
        <f t="shared" si="527"/>
        <v>New St</v>
      </c>
      <c r="X2316" t="str">
        <f>IF(ISBLANK(S2316),"Intersection","Non-Intersection")</f>
        <v>Intersection</v>
      </c>
      <c r="Y2316" t="s">
        <v>3359</v>
      </c>
      <c r="Z2316" t="str">
        <f t="shared" si="528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15"/>
        <v>40544</v>
      </c>
      <c r="D2317" s="4">
        <f t="shared" si="516"/>
        <v>0.46575342465753422</v>
      </c>
      <c r="E2317" s="3">
        <f t="shared" si="517"/>
        <v>2011</v>
      </c>
      <c r="F2317" s="3">
        <f t="shared" si="518"/>
        <v>6</v>
      </c>
      <c r="G2317" s="3">
        <f t="shared" si="519"/>
        <v>20</v>
      </c>
      <c r="H2317" s="3">
        <f t="shared" si="520"/>
        <v>11</v>
      </c>
      <c r="I2317" s="3">
        <f t="shared" si="521"/>
        <v>6</v>
      </c>
      <c r="J2317" s="3">
        <f t="shared" si="522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23"/>
        <v>YES</v>
      </c>
      <c r="Q2317" t="str">
        <f t="shared" si="524"/>
        <v>NO</v>
      </c>
      <c r="R2317" t="str">
        <f t="shared" si="525"/>
        <v>NO</v>
      </c>
      <c r="T2317" t="s">
        <v>41</v>
      </c>
      <c r="U2317" t="str">
        <f t="shared" si="526"/>
        <v>River St</v>
      </c>
      <c r="V2317" t="s">
        <v>108</v>
      </c>
      <c r="W2317" t="str">
        <f t="shared" si="527"/>
        <v>Franklin St</v>
      </c>
      <c r="X2317" t="str">
        <f>IF(ISBLANK(S2317),"Intersection","Non-Intersection")</f>
        <v>Intersection</v>
      </c>
      <c r="Y2317" t="s">
        <v>427</v>
      </c>
      <c r="Z2317" t="str">
        <f t="shared" si="528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15"/>
        <v>40544</v>
      </c>
      <c r="D2318" s="4">
        <f t="shared" si="516"/>
        <v>0.46575342465753422</v>
      </c>
      <c r="E2318" s="3">
        <f t="shared" si="517"/>
        <v>2011</v>
      </c>
      <c r="F2318" s="3">
        <f t="shared" si="518"/>
        <v>6</v>
      </c>
      <c r="G2318" s="3">
        <f t="shared" si="519"/>
        <v>20</v>
      </c>
      <c r="H2318" s="3">
        <f t="shared" si="520"/>
        <v>12</v>
      </c>
      <c r="I2318" s="3">
        <f t="shared" si="521"/>
        <v>10</v>
      </c>
      <c r="J2318" s="3">
        <f t="shared" si="522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23"/>
        <v>YES</v>
      </c>
      <c r="Q2318" t="str">
        <f t="shared" si="524"/>
        <v>NO</v>
      </c>
      <c r="R2318" t="str">
        <f t="shared" si="525"/>
        <v>NO</v>
      </c>
      <c r="S2318">
        <v>1612</v>
      </c>
      <c r="T2318" t="s">
        <v>19</v>
      </c>
      <c r="U2318" t="str">
        <f t="shared" si="526"/>
        <v>Cambridge St</v>
      </c>
      <c r="V2318" t="s">
        <v>1174</v>
      </c>
      <c r="W2318" t="str">
        <f t="shared" si="527"/>
        <v>Roberts Rd</v>
      </c>
      <c r="X2318" t="str">
        <f>IF(ISBLANK(S2318),"Intersection","Non-Intersection")</f>
        <v>Non-Intersection</v>
      </c>
      <c r="Y2318" t="s">
        <v>3361</v>
      </c>
      <c r="Z2318" t="str">
        <f t="shared" si="528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29">EOMONTH(B2319,MONTH(B2319)*-1)+1</f>
        <v>40544</v>
      </c>
      <c r="D2319" s="4">
        <f t="shared" ref="D2319:D2379" si="530">YEARFRAC(C2319,B2319,1)</f>
        <v>0.46575342465753422</v>
      </c>
      <c r="E2319" s="3">
        <f t="shared" ref="E2319:E2379" si="531">YEAR(B2319)</f>
        <v>2011</v>
      </c>
      <c r="F2319" s="3">
        <f t="shared" ref="F2319:F2379" si="532">MONTH(B2319)</f>
        <v>6</v>
      </c>
      <c r="G2319" s="3">
        <f t="shared" ref="G2319:G2379" si="533">DAY(B2319)</f>
        <v>20</v>
      </c>
      <c r="H2319" s="3">
        <f t="shared" ref="H2319:H2379" si="534">HOUR(B2319)</f>
        <v>10</v>
      </c>
      <c r="I2319" s="3">
        <f t="shared" ref="I2319:I2379" si="535">MINUTE(B2319)</f>
        <v>30</v>
      </c>
      <c r="J2319" s="3">
        <f t="shared" ref="J2319:J2379" si="536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37">IF(OR(N2319="Auto",O2319="Auto"),"YES",IF(OR(N2319="Taxi",O2319="Taxi"),"YES",IF(OR(N2319="Van",O2319="Van"),"YES",IF(OR(N2319="Truck",O2319="Truck"),"YES","NO"))))</f>
        <v>YES</v>
      </c>
      <c r="Q2319" t="str">
        <f t="shared" ref="Q2319:Q2379" si="538">IF(OR(N2319="Bicycle",O2319="Bicycle"),"YES","NO")</f>
        <v>NO</v>
      </c>
      <c r="R2319" t="str">
        <f t="shared" ref="R2319:R2379" si="539">IF(OR(N2319="Pedestrian",O2319="Pedestrian"),"YES","NO")</f>
        <v>NO</v>
      </c>
      <c r="T2319" t="s">
        <v>3363</v>
      </c>
      <c r="U2319" t="str">
        <f t="shared" si="526"/>
        <v>Kimball St</v>
      </c>
      <c r="V2319" t="s">
        <v>362</v>
      </c>
      <c r="W2319" t="str">
        <f t="shared" si="527"/>
        <v>Hollis St</v>
      </c>
      <c r="X2319" t="str">
        <f>IF(ISBLANK(S2319),"Intersection","Non-Intersection")</f>
        <v>Intersection</v>
      </c>
      <c r="Y2319" t="s">
        <v>3364</v>
      </c>
      <c r="Z2319" t="str">
        <f t="shared" si="528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29"/>
        <v>40544</v>
      </c>
      <c r="D2320" s="4">
        <f t="shared" si="530"/>
        <v>0.46849315068493153</v>
      </c>
      <c r="E2320" s="3">
        <f t="shared" si="531"/>
        <v>2011</v>
      </c>
      <c r="F2320" s="3">
        <f t="shared" si="532"/>
        <v>6</v>
      </c>
      <c r="G2320" s="3">
        <f t="shared" si="533"/>
        <v>21</v>
      </c>
      <c r="H2320" s="3">
        <f t="shared" si="534"/>
        <v>11</v>
      </c>
      <c r="I2320" s="3">
        <f t="shared" si="535"/>
        <v>55</v>
      </c>
      <c r="J2320" s="3">
        <f t="shared" si="536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37"/>
        <v>YES</v>
      </c>
      <c r="Q2320" t="str">
        <f t="shared" si="538"/>
        <v>NO</v>
      </c>
      <c r="R2320" t="str">
        <f t="shared" si="539"/>
        <v>NO</v>
      </c>
      <c r="S2320">
        <v>151</v>
      </c>
      <c r="T2320" t="s">
        <v>101</v>
      </c>
      <c r="U2320" t="str">
        <f t="shared" si="526"/>
        <v>Columbia St</v>
      </c>
      <c r="W2320" t="str">
        <f t="shared" si="527"/>
        <v/>
      </c>
      <c r="X2320" t="str">
        <f>IF(ISBLANK(S2320),"Intersection","Non-Intersection")</f>
        <v>Non-Intersection</v>
      </c>
      <c r="Y2320" t="s">
        <v>3366</v>
      </c>
      <c r="Z2320" t="str">
        <f t="shared" si="528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29"/>
        <v>40544</v>
      </c>
      <c r="D2321" s="4">
        <f t="shared" si="530"/>
        <v>0.46849315068493153</v>
      </c>
      <c r="E2321" s="3">
        <f t="shared" si="531"/>
        <v>2011</v>
      </c>
      <c r="F2321" s="3">
        <f t="shared" si="532"/>
        <v>6</v>
      </c>
      <c r="G2321" s="3">
        <f t="shared" si="533"/>
        <v>21</v>
      </c>
      <c r="H2321" s="3">
        <f t="shared" si="534"/>
        <v>19</v>
      </c>
      <c r="I2321" s="3">
        <f t="shared" si="535"/>
        <v>18</v>
      </c>
      <c r="J2321" s="3">
        <f t="shared" si="536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37"/>
        <v>YES</v>
      </c>
      <c r="Q2321" t="str">
        <f t="shared" si="538"/>
        <v>YES</v>
      </c>
      <c r="R2321" t="str">
        <f t="shared" si="539"/>
        <v>NO</v>
      </c>
      <c r="S2321">
        <v>1957</v>
      </c>
      <c r="T2321" t="s">
        <v>14</v>
      </c>
      <c r="U2321" t="str">
        <f t="shared" si="526"/>
        <v>Massachusetts Ave</v>
      </c>
      <c r="V2321" t="s">
        <v>3342</v>
      </c>
      <c r="W2321" t="str">
        <f t="shared" si="527"/>
        <v>Allen St</v>
      </c>
      <c r="X2321" t="str">
        <f>IF(ISBLANK(S2321),"Intersection","Non-Intersection")</f>
        <v>Non-Intersection</v>
      </c>
      <c r="Y2321" t="s">
        <v>3368</v>
      </c>
      <c r="Z2321" t="str">
        <f t="shared" si="528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29"/>
        <v>40544</v>
      </c>
      <c r="D2322" s="4">
        <f t="shared" si="530"/>
        <v>0.46849315068493153</v>
      </c>
      <c r="E2322" s="3">
        <f t="shared" si="531"/>
        <v>2011</v>
      </c>
      <c r="F2322" s="3">
        <f t="shared" si="532"/>
        <v>6</v>
      </c>
      <c r="G2322" s="3">
        <f t="shared" si="533"/>
        <v>21</v>
      </c>
      <c r="H2322" s="3">
        <f t="shared" si="534"/>
        <v>0</v>
      </c>
      <c r="I2322" s="3">
        <f t="shared" si="535"/>
        <v>45</v>
      </c>
      <c r="J2322" s="3">
        <f t="shared" si="536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37"/>
        <v>YES</v>
      </c>
      <c r="Q2322" t="str">
        <f t="shared" si="538"/>
        <v>NO</v>
      </c>
      <c r="R2322" t="str">
        <f t="shared" si="539"/>
        <v>NO</v>
      </c>
      <c r="S2322">
        <v>600</v>
      </c>
      <c r="T2322" t="s">
        <v>3370</v>
      </c>
      <c r="U2322" t="str">
        <f t="shared" si="526"/>
        <v>Education Way</v>
      </c>
      <c r="W2322" t="str">
        <f t="shared" si="527"/>
        <v/>
      </c>
      <c r="X2322" t="str">
        <f>IF(ISBLANK(S2322),"Intersection","Non-Intersection")</f>
        <v>Non-Intersection</v>
      </c>
      <c r="Y2322" t="s">
        <v>3371</v>
      </c>
      <c r="Z2322" t="str">
        <f t="shared" si="528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29"/>
        <v>40544</v>
      </c>
      <c r="D2323" s="4">
        <f t="shared" si="530"/>
        <v>0.47123287671232877</v>
      </c>
      <c r="E2323" s="3">
        <f t="shared" si="531"/>
        <v>2011</v>
      </c>
      <c r="F2323" s="3">
        <f t="shared" si="532"/>
        <v>6</v>
      </c>
      <c r="G2323" s="3">
        <f t="shared" si="533"/>
        <v>22</v>
      </c>
      <c r="H2323" s="3">
        <f t="shared" si="534"/>
        <v>11</v>
      </c>
      <c r="I2323" s="3">
        <f t="shared" si="535"/>
        <v>0</v>
      </c>
      <c r="J2323" s="3">
        <f t="shared" si="536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37"/>
        <v>YES</v>
      </c>
      <c r="Q2323" t="str">
        <f t="shared" si="538"/>
        <v>NO</v>
      </c>
      <c r="R2323" t="str">
        <f t="shared" si="539"/>
        <v>NO</v>
      </c>
      <c r="T2323" t="s">
        <v>379</v>
      </c>
      <c r="U2323" t="str">
        <f t="shared" si="526"/>
        <v>Second St</v>
      </c>
      <c r="V2323" t="s">
        <v>380</v>
      </c>
      <c r="W2323" t="str">
        <f t="shared" si="527"/>
        <v>Charles St</v>
      </c>
      <c r="X2323" t="str">
        <f>IF(ISBLANK(S2323),"Intersection","Non-Intersection")</f>
        <v>Intersection</v>
      </c>
      <c r="Y2323" t="s">
        <v>381</v>
      </c>
      <c r="Z2323" t="str">
        <f t="shared" si="528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29"/>
        <v>40544</v>
      </c>
      <c r="D2324" s="4">
        <f t="shared" si="530"/>
        <v>0.47123287671232877</v>
      </c>
      <c r="E2324" s="3">
        <f t="shared" si="531"/>
        <v>2011</v>
      </c>
      <c r="F2324" s="3">
        <f t="shared" si="532"/>
        <v>6</v>
      </c>
      <c r="G2324" s="3">
        <f t="shared" si="533"/>
        <v>22</v>
      </c>
      <c r="H2324" s="3">
        <f t="shared" si="534"/>
        <v>16</v>
      </c>
      <c r="I2324" s="3">
        <f t="shared" si="535"/>
        <v>54</v>
      </c>
      <c r="J2324" s="3">
        <f t="shared" si="536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37"/>
        <v>YES</v>
      </c>
      <c r="Q2324" t="str">
        <f t="shared" si="538"/>
        <v>NO</v>
      </c>
      <c r="R2324" t="str">
        <f t="shared" si="539"/>
        <v>NO</v>
      </c>
      <c r="S2324">
        <v>33</v>
      </c>
      <c r="T2324" t="s">
        <v>166</v>
      </c>
      <c r="U2324" t="str">
        <f t="shared" si="526"/>
        <v>Oxford Ave</v>
      </c>
      <c r="W2324" t="str">
        <f t="shared" si="527"/>
        <v/>
      </c>
      <c r="X2324" t="str">
        <f>IF(ISBLANK(S2324),"Intersection","Non-Intersection")</f>
        <v>Non-Intersection</v>
      </c>
      <c r="Y2324" t="s">
        <v>2726</v>
      </c>
      <c r="Z2324" t="str">
        <f t="shared" si="528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29"/>
        <v>40544</v>
      </c>
      <c r="D2325" s="4">
        <f t="shared" si="530"/>
        <v>0.47123287671232877</v>
      </c>
      <c r="E2325" s="3">
        <f t="shared" si="531"/>
        <v>2011</v>
      </c>
      <c r="F2325" s="3">
        <f t="shared" si="532"/>
        <v>6</v>
      </c>
      <c r="G2325" s="3">
        <f t="shared" si="533"/>
        <v>22</v>
      </c>
      <c r="H2325" s="3">
        <f t="shared" si="534"/>
        <v>18</v>
      </c>
      <c r="I2325" s="3">
        <f t="shared" si="535"/>
        <v>58</v>
      </c>
      <c r="J2325" s="3">
        <f t="shared" si="536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37"/>
        <v>YES</v>
      </c>
      <c r="Q2325" t="str">
        <f t="shared" si="538"/>
        <v>YES</v>
      </c>
      <c r="R2325" t="str">
        <f t="shared" si="539"/>
        <v>NO</v>
      </c>
      <c r="T2325" t="s">
        <v>342</v>
      </c>
      <c r="U2325" t="str">
        <f t="shared" si="526"/>
        <v>Prospect St</v>
      </c>
      <c r="V2325" t="s">
        <v>105</v>
      </c>
      <c r="W2325" t="str">
        <f t="shared" si="527"/>
        <v>Broadway</v>
      </c>
      <c r="X2325" t="str">
        <f>IF(ISBLANK(S2325),"Intersection","Non-Intersection")</f>
        <v>Intersection</v>
      </c>
      <c r="Y2325" t="s">
        <v>725</v>
      </c>
      <c r="Z2325" t="str">
        <f t="shared" si="528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29"/>
        <v>40544</v>
      </c>
      <c r="D2326" s="4">
        <f t="shared" si="530"/>
        <v>0.47123287671232877</v>
      </c>
      <c r="E2326" s="3">
        <f t="shared" si="531"/>
        <v>2011</v>
      </c>
      <c r="F2326" s="3">
        <f t="shared" si="532"/>
        <v>6</v>
      </c>
      <c r="G2326" s="3">
        <f t="shared" si="533"/>
        <v>22</v>
      </c>
      <c r="H2326" s="3">
        <f t="shared" si="534"/>
        <v>17</v>
      </c>
      <c r="I2326" s="3">
        <f t="shared" si="535"/>
        <v>6</v>
      </c>
      <c r="J2326" s="3">
        <f t="shared" si="536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37"/>
        <v>YES</v>
      </c>
      <c r="Q2326" t="str">
        <f t="shared" si="538"/>
        <v>NO</v>
      </c>
      <c r="R2326" t="str">
        <f t="shared" si="539"/>
        <v>NO</v>
      </c>
      <c r="T2326" t="s">
        <v>186</v>
      </c>
      <c r="U2326" t="str">
        <f t="shared" si="526"/>
        <v>Concord Ave</v>
      </c>
      <c r="V2326" t="s">
        <v>142</v>
      </c>
      <c r="W2326" t="str">
        <f t="shared" si="527"/>
        <v>Huron Ave</v>
      </c>
      <c r="X2326" t="str">
        <f>IF(ISBLANK(S2326),"Intersection","Non-Intersection")</f>
        <v>Intersection</v>
      </c>
      <c r="Y2326" t="s">
        <v>3373</v>
      </c>
      <c r="Z2326" t="str">
        <f t="shared" si="528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29"/>
        <v>40544</v>
      </c>
      <c r="D2327" s="4">
        <f t="shared" si="530"/>
        <v>0.47123287671232877</v>
      </c>
      <c r="E2327" s="3">
        <f t="shared" si="531"/>
        <v>2011</v>
      </c>
      <c r="F2327" s="3">
        <f t="shared" si="532"/>
        <v>6</v>
      </c>
      <c r="G2327" s="3">
        <f t="shared" si="533"/>
        <v>22</v>
      </c>
      <c r="H2327" s="3">
        <f t="shared" si="534"/>
        <v>9</v>
      </c>
      <c r="I2327" s="3">
        <f t="shared" si="535"/>
        <v>18</v>
      </c>
      <c r="J2327" s="3">
        <f t="shared" si="536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37"/>
        <v>YES</v>
      </c>
      <c r="Q2327" t="str">
        <f t="shared" si="538"/>
        <v>NO</v>
      </c>
      <c r="R2327" t="str">
        <f t="shared" si="539"/>
        <v>NO</v>
      </c>
      <c r="S2327">
        <v>110</v>
      </c>
      <c r="T2327" t="s">
        <v>19</v>
      </c>
      <c r="U2327" t="str">
        <f t="shared" si="526"/>
        <v>Cambridge St</v>
      </c>
      <c r="W2327" t="str">
        <f t="shared" si="527"/>
        <v/>
      </c>
      <c r="X2327" t="str">
        <f>IF(ISBLANK(S2327),"Intersection","Non-Intersection")</f>
        <v>Non-Intersection</v>
      </c>
      <c r="Y2327" t="s">
        <v>2844</v>
      </c>
      <c r="Z2327" t="str">
        <f t="shared" si="528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29"/>
        <v>40544</v>
      </c>
      <c r="D2328" s="4">
        <f t="shared" si="530"/>
        <v>0.47397260273972602</v>
      </c>
      <c r="E2328" s="3">
        <f t="shared" si="531"/>
        <v>2011</v>
      </c>
      <c r="F2328" s="3">
        <f t="shared" si="532"/>
        <v>6</v>
      </c>
      <c r="G2328" s="3">
        <f t="shared" si="533"/>
        <v>23</v>
      </c>
      <c r="H2328" s="3">
        <f t="shared" si="534"/>
        <v>8</v>
      </c>
      <c r="I2328" s="3">
        <f t="shared" si="535"/>
        <v>0</v>
      </c>
      <c r="J2328" s="3">
        <f t="shared" si="536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37"/>
        <v>YES</v>
      </c>
      <c r="Q2328" t="str">
        <f t="shared" si="538"/>
        <v>YES</v>
      </c>
      <c r="R2328" t="str">
        <f t="shared" si="539"/>
        <v>NO</v>
      </c>
      <c r="T2328" t="s">
        <v>189</v>
      </c>
      <c r="U2328" t="str">
        <f t="shared" si="526"/>
        <v>Windsor St</v>
      </c>
      <c r="V2328" t="s">
        <v>14</v>
      </c>
      <c r="W2328" t="str">
        <f t="shared" si="527"/>
        <v>Massachusetts Ave</v>
      </c>
      <c r="X2328" t="str">
        <f>IF(ISBLANK(S2328),"Intersection","Non-Intersection")</f>
        <v>Intersection</v>
      </c>
      <c r="Y2328" t="s">
        <v>2994</v>
      </c>
      <c r="Z2328" t="str">
        <f t="shared" si="528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29"/>
        <v>40544</v>
      </c>
      <c r="D2329" s="4">
        <f t="shared" si="530"/>
        <v>0.47397260273972602</v>
      </c>
      <c r="E2329" s="3">
        <f t="shared" si="531"/>
        <v>2011</v>
      </c>
      <c r="F2329" s="3">
        <f t="shared" si="532"/>
        <v>6</v>
      </c>
      <c r="G2329" s="3">
        <f t="shared" si="533"/>
        <v>23</v>
      </c>
      <c r="H2329" s="3">
        <f t="shared" si="534"/>
        <v>9</v>
      </c>
      <c r="I2329" s="3">
        <f t="shared" si="535"/>
        <v>10</v>
      </c>
      <c r="J2329" s="3">
        <f t="shared" si="536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37"/>
        <v>YES</v>
      </c>
      <c r="Q2329" t="str">
        <f t="shared" si="538"/>
        <v>NO</v>
      </c>
      <c r="R2329" t="str">
        <f t="shared" si="539"/>
        <v>NO</v>
      </c>
      <c r="T2329" t="s">
        <v>2820</v>
      </c>
      <c r="U2329" t="str">
        <f t="shared" si="526"/>
        <v>Hunting St</v>
      </c>
      <c r="W2329" t="str">
        <f t="shared" si="527"/>
        <v/>
      </c>
      <c r="X2329" t="str">
        <f>IF(ISBLANK(S2329),"Intersection","Non-Intersection")</f>
        <v>Intersection</v>
      </c>
      <c r="Y2329" t="s">
        <v>3375</v>
      </c>
      <c r="Z2329" t="str">
        <f t="shared" si="528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29"/>
        <v>40544</v>
      </c>
      <c r="D2330" s="4">
        <f t="shared" si="530"/>
        <v>0.47671232876712327</v>
      </c>
      <c r="E2330" s="3">
        <f t="shared" si="531"/>
        <v>2011</v>
      </c>
      <c r="F2330" s="3">
        <f t="shared" si="532"/>
        <v>6</v>
      </c>
      <c r="G2330" s="3">
        <f t="shared" si="533"/>
        <v>24</v>
      </c>
      <c r="H2330" s="3">
        <f t="shared" si="534"/>
        <v>8</v>
      </c>
      <c r="I2330" s="3">
        <f t="shared" si="535"/>
        <v>29</v>
      </c>
      <c r="J2330" s="3">
        <f t="shared" si="536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37"/>
        <v>YES</v>
      </c>
      <c r="Q2330" t="str">
        <f t="shared" si="538"/>
        <v>NO</v>
      </c>
      <c r="R2330" t="str">
        <f t="shared" si="539"/>
        <v>NO</v>
      </c>
      <c r="T2330" t="s">
        <v>15</v>
      </c>
      <c r="U2330" t="str">
        <f t="shared" si="526"/>
        <v>Rindge Ave</v>
      </c>
      <c r="V2330" t="s">
        <v>1214</v>
      </c>
      <c r="W2330" t="str">
        <f t="shared" si="527"/>
        <v>Reed St</v>
      </c>
      <c r="X2330" t="str">
        <f>IF(ISBLANK(S2330),"Intersection","Non-Intersection")</f>
        <v>Intersection</v>
      </c>
      <c r="Y2330" t="s">
        <v>1423</v>
      </c>
      <c r="Z2330" t="str">
        <f t="shared" si="528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29"/>
        <v>40544</v>
      </c>
      <c r="D2331" s="4">
        <f t="shared" si="530"/>
        <v>0.47671232876712327</v>
      </c>
      <c r="E2331" s="3">
        <f t="shared" si="531"/>
        <v>2011</v>
      </c>
      <c r="F2331" s="3">
        <f t="shared" si="532"/>
        <v>6</v>
      </c>
      <c r="G2331" s="3">
        <f t="shared" si="533"/>
        <v>24</v>
      </c>
      <c r="H2331" s="3">
        <f t="shared" si="534"/>
        <v>8</v>
      </c>
      <c r="I2331" s="3">
        <f t="shared" si="535"/>
        <v>45</v>
      </c>
      <c r="J2331" s="3">
        <f t="shared" si="536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37"/>
        <v>YES</v>
      </c>
      <c r="Q2331" t="str">
        <f t="shared" si="538"/>
        <v>NO</v>
      </c>
      <c r="R2331" t="str">
        <f t="shared" si="539"/>
        <v>NO</v>
      </c>
      <c r="T2331" t="s">
        <v>42</v>
      </c>
      <c r="U2331" t="str">
        <f t="shared" si="526"/>
        <v>Putnam Ave</v>
      </c>
      <c r="V2331" t="s">
        <v>1024</v>
      </c>
      <c r="W2331" t="str">
        <f t="shared" si="527"/>
        <v>Kinnaird St</v>
      </c>
      <c r="X2331" t="str">
        <f>IF(ISBLANK(S2331),"Intersection","Non-Intersection")</f>
        <v>Intersection</v>
      </c>
      <c r="Y2331" t="s">
        <v>2183</v>
      </c>
      <c r="Z2331" t="str">
        <f t="shared" si="528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29"/>
        <v>40544</v>
      </c>
      <c r="D2332" s="4">
        <f t="shared" si="530"/>
        <v>0.47671232876712327</v>
      </c>
      <c r="E2332" s="3">
        <f t="shared" si="531"/>
        <v>2011</v>
      </c>
      <c r="F2332" s="3">
        <f t="shared" si="532"/>
        <v>6</v>
      </c>
      <c r="G2332" s="3">
        <f t="shared" si="533"/>
        <v>24</v>
      </c>
      <c r="H2332" s="3">
        <f t="shared" si="534"/>
        <v>9</v>
      </c>
      <c r="I2332" s="3">
        <f t="shared" si="535"/>
        <v>56</v>
      </c>
      <c r="J2332" s="3">
        <f t="shared" si="536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37"/>
        <v>YES</v>
      </c>
      <c r="Q2332" t="str">
        <f t="shared" si="538"/>
        <v>NO</v>
      </c>
      <c r="R2332" t="str">
        <f t="shared" si="539"/>
        <v>NO</v>
      </c>
      <c r="T2332" t="s">
        <v>142</v>
      </c>
      <c r="U2332" t="str">
        <f t="shared" si="526"/>
        <v>Huron Ave</v>
      </c>
      <c r="V2332" t="s">
        <v>459</v>
      </c>
      <c r="W2332" t="str">
        <f t="shared" si="527"/>
        <v>Fayerweather St</v>
      </c>
      <c r="X2332" t="str">
        <f>IF(ISBLANK(S2332),"Intersection","Non-Intersection")</f>
        <v>Intersection</v>
      </c>
      <c r="Y2332" t="s">
        <v>460</v>
      </c>
      <c r="Z2332" t="str">
        <f t="shared" si="528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29"/>
        <v>40544</v>
      </c>
      <c r="D2333" s="4">
        <f t="shared" si="530"/>
        <v>0.47671232876712327</v>
      </c>
      <c r="E2333" s="3">
        <f t="shared" si="531"/>
        <v>2011</v>
      </c>
      <c r="F2333" s="3">
        <f t="shared" si="532"/>
        <v>6</v>
      </c>
      <c r="G2333" s="3">
        <f t="shared" si="533"/>
        <v>24</v>
      </c>
      <c r="H2333" s="3">
        <f t="shared" si="534"/>
        <v>10</v>
      </c>
      <c r="I2333" s="3">
        <f t="shared" si="535"/>
        <v>30</v>
      </c>
      <c r="J2333" s="3">
        <f t="shared" si="536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37"/>
        <v>YES</v>
      </c>
      <c r="Q2333" t="str">
        <f t="shared" si="538"/>
        <v>NO</v>
      </c>
      <c r="R2333" t="str">
        <f t="shared" si="539"/>
        <v>NO</v>
      </c>
      <c r="T2333" t="s">
        <v>185</v>
      </c>
      <c r="U2333" t="str">
        <f t="shared" si="526"/>
        <v>Garden St</v>
      </c>
      <c r="V2333" t="s">
        <v>296</v>
      </c>
      <c r="W2333" t="str">
        <f t="shared" si="527"/>
        <v>Mason St</v>
      </c>
      <c r="X2333" t="str">
        <f>IF(ISBLANK(S2333),"Intersection","Non-Intersection")</f>
        <v>Intersection</v>
      </c>
      <c r="Y2333" t="s">
        <v>594</v>
      </c>
      <c r="Z2333" t="str">
        <f t="shared" si="528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29"/>
        <v>40544</v>
      </c>
      <c r="D2334" s="4">
        <f t="shared" si="530"/>
        <v>0.47671232876712327</v>
      </c>
      <c r="E2334" s="3">
        <f t="shared" si="531"/>
        <v>2011</v>
      </c>
      <c r="F2334" s="3">
        <f t="shared" si="532"/>
        <v>6</v>
      </c>
      <c r="G2334" s="3">
        <f t="shared" si="533"/>
        <v>24</v>
      </c>
      <c r="H2334" s="3">
        <f t="shared" si="534"/>
        <v>11</v>
      </c>
      <c r="I2334" s="3">
        <f t="shared" si="535"/>
        <v>29</v>
      </c>
      <c r="J2334" s="3">
        <f t="shared" si="536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37"/>
        <v>YES</v>
      </c>
      <c r="Q2334" t="str">
        <f t="shared" si="538"/>
        <v>NO</v>
      </c>
      <c r="R2334" t="str">
        <f t="shared" si="539"/>
        <v>NO</v>
      </c>
      <c r="T2334" t="s">
        <v>37</v>
      </c>
      <c r="U2334" t="str">
        <f t="shared" si="526"/>
        <v>Magazine St</v>
      </c>
      <c r="V2334" t="s">
        <v>3376</v>
      </c>
      <c r="W2334" t="str">
        <f t="shared" si="527"/>
        <v>Chalk St</v>
      </c>
      <c r="X2334" t="str">
        <f>IF(ISBLANK(S2334),"Intersection","Non-Intersection")</f>
        <v>Intersection</v>
      </c>
      <c r="Y2334" t="s">
        <v>3377</v>
      </c>
      <c r="Z2334" t="str">
        <f t="shared" si="528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29"/>
        <v>40544</v>
      </c>
      <c r="D2335" s="4">
        <f t="shared" si="530"/>
        <v>0.47671232876712327</v>
      </c>
      <c r="E2335" s="3">
        <f t="shared" si="531"/>
        <v>2011</v>
      </c>
      <c r="F2335" s="3">
        <f t="shared" si="532"/>
        <v>6</v>
      </c>
      <c r="G2335" s="3">
        <f t="shared" si="533"/>
        <v>24</v>
      </c>
      <c r="H2335" s="3">
        <f t="shared" si="534"/>
        <v>18</v>
      </c>
      <c r="I2335" s="3">
        <f t="shared" si="535"/>
        <v>33</v>
      </c>
      <c r="J2335" s="3">
        <f t="shared" si="536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37"/>
        <v>YES</v>
      </c>
      <c r="Q2335" t="str">
        <f t="shared" si="538"/>
        <v>NO</v>
      </c>
      <c r="R2335" t="str">
        <f t="shared" si="539"/>
        <v>NO</v>
      </c>
      <c r="T2335" t="s">
        <v>14</v>
      </c>
      <c r="U2335" t="str">
        <f t="shared" si="526"/>
        <v>Massachusetts Ave</v>
      </c>
      <c r="V2335" t="s">
        <v>119</v>
      </c>
      <c r="W2335" t="str">
        <f t="shared" si="527"/>
        <v>Albany St</v>
      </c>
      <c r="X2335" t="str">
        <f>IF(ISBLANK(S2335),"Intersection","Non-Intersection")</f>
        <v>Intersection</v>
      </c>
      <c r="Y2335" t="s">
        <v>247</v>
      </c>
      <c r="Z2335" t="str">
        <f t="shared" si="528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29"/>
        <v>40544</v>
      </c>
      <c r="D2336" s="4">
        <f t="shared" si="530"/>
        <v>0.47671232876712327</v>
      </c>
      <c r="E2336" s="3">
        <f t="shared" si="531"/>
        <v>2011</v>
      </c>
      <c r="F2336" s="3">
        <f t="shared" si="532"/>
        <v>6</v>
      </c>
      <c r="G2336" s="3">
        <f t="shared" si="533"/>
        <v>24</v>
      </c>
      <c r="H2336" s="3">
        <f t="shared" si="534"/>
        <v>22</v>
      </c>
      <c r="I2336" s="3">
        <f t="shared" si="535"/>
        <v>50</v>
      </c>
      <c r="J2336" s="3">
        <f t="shared" si="536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37"/>
        <v>YES</v>
      </c>
      <c r="Q2336" t="str">
        <f t="shared" si="538"/>
        <v>NO</v>
      </c>
      <c r="R2336" t="str">
        <f t="shared" si="539"/>
        <v>YES</v>
      </c>
      <c r="T2336" t="s">
        <v>14</v>
      </c>
      <c r="U2336" t="str">
        <f t="shared" si="526"/>
        <v>Massachusetts Ave</v>
      </c>
      <c r="V2336" t="s">
        <v>1013</v>
      </c>
      <c r="W2336" t="str">
        <f t="shared" si="527"/>
        <v>Blanchard Rd</v>
      </c>
      <c r="X2336" t="str">
        <f>IF(ISBLANK(S2336),"Intersection","Non-Intersection")</f>
        <v>Intersection</v>
      </c>
      <c r="Y2336" t="s">
        <v>3379</v>
      </c>
      <c r="Z2336" t="str">
        <f t="shared" si="528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29"/>
        <v>40544</v>
      </c>
      <c r="D2337" s="4">
        <f t="shared" si="530"/>
        <v>0.47945205479452052</v>
      </c>
      <c r="E2337" s="3">
        <f t="shared" si="531"/>
        <v>2011</v>
      </c>
      <c r="F2337" s="3">
        <f t="shared" si="532"/>
        <v>6</v>
      </c>
      <c r="G2337" s="3">
        <f t="shared" si="533"/>
        <v>25</v>
      </c>
      <c r="H2337" s="3">
        <f t="shared" si="534"/>
        <v>7</v>
      </c>
      <c r="I2337" s="3">
        <f t="shared" si="535"/>
        <v>30</v>
      </c>
      <c r="J2337" s="3">
        <f t="shared" si="536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37"/>
        <v>YES</v>
      </c>
      <c r="Q2337" t="str">
        <f t="shared" si="538"/>
        <v>YES</v>
      </c>
      <c r="R2337" t="str">
        <f t="shared" si="539"/>
        <v>NO</v>
      </c>
      <c r="T2337" t="s">
        <v>199</v>
      </c>
      <c r="U2337" t="str">
        <f t="shared" si="526"/>
        <v>Brattle St</v>
      </c>
      <c r="V2337" t="s">
        <v>791</v>
      </c>
      <c r="W2337" t="str">
        <f t="shared" si="527"/>
        <v>Palmer St</v>
      </c>
      <c r="X2337" t="str">
        <f>IF(ISBLANK(S2337),"Intersection","Non-Intersection")</f>
        <v>Intersection</v>
      </c>
      <c r="Y2337" t="s">
        <v>792</v>
      </c>
      <c r="Z2337" t="str">
        <f t="shared" si="528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29"/>
        <v>40544</v>
      </c>
      <c r="D2338" s="4">
        <f t="shared" si="530"/>
        <v>0.47945205479452052</v>
      </c>
      <c r="E2338" s="3">
        <f t="shared" si="531"/>
        <v>2011</v>
      </c>
      <c r="F2338" s="3">
        <f t="shared" si="532"/>
        <v>6</v>
      </c>
      <c r="G2338" s="3">
        <f t="shared" si="533"/>
        <v>25</v>
      </c>
      <c r="H2338" s="3">
        <f t="shared" si="534"/>
        <v>9</v>
      </c>
      <c r="I2338" s="3">
        <f t="shared" si="535"/>
        <v>49</v>
      </c>
      <c r="J2338" s="3">
        <f t="shared" si="536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37"/>
        <v>YES</v>
      </c>
      <c r="Q2338" t="str">
        <f t="shared" si="538"/>
        <v>NO</v>
      </c>
      <c r="R2338" t="str">
        <f t="shared" si="539"/>
        <v>NO</v>
      </c>
      <c r="S2338">
        <v>197</v>
      </c>
      <c r="T2338" t="s">
        <v>577</v>
      </c>
      <c r="U2338" t="str">
        <f t="shared" si="526"/>
        <v>Vassal Ln</v>
      </c>
      <c r="W2338" t="str">
        <f t="shared" si="527"/>
        <v/>
      </c>
      <c r="X2338" t="str">
        <f>IF(ISBLANK(S2338),"Intersection","Non-Intersection")</f>
        <v>Non-Intersection</v>
      </c>
      <c r="Y2338" t="s">
        <v>630</v>
      </c>
      <c r="Z2338" t="str">
        <f t="shared" si="528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29"/>
        <v>40544</v>
      </c>
      <c r="D2339" s="4">
        <f t="shared" si="530"/>
        <v>0.47945205479452052</v>
      </c>
      <c r="E2339" s="3">
        <f t="shared" si="531"/>
        <v>2011</v>
      </c>
      <c r="F2339" s="3">
        <f t="shared" si="532"/>
        <v>6</v>
      </c>
      <c r="G2339" s="3">
        <f t="shared" si="533"/>
        <v>25</v>
      </c>
      <c r="H2339" s="3">
        <f t="shared" si="534"/>
        <v>11</v>
      </c>
      <c r="I2339" s="3">
        <f t="shared" si="535"/>
        <v>45</v>
      </c>
      <c r="J2339" s="3">
        <f t="shared" si="536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37"/>
        <v>YES</v>
      </c>
      <c r="Q2339" t="str">
        <f t="shared" si="538"/>
        <v>NO</v>
      </c>
      <c r="R2339" t="str">
        <f t="shared" si="539"/>
        <v>NO</v>
      </c>
      <c r="S2339">
        <v>18</v>
      </c>
      <c r="T2339" t="s">
        <v>2820</v>
      </c>
      <c r="U2339" t="str">
        <f t="shared" si="526"/>
        <v>Hunting St</v>
      </c>
      <c r="W2339" t="str">
        <f t="shared" si="527"/>
        <v/>
      </c>
      <c r="X2339" t="str">
        <f>IF(ISBLANK(S2339),"Intersection","Non-Intersection")</f>
        <v>Non-Intersection</v>
      </c>
      <c r="Y2339" t="s">
        <v>3380</v>
      </c>
      <c r="Z2339" t="str">
        <f t="shared" si="528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29"/>
        <v>40544</v>
      </c>
      <c r="D2340" s="4">
        <f t="shared" si="530"/>
        <v>0.47945205479452052</v>
      </c>
      <c r="E2340" s="3">
        <f t="shared" si="531"/>
        <v>2011</v>
      </c>
      <c r="F2340" s="3">
        <f t="shared" si="532"/>
        <v>6</v>
      </c>
      <c r="G2340" s="3">
        <f t="shared" si="533"/>
        <v>25</v>
      </c>
      <c r="H2340" s="3">
        <f t="shared" si="534"/>
        <v>14</v>
      </c>
      <c r="I2340" s="3">
        <f t="shared" si="535"/>
        <v>26</v>
      </c>
      <c r="J2340" s="3">
        <f t="shared" si="536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37"/>
        <v>YES</v>
      </c>
      <c r="Q2340" t="str">
        <f t="shared" si="538"/>
        <v>NO</v>
      </c>
      <c r="R2340" t="str">
        <f t="shared" si="539"/>
        <v>NO</v>
      </c>
      <c r="T2340" t="s">
        <v>19</v>
      </c>
      <c r="U2340" t="str">
        <f t="shared" si="526"/>
        <v>Cambridge St</v>
      </c>
      <c r="V2340" t="s">
        <v>14</v>
      </c>
      <c r="W2340" t="str">
        <f t="shared" si="527"/>
        <v>Massachusetts Ave</v>
      </c>
      <c r="X2340" t="str">
        <f>IF(ISBLANK(S2340),"Intersection","Non-Intersection")</f>
        <v>Intersection</v>
      </c>
      <c r="Y2340" t="s">
        <v>945</v>
      </c>
      <c r="Z2340" t="str">
        <f t="shared" si="528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29"/>
        <v>40544</v>
      </c>
      <c r="D2341" s="4">
        <f t="shared" si="530"/>
        <v>0.47945205479452052</v>
      </c>
      <c r="E2341" s="3">
        <f t="shared" si="531"/>
        <v>2011</v>
      </c>
      <c r="F2341" s="3">
        <f t="shared" si="532"/>
        <v>6</v>
      </c>
      <c r="G2341" s="3">
        <f t="shared" si="533"/>
        <v>25</v>
      </c>
      <c r="H2341" s="3">
        <f t="shared" si="534"/>
        <v>18</v>
      </c>
      <c r="I2341" s="3">
        <f t="shared" si="535"/>
        <v>45</v>
      </c>
      <c r="J2341" s="3">
        <f t="shared" si="536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37"/>
        <v>YES</v>
      </c>
      <c r="Q2341" t="str">
        <f t="shared" si="538"/>
        <v>NO</v>
      </c>
      <c r="R2341" t="str">
        <f t="shared" si="539"/>
        <v>NO</v>
      </c>
      <c r="S2341">
        <v>1340</v>
      </c>
      <c r="T2341" t="s">
        <v>19</v>
      </c>
      <c r="U2341" t="str">
        <f t="shared" si="526"/>
        <v>Cambridge St</v>
      </c>
      <c r="W2341" t="str">
        <f t="shared" si="527"/>
        <v/>
      </c>
      <c r="X2341" t="str">
        <f>IF(ISBLANK(S2341),"Intersection","Non-Intersection")</f>
        <v>Non-Intersection</v>
      </c>
      <c r="Y2341" t="s">
        <v>3382</v>
      </c>
      <c r="Z2341" t="str">
        <f t="shared" si="528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29"/>
        <v>40544</v>
      </c>
      <c r="D2342" s="4">
        <f t="shared" si="530"/>
        <v>0.47945205479452052</v>
      </c>
      <c r="E2342" s="3">
        <f t="shared" si="531"/>
        <v>2011</v>
      </c>
      <c r="F2342" s="3">
        <f t="shared" si="532"/>
        <v>6</v>
      </c>
      <c r="G2342" s="3">
        <f t="shared" si="533"/>
        <v>25</v>
      </c>
      <c r="H2342" s="3">
        <f t="shared" si="534"/>
        <v>21</v>
      </c>
      <c r="I2342" s="3">
        <f t="shared" si="535"/>
        <v>0</v>
      </c>
      <c r="J2342" s="3">
        <f t="shared" si="536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37"/>
        <v>YES</v>
      </c>
      <c r="Q2342" t="str">
        <f t="shared" si="538"/>
        <v>NO</v>
      </c>
      <c r="R2342" t="str">
        <f t="shared" si="539"/>
        <v>NO</v>
      </c>
      <c r="T2342" t="s">
        <v>553</v>
      </c>
      <c r="U2342" t="str">
        <f t="shared" si="526"/>
        <v>Cameron Ave</v>
      </c>
      <c r="W2342" t="str">
        <f t="shared" si="527"/>
        <v/>
      </c>
      <c r="X2342" t="str">
        <f>IF(ISBLANK(S2342),"Intersection","Non-Intersection")</f>
        <v>Intersection</v>
      </c>
      <c r="Y2342" t="s">
        <v>3384</v>
      </c>
      <c r="Z2342" t="str">
        <f t="shared" si="528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29"/>
        <v>40544</v>
      </c>
      <c r="D2343" s="4">
        <f t="shared" si="530"/>
        <v>0.47945205479452052</v>
      </c>
      <c r="E2343" s="3">
        <f t="shared" si="531"/>
        <v>2011</v>
      </c>
      <c r="F2343" s="3">
        <f t="shared" si="532"/>
        <v>6</v>
      </c>
      <c r="G2343" s="3">
        <f t="shared" si="533"/>
        <v>25</v>
      </c>
      <c r="H2343" s="3">
        <f t="shared" si="534"/>
        <v>23</v>
      </c>
      <c r="I2343" s="3">
        <f t="shared" si="535"/>
        <v>0</v>
      </c>
      <c r="J2343" s="3">
        <f t="shared" si="536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37"/>
        <v>YES</v>
      </c>
      <c r="Q2343" t="str">
        <f t="shared" si="538"/>
        <v>NO</v>
      </c>
      <c r="R2343" t="str">
        <f t="shared" si="539"/>
        <v>NO</v>
      </c>
      <c r="S2343">
        <v>575</v>
      </c>
      <c r="T2343" t="s">
        <v>203</v>
      </c>
      <c r="U2343" t="str">
        <f t="shared" si="526"/>
        <v>Memorial Dr</v>
      </c>
      <c r="W2343" t="str">
        <f t="shared" si="527"/>
        <v/>
      </c>
      <c r="X2343" t="str">
        <f>IF(ISBLANK(S2343),"Intersection","Non-Intersection")</f>
        <v>Non-Intersection</v>
      </c>
      <c r="Y2343" t="s">
        <v>347</v>
      </c>
      <c r="Z2343" t="str">
        <f t="shared" si="528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29"/>
        <v>40544</v>
      </c>
      <c r="D2344" s="4">
        <f t="shared" si="530"/>
        <v>0.48219178082191783</v>
      </c>
      <c r="E2344" s="3">
        <f t="shared" si="531"/>
        <v>2011</v>
      </c>
      <c r="F2344" s="3">
        <f t="shared" si="532"/>
        <v>6</v>
      </c>
      <c r="G2344" s="3">
        <f t="shared" si="533"/>
        <v>26</v>
      </c>
      <c r="H2344" s="3">
        <f t="shared" si="534"/>
        <v>9</v>
      </c>
      <c r="I2344" s="3">
        <f t="shared" si="535"/>
        <v>30</v>
      </c>
      <c r="J2344" s="3">
        <f t="shared" si="536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37"/>
        <v>YES</v>
      </c>
      <c r="Q2344" t="str">
        <f t="shared" si="538"/>
        <v>NO</v>
      </c>
      <c r="R2344" t="str">
        <f t="shared" si="539"/>
        <v>NO</v>
      </c>
      <c r="S2344">
        <v>330</v>
      </c>
      <c r="T2344" t="s">
        <v>41</v>
      </c>
      <c r="U2344" t="str">
        <f t="shared" si="526"/>
        <v>River St</v>
      </c>
      <c r="W2344" t="str">
        <f t="shared" si="527"/>
        <v/>
      </c>
      <c r="X2344" t="str">
        <f>IF(ISBLANK(S2344),"Intersection","Non-Intersection")</f>
        <v>Non-Intersection</v>
      </c>
      <c r="Y2344" t="s">
        <v>1098</v>
      </c>
      <c r="Z2344" t="str">
        <f t="shared" si="528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29"/>
        <v>40544</v>
      </c>
      <c r="D2345" s="4">
        <f t="shared" si="530"/>
        <v>0.48493150684931507</v>
      </c>
      <c r="E2345" s="3">
        <f t="shared" si="531"/>
        <v>2011</v>
      </c>
      <c r="F2345" s="3">
        <f t="shared" si="532"/>
        <v>6</v>
      </c>
      <c r="G2345" s="3">
        <f t="shared" si="533"/>
        <v>27</v>
      </c>
      <c r="H2345" s="3">
        <f t="shared" si="534"/>
        <v>8</v>
      </c>
      <c r="I2345" s="3">
        <f t="shared" si="535"/>
        <v>0</v>
      </c>
      <c r="J2345" s="3">
        <f t="shared" si="536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37"/>
        <v>YES</v>
      </c>
      <c r="Q2345" t="str">
        <f t="shared" si="538"/>
        <v>NO</v>
      </c>
      <c r="R2345" t="str">
        <f t="shared" si="539"/>
        <v>NO</v>
      </c>
      <c r="T2345" t="s">
        <v>105</v>
      </c>
      <c r="U2345" t="str">
        <f t="shared" si="526"/>
        <v>Broadway</v>
      </c>
      <c r="V2345" t="s">
        <v>138</v>
      </c>
      <c r="W2345" t="str">
        <f t="shared" si="527"/>
        <v>Felton St</v>
      </c>
      <c r="X2345" t="str">
        <f>IF(ISBLANK(S2345),"Intersection","Non-Intersection")</f>
        <v>Intersection</v>
      </c>
      <c r="Y2345" t="s">
        <v>139</v>
      </c>
      <c r="Z2345" t="str">
        <f t="shared" si="528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29"/>
        <v>40544</v>
      </c>
      <c r="D2346" s="4">
        <f t="shared" si="530"/>
        <v>0.48493150684931507</v>
      </c>
      <c r="E2346" s="3">
        <f t="shared" si="531"/>
        <v>2011</v>
      </c>
      <c r="F2346" s="3">
        <f t="shared" si="532"/>
        <v>6</v>
      </c>
      <c r="G2346" s="3">
        <f t="shared" si="533"/>
        <v>27</v>
      </c>
      <c r="H2346" s="3">
        <f t="shared" si="534"/>
        <v>9</v>
      </c>
      <c r="I2346" s="3">
        <f t="shared" si="535"/>
        <v>30</v>
      </c>
      <c r="J2346" s="3">
        <f t="shared" si="536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37"/>
        <v>YES</v>
      </c>
      <c r="Q2346" t="str">
        <f t="shared" si="538"/>
        <v>NO</v>
      </c>
      <c r="R2346" t="str">
        <f t="shared" si="539"/>
        <v>NO</v>
      </c>
      <c r="S2346">
        <v>2427</v>
      </c>
      <c r="T2346" t="s">
        <v>14</v>
      </c>
      <c r="U2346" t="str">
        <f t="shared" si="526"/>
        <v>Massachusetts Ave</v>
      </c>
      <c r="W2346" t="str">
        <f t="shared" si="527"/>
        <v/>
      </c>
      <c r="X2346" t="str">
        <f>IF(ISBLANK(S2346),"Intersection","Non-Intersection")</f>
        <v>Non-Intersection</v>
      </c>
      <c r="Y2346" t="s">
        <v>3387</v>
      </c>
      <c r="Z2346" t="str">
        <f t="shared" si="528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29"/>
        <v>40544</v>
      </c>
      <c r="D2347" s="4">
        <f t="shared" si="530"/>
        <v>0.48493150684931507</v>
      </c>
      <c r="E2347" s="3">
        <f t="shared" si="531"/>
        <v>2011</v>
      </c>
      <c r="F2347" s="3">
        <f t="shared" si="532"/>
        <v>6</v>
      </c>
      <c r="G2347" s="3">
        <f t="shared" si="533"/>
        <v>27</v>
      </c>
      <c r="H2347" s="3">
        <f t="shared" si="534"/>
        <v>11</v>
      </c>
      <c r="I2347" s="3">
        <f t="shared" si="535"/>
        <v>52</v>
      </c>
      <c r="J2347" s="3">
        <f t="shared" si="536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37"/>
        <v>YES</v>
      </c>
      <c r="Q2347" t="str">
        <f t="shared" si="538"/>
        <v>YES</v>
      </c>
      <c r="R2347" t="str">
        <f t="shared" si="539"/>
        <v>NO</v>
      </c>
      <c r="T2347" t="s">
        <v>14</v>
      </c>
      <c r="U2347" t="str">
        <f t="shared" si="526"/>
        <v>Massachusetts Ave</v>
      </c>
      <c r="V2347" t="s">
        <v>315</v>
      </c>
      <c r="W2347" t="str">
        <f t="shared" si="527"/>
        <v>Essex St</v>
      </c>
      <c r="X2347" t="str">
        <f>IF(ISBLANK(S2347),"Intersection","Non-Intersection")</f>
        <v>Intersection</v>
      </c>
      <c r="Y2347" t="s">
        <v>1383</v>
      </c>
      <c r="Z2347" t="str">
        <f t="shared" si="528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29"/>
        <v>40544</v>
      </c>
      <c r="D2348" s="4">
        <f t="shared" si="530"/>
        <v>0.48493150684931507</v>
      </c>
      <c r="E2348" s="3">
        <f t="shared" si="531"/>
        <v>2011</v>
      </c>
      <c r="F2348" s="3">
        <f t="shared" si="532"/>
        <v>6</v>
      </c>
      <c r="G2348" s="3">
        <f t="shared" si="533"/>
        <v>27</v>
      </c>
      <c r="H2348" s="3">
        <f t="shared" si="534"/>
        <v>14</v>
      </c>
      <c r="I2348" s="3">
        <f t="shared" si="535"/>
        <v>6</v>
      </c>
      <c r="J2348" s="3">
        <f t="shared" si="536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37"/>
        <v>YES</v>
      </c>
      <c r="Q2348" t="str">
        <f t="shared" si="538"/>
        <v>NO</v>
      </c>
      <c r="R2348" t="str">
        <f t="shared" si="539"/>
        <v>NO</v>
      </c>
      <c r="T2348" t="s">
        <v>316</v>
      </c>
      <c r="U2348" t="str">
        <f t="shared" si="526"/>
        <v>Bishop Allen Dr</v>
      </c>
      <c r="V2348" t="s">
        <v>101</v>
      </c>
      <c r="W2348" t="str">
        <f t="shared" si="527"/>
        <v>Columbia St</v>
      </c>
      <c r="X2348" t="str">
        <f>IF(ISBLANK(S2348),"Intersection","Non-Intersection")</f>
        <v>Intersection</v>
      </c>
      <c r="Y2348" t="s">
        <v>688</v>
      </c>
      <c r="Z2348" t="str">
        <f t="shared" si="528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29"/>
        <v>40544</v>
      </c>
      <c r="D2349" s="4">
        <f t="shared" si="530"/>
        <v>0.48493150684931507</v>
      </c>
      <c r="E2349" s="3">
        <f t="shared" si="531"/>
        <v>2011</v>
      </c>
      <c r="F2349" s="3">
        <f t="shared" si="532"/>
        <v>6</v>
      </c>
      <c r="G2349" s="3">
        <f t="shared" si="533"/>
        <v>27</v>
      </c>
      <c r="H2349" s="3">
        <f t="shared" si="534"/>
        <v>19</v>
      </c>
      <c r="I2349" s="3">
        <f t="shared" si="535"/>
        <v>30</v>
      </c>
      <c r="J2349" s="3">
        <f t="shared" si="536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37"/>
        <v>YES</v>
      </c>
      <c r="Q2349" t="str">
        <f t="shared" si="538"/>
        <v>NO</v>
      </c>
      <c r="R2349" t="str">
        <f t="shared" si="539"/>
        <v>NO</v>
      </c>
      <c r="S2349">
        <v>173</v>
      </c>
      <c r="T2349" t="s">
        <v>15</v>
      </c>
      <c r="U2349" t="str">
        <f t="shared" si="526"/>
        <v>Rindge Ave</v>
      </c>
      <c r="W2349" t="str">
        <f t="shared" si="527"/>
        <v/>
      </c>
      <c r="X2349" t="str">
        <f>IF(ISBLANK(S2349),"Intersection","Non-Intersection")</f>
        <v>Non-Intersection</v>
      </c>
      <c r="Y2349" t="s">
        <v>3303</v>
      </c>
      <c r="Z2349" t="str">
        <f t="shared" si="528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29"/>
        <v>40544</v>
      </c>
      <c r="D2350" s="4">
        <f t="shared" si="530"/>
        <v>0.48493150684931507</v>
      </c>
      <c r="E2350" s="3">
        <f t="shared" si="531"/>
        <v>2011</v>
      </c>
      <c r="F2350" s="3">
        <f t="shared" si="532"/>
        <v>6</v>
      </c>
      <c r="G2350" s="3">
        <f t="shared" si="533"/>
        <v>27</v>
      </c>
      <c r="H2350" s="3">
        <f t="shared" si="534"/>
        <v>21</v>
      </c>
      <c r="I2350" s="3">
        <f t="shared" si="535"/>
        <v>45</v>
      </c>
      <c r="J2350" s="3">
        <f t="shared" si="536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37"/>
        <v>YES</v>
      </c>
      <c r="Q2350" t="str">
        <f t="shared" si="538"/>
        <v>NO</v>
      </c>
      <c r="R2350" t="str">
        <f t="shared" si="539"/>
        <v>NO</v>
      </c>
      <c r="S2350">
        <v>58</v>
      </c>
      <c r="T2350" t="s">
        <v>185</v>
      </c>
      <c r="U2350" t="str">
        <f t="shared" si="526"/>
        <v>Garden St</v>
      </c>
      <c r="W2350" t="str">
        <f t="shared" si="527"/>
        <v/>
      </c>
      <c r="X2350" t="str">
        <f>IF(ISBLANK(S2350),"Intersection","Non-Intersection")</f>
        <v>Non-Intersection</v>
      </c>
      <c r="Y2350" t="s">
        <v>3389</v>
      </c>
      <c r="Z2350" t="str">
        <f t="shared" si="528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29"/>
        <v>40544</v>
      </c>
      <c r="D2351" s="4">
        <f t="shared" si="530"/>
        <v>0.48493150684931507</v>
      </c>
      <c r="E2351" s="3">
        <f t="shared" si="531"/>
        <v>2011</v>
      </c>
      <c r="F2351" s="3">
        <f t="shared" si="532"/>
        <v>6</v>
      </c>
      <c r="G2351" s="3">
        <f t="shared" si="533"/>
        <v>27</v>
      </c>
      <c r="H2351" s="3">
        <f t="shared" si="534"/>
        <v>12</v>
      </c>
      <c r="I2351" s="3">
        <f t="shared" si="535"/>
        <v>0</v>
      </c>
      <c r="J2351" s="3">
        <f t="shared" si="536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37"/>
        <v>YES</v>
      </c>
      <c r="Q2351" t="str">
        <f t="shared" si="538"/>
        <v>YES</v>
      </c>
      <c r="R2351" t="str">
        <f t="shared" si="539"/>
        <v>NO</v>
      </c>
      <c r="T2351" t="s">
        <v>185</v>
      </c>
      <c r="U2351" t="str">
        <f t="shared" si="526"/>
        <v>Garden St</v>
      </c>
      <c r="V2351" t="s">
        <v>296</v>
      </c>
      <c r="W2351" t="str">
        <f t="shared" si="527"/>
        <v>Mason St</v>
      </c>
      <c r="X2351" t="str">
        <f>IF(ISBLANK(S2351),"Intersection","Non-Intersection")</f>
        <v>Intersection</v>
      </c>
      <c r="Y2351" t="s">
        <v>594</v>
      </c>
      <c r="Z2351" t="str">
        <f t="shared" si="528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29"/>
        <v>40544</v>
      </c>
      <c r="D2352" s="4">
        <f t="shared" si="530"/>
        <v>0.48767123287671232</v>
      </c>
      <c r="E2352" s="3">
        <f t="shared" si="531"/>
        <v>2011</v>
      </c>
      <c r="F2352" s="3">
        <f t="shared" si="532"/>
        <v>6</v>
      </c>
      <c r="G2352" s="3">
        <f t="shared" si="533"/>
        <v>28</v>
      </c>
      <c r="H2352" s="3">
        <f t="shared" si="534"/>
        <v>8</v>
      </c>
      <c r="I2352" s="3">
        <f t="shared" si="535"/>
        <v>10</v>
      </c>
      <c r="J2352" s="3">
        <f t="shared" si="536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37"/>
        <v>YES</v>
      </c>
      <c r="Q2352" t="str">
        <f t="shared" si="538"/>
        <v>NO</v>
      </c>
      <c r="R2352" t="str">
        <f t="shared" si="539"/>
        <v>NO</v>
      </c>
      <c r="T2352" t="s">
        <v>189</v>
      </c>
      <c r="U2352" t="str">
        <f t="shared" si="526"/>
        <v>Windsor St</v>
      </c>
      <c r="V2352" t="s">
        <v>32</v>
      </c>
      <c r="W2352" t="str">
        <f t="shared" si="527"/>
        <v>Main St</v>
      </c>
      <c r="X2352" t="str">
        <f>IF(ISBLANK(S2352),"Intersection","Non-Intersection")</f>
        <v>Intersection</v>
      </c>
      <c r="Y2352" t="s">
        <v>3338</v>
      </c>
      <c r="Z2352" t="str">
        <f t="shared" si="528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29"/>
        <v>40544</v>
      </c>
      <c r="D2353" s="4">
        <f t="shared" si="530"/>
        <v>0.49041095890410957</v>
      </c>
      <c r="E2353" s="3">
        <f t="shared" si="531"/>
        <v>2011</v>
      </c>
      <c r="F2353" s="3">
        <f t="shared" si="532"/>
        <v>6</v>
      </c>
      <c r="G2353" s="3">
        <f t="shared" si="533"/>
        <v>29</v>
      </c>
      <c r="H2353" s="3">
        <f t="shared" si="534"/>
        <v>9</v>
      </c>
      <c r="I2353" s="3">
        <f t="shared" si="535"/>
        <v>26</v>
      </c>
      <c r="J2353" s="3">
        <f t="shared" si="536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37"/>
        <v>YES</v>
      </c>
      <c r="Q2353" t="str">
        <f t="shared" si="538"/>
        <v>NO</v>
      </c>
      <c r="R2353" t="str">
        <f t="shared" si="539"/>
        <v>NO</v>
      </c>
      <c r="T2353" t="s">
        <v>556</v>
      </c>
      <c r="U2353" t="str">
        <f t="shared" si="526"/>
        <v>Bent St</v>
      </c>
      <c r="V2353" t="s">
        <v>760</v>
      </c>
      <c r="W2353" t="str">
        <f t="shared" si="527"/>
        <v>Fulkerson St</v>
      </c>
      <c r="X2353" t="str">
        <f>IF(ISBLANK(S2353),"Intersection","Non-Intersection")</f>
        <v>Intersection</v>
      </c>
      <c r="Y2353" t="s">
        <v>3391</v>
      </c>
      <c r="Z2353" t="str">
        <f t="shared" si="528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29"/>
        <v>40544</v>
      </c>
      <c r="D2354" s="4">
        <f t="shared" si="530"/>
        <v>0.49041095890410957</v>
      </c>
      <c r="E2354" s="3">
        <f t="shared" si="531"/>
        <v>2011</v>
      </c>
      <c r="F2354" s="3">
        <f t="shared" si="532"/>
        <v>6</v>
      </c>
      <c r="G2354" s="3">
        <f t="shared" si="533"/>
        <v>29</v>
      </c>
      <c r="H2354" s="3">
        <f t="shared" si="534"/>
        <v>8</v>
      </c>
      <c r="I2354" s="3">
        <f t="shared" si="535"/>
        <v>29</v>
      </c>
      <c r="J2354" s="3">
        <f t="shared" si="536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37"/>
        <v>YES</v>
      </c>
      <c r="Q2354" t="str">
        <f t="shared" si="538"/>
        <v>NO</v>
      </c>
      <c r="R2354" t="str">
        <f t="shared" si="539"/>
        <v>NO</v>
      </c>
      <c r="T2354" t="s">
        <v>380</v>
      </c>
      <c r="U2354" t="str">
        <f t="shared" si="526"/>
        <v>Charles St</v>
      </c>
      <c r="V2354" t="s">
        <v>379</v>
      </c>
      <c r="W2354" t="str">
        <f t="shared" si="527"/>
        <v>Second St</v>
      </c>
      <c r="X2354" t="str">
        <f>IF(ISBLANK(S2354),"Intersection","Non-Intersection")</f>
        <v>Intersection</v>
      </c>
      <c r="Y2354" t="s">
        <v>3393</v>
      </c>
      <c r="Z2354" t="str">
        <f t="shared" si="528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29"/>
        <v>40544</v>
      </c>
      <c r="D2355" s="4">
        <f t="shared" si="530"/>
        <v>0.49041095890410957</v>
      </c>
      <c r="E2355" s="3">
        <f t="shared" si="531"/>
        <v>2011</v>
      </c>
      <c r="F2355" s="3">
        <f t="shared" si="532"/>
        <v>6</v>
      </c>
      <c r="G2355" s="3">
        <f t="shared" si="533"/>
        <v>29</v>
      </c>
      <c r="H2355" s="3">
        <f t="shared" si="534"/>
        <v>18</v>
      </c>
      <c r="I2355" s="3">
        <f t="shared" si="535"/>
        <v>14</v>
      </c>
      <c r="J2355" s="3">
        <f t="shared" si="536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37"/>
        <v>YES</v>
      </c>
      <c r="Q2355" t="str">
        <f t="shared" si="538"/>
        <v>NO</v>
      </c>
      <c r="R2355" t="str">
        <f t="shared" si="539"/>
        <v>NO</v>
      </c>
      <c r="T2355" t="s">
        <v>101</v>
      </c>
      <c r="U2355" t="str">
        <f t="shared" si="526"/>
        <v>Columbia St</v>
      </c>
      <c r="V2355" t="s">
        <v>3394</v>
      </c>
      <c r="W2355" t="str">
        <f t="shared" si="527"/>
        <v>Columbia Ter</v>
      </c>
      <c r="X2355" t="str">
        <f>IF(ISBLANK(S2355),"Intersection","Non-Intersection")</f>
        <v>Intersection</v>
      </c>
      <c r="Y2355" t="s">
        <v>3395</v>
      </c>
      <c r="Z2355" t="str">
        <f t="shared" si="528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29"/>
        <v>40544</v>
      </c>
      <c r="D2356" s="4">
        <f t="shared" si="530"/>
        <v>0.49315068493150682</v>
      </c>
      <c r="E2356" s="3">
        <f t="shared" si="531"/>
        <v>2011</v>
      </c>
      <c r="F2356" s="3">
        <f t="shared" si="532"/>
        <v>6</v>
      </c>
      <c r="G2356" s="3">
        <f t="shared" si="533"/>
        <v>30</v>
      </c>
      <c r="H2356" s="3">
        <f t="shared" si="534"/>
        <v>18</v>
      </c>
      <c r="I2356" s="3">
        <f t="shared" si="535"/>
        <v>15</v>
      </c>
      <c r="J2356" s="3">
        <f t="shared" si="536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37"/>
        <v>YES</v>
      </c>
      <c r="Q2356" t="str">
        <f t="shared" si="538"/>
        <v>YES</v>
      </c>
      <c r="R2356" t="str">
        <f t="shared" si="539"/>
        <v>NO</v>
      </c>
      <c r="T2356" t="s">
        <v>133</v>
      </c>
      <c r="U2356" t="str">
        <f t="shared" si="526"/>
        <v>Harvard St</v>
      </c>
      <c r="V2356" t="s">
        <v>1597</v>
      </c>
      <c r="W2356" t="str">
        <f t="shared" si="527"/>
        <v>Crawford St</v>
      </c>
      <c r="X2356" t="str">
        <f>IF(ISBLANK(S2356),"Intersection","Non-Intersection")</f>
        <v>Intersection</v>
      </c>
      <c r="Y2356" t="s">
        <v>3397</v>
      </c>
      <c r="Z2356" t="str">
        <f t="shared" si="528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29"/>
        <v>40544</v>
      </c>
      <c r="D2357" s="4">
        <f t="shared" si="530"/>
        <v>0.49589041095890413</v>
      </c>
      <c r="E2357" s="3">
        <f t="shared" si="531"/>
        <v>2011</v>
      </c>
      <c r="F2357" s="3">
        <f t="shared" si="532"/>
        <v>7</v>
      </c>
      <c r="G2357" s="3">
        <f t="shared" si="533"/>
        <v>1</v>
      </c>
      <c r="H2357" s="3">
        <f t="shared" si="534"/>
        <v>11</v>
      </c>
      <c r="I2357" s="3">
        <f t="shared" si="535"/>
        <v>19</v>
      </c>
      <c r="J2357" s="3">
        <f t="shared" si="536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37"/>
        <v>YES</v>
      </c>
      <c r="Q2357" t="str">
        <f t="shared" si="538"/>
        <v>NO</v>
      </c>
      <c r="R2357" t="str">
        <f t="shared" si="539"/>
        <v>NO</v>
      </c>
      <c r="T2357" t="s">
        <v>105</v>
      </c>
      <c r="U2357" t="str">
        <f t="shared" si="526"/>
        <v>Broadway</v>
      </c>
      <c r="V2357" t="s">
        <v>288</v>
      </c>
      <c r="W2357" t="str">
        <f t="shared" si="527"/>
        <v>Galileo Galilei Way</v>
      </c>
      <c r="X2357" t="str">
        <f>IF(ISBLANK(S2357),"Intersection","Non-Intersection")</f>
        <v>Intersection</v>
      </c>
      <c r="Y2357" t="s">
        <v>289</v>
      </c>
      <c r="Z2357" t="str">
        <f t="shared" si="528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29"/>
        <v>40544</v>
      </c>
      <c r="D2358" s="4">
        <f t="shared" si="530"/>
        <v>0.49589041095890413</v>
      </c>
      <c r="E2358" s="3">
        <f t="shared" si="531"/>
        <v>2011</v>
      </c>
      <c r="F2358" s="3">
        <f t="shared" si="532"/>
        <v>7</v>
      </c>
      <c r="G2358" s="3">
        <f t="shared" si="533"/>
        <v>1</v>
      </c>
      <c r="H2358" s="3">
        <f t="shared" si="534"/>
        <v>9</v>
      </c>
      <c r="I2358" s="3">
        <f t="shared" si="535"/>
        <v>59</v>
      </c>
      <c r="J2358" s="3">
        <f t="shared" si="536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37"/>
        <v>YES</v>
      </c>
      <c r="Q2358" t="str">
        <f t="shared" si="538"/>
        <v>NO</v>
      </c>
      <c r="R2358" t="str">
        <f t="shared" si="539"/>
        <v>NO</v>
      </c>
      <c r="S2358">
        <v>250</v>
      </c>
      <c r="T2358" t="s">
        <v>53</v>
      </c>
      <c r="U2358" t="str">
        <f t="shared" si="526"/>
        <v>Monsignor Obrien Hwy</v>
      </c>
      <c r="W2358" t="str">
        <f t="shared" si="527"/>
        <v/>
      </c>
      <c r="X2358" t="str">
        <f>IF(ISBLANK(S2358),"Intersection","Non-Intersection")</f>
        <v>Non-Intersection</v>
      </c>
      <c r="Y2358" t="s">
        <v>1515</v>
      </c>
      <c r="Z2358" t="str">
        <f t="shared" si="528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29"/>
        <v>40544</v>
      </c>
      <c r="D2359" s="4">
        <f t="shared" si="530"/>
        <v>0.49589041095890413</v>
      </c>
      <c r="E2359" s="3">
        <f t="shared" si="531"/>
        <v>2011</v>
      </c>
      <c r="F2359" s="3">
        <f t="shared" si="532"/>
        <v>7</v>
      </c>
      <c r="G2359" s="3">
        <f t="shared" si="533"/>
        <v>1</v>
      </c>
      <c r="H2359" s="3">
        <f t="shared" si="534"/>
        <v>13</v>
      </c>
      <c r="I2359" s="3">
        <f t="shared" si="535"/>
        <v>30</v>
      </c>
      <c r="J2359" s="3">
        <f t="shared" si="536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37"/>
        <v>YES</v>
      </c>
      <c r="Q2359" t="str">
        <f t="shared" si="538"/>
        <v>NO</v>
      </c>
      <c r="R2359" t="str">
        <f t="shared" si="539"/>
        <v>NO</v>
      </c>
      <c r="S2359">
        <v>41</v>
      </c>
      <c r="T2359" t="s">
        <v>840</v>
      </c>
      <c r="U2359" t="str">
        <f t="shared" si="526"/>
        <v>Church St</v>
      </c>
      <c r="W2359" t="str">
        <f t="shared" si="527"/>
        <v/>
      </c>
      <c r="X2359" t="str">
        <f>IF(ISBLANK(S2359),"Intersection","Non-Intersection")</f>
        <v>Non-Intersection</v>
      </c>
      <c r="Y2359" t="s">
        <v>1180</v>
      </c>
      <c r="Z2359" t="str">
        <f t="shared" si="528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29"/>
        <v>40544</v>
      </c>
      <c r="D2360" s="4">
        <f t="shared" si="530"/>
        <v>0.49589041095890413</v>
      </c>
      <c r="E2360" s="3">
        <f t="shared" si="531"/>
        <v>2011</v>
      </c>
      <c r="F2360" s="3">
        <f t="shared" si="532"/>
        <v>7</v>
      </c>
      <c r="G2360" s="3">
        <f t="shared" si="533"/>
        <v>1</v>
      </c>
      <c r="H2360" s="3">
        <f t="shared" si="534"/>
        <v>16</v>
      </c>
      <c r="I2360" s="3">
        <f t="shared" si="535"/>
        <v>40</v>
      </c>
      <c r="J2360" s="3">
        <f t="shared" si="536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37"/>
        <v>YES</v>
      </c>
      <c r="Q2360" t="str">
        <f t="shared" si="538"/>
        <v>YES</v>
      </c>
      <c r="R2360" t="str">
        <f t="shared" si="539"/>
        <v>NO</v>
      </c>
      <c r="T2360" t="s">
        <v>498</v>
      </c>
      <c r="U2360" t="str">
        <f t="shared" si="526"/>
        <v>Ellery St</v>
      </c>
      <c r="V2360" t="s">
        <v>105</v>
      </c>
      <c r="W2360" t="str">
        <f t="shared" si="527"/>
        <v>Broadway</v>
      </c>
      <c r="X2360" t="str">
        <f>IF(ISBLANK(S2360),"Intersection","Non-Intersection")</f>
        <v>Intersection</v>
      </c>
      <c r="Y2360" t="s">
        <v>3398</v>
      </c>
      <c r="Z2360" t="str">
        <f t="shared" si="528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29"/>
        <v>40544</v>
      </c>
      <c r="D2361" s="4">
        <f t="shared" si="530"/>
        <v>0.49589041095890413</v>
      </c>
      <c r="E2361" s="3">
        <f t="shared" si="531"/>
        <v>2011</v>
      </c>
      <c r="F2361" s="3">
        <f t="shared" si="532"/>
        <v>7</v>
      </c>
      <c r="G2361" s="3">
        <f t="shared" si="533"/>
        <v>1</v>
      </c>
      <c r="H2361" s="3">
        <f t="shared" si="534"/>
        <v>22</v>
      </c>
      <c r="I2361" s="3">
        <f t="shared" si="535"/>
        <v>44</v>
      </c>
      <c r="J2361" s="3">
        <f t="shared" si="536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37"/>
        <v>YES</v>
      </c>
      <c r="Q2361" t="str">
        <f t="shared" si="538"/>
        <v>NO</v>
      </c>
      <c r="R2361" t="str">
        <f t="shared" si="539"/>
        <v>NO</v>
      </c>
      <c r="S2361">
        <v>2055</v>
      </c>
      <c r="T2361" t="s">
        <v>14</v>
      </c>
      <c r="U2361" t="str">
        <f t="shared" si="526"/>
        <v>Massachusetts Ave</v>
      </c>
      <c r="W2361" t="str">
        <f t="shared" si="527"/>
        <v/>
      </c>
      <c r="X2361" t="str">
        <f>IF(ISBLANK(S2361),"Intersection","Non-Intersection")</f>
        <v>Non-Intersection</v>
      </c>
      <c r="Y2361" t="s">
        <v>3399</v>
      </c>
      <c r="Z2361" t="str">
        <f t="shared" si="528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29"/>
        <v>40544</v>
      </c>
      <c r="D2362" s="4">
        <f t="shared" si="530"/>
        <v>0.49589041095890413</v>
      </c>
      <c r="E2362" s="3">
        <f t="shared" si="531"/>
        <v>2011</v>
      </c>
      <c r="F2362" s="3">
        <f t="shared" si="532"/>
        <v>7</v>
      </c>
      <c r="G2362" s="3">
        <f t="shared" si="533"/>
        <v>1</v>
      </c>
      <c r="H2362" s="3">
        <f t="shared" si="534"/>
        <v>18</v>
      </c>
      <c r="I2362" s="3">
        <f t="shared" si="535"/>
        <v>11</v>
      </c>
      <c r="J2362" s="3">
        <f t="shared" si="536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37"/>
        <v>YES</v>
      </c>
      <c r="Q2362" t="str">
        <f t="shared" si="538"/>
        <v>NO</v>
      </c>
      <c r="R2362" t="str">
        <f t="shared" si="539"/>
        <v>NO</v>
      </c>
      <c r="T2362" t="s">
        <v>60</v>
      </c>
      <c r="U2362" t="str">
        <f t="shared" si="526"/>
        <v>Rogers St</v>
      </c>
      <c r="V2362" t="s">
        <v>993</v>
      </c>
      <c r="W2362" t="str">
        <f t="shared" si="527"/>
        <v>Fifth St</v>
      </c>
      <c r="X2362" t="str">
        <f>IF(ISBLANK(S2362),"Intersection","Non-Intersection")</f>
        <v>Intersection</v>
      </c>
      <c r="Y2362" t="s">
        <v>3401</v>
      </c>
      <c r="Z2362" t="str">
        <f t="shared" si="528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29"/>
        <v>40544</v>
      </c>
      <c r="D2363" s="4">
        <f t="shared" si="530"/>
        <v>0.49589041095890413</v>
      </c>
      <c r="E2363" s="3">
        <f t="shared" si="531"/>
        <v>2011</v>
      </c>
      <c r="F2363" s="3">
        <f t="shared" si="532"/>
        <v>7</v>
      </c>
      <c r="G2363" s="3">
        <f t="shared" si="533"/>
        <v>1</v>
      </c>
      <c r="H2363" s="3">
        <f t="shared" si="534"/>
        <v>18</v>
      </c>
      <c r="I2363" s="3">
        <f t="shared" si="535"/>
        <v>10</v>
      </c>
      <c r="J2363" s="3">
        <f t="shared" si="536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37"/>
        <v>YES</v>
      </c>
      <c r="Q2363" t="str">
        <f t="shared" si="538"/>
        <v>NO</v>
      </c>
      <c r="R2363" t="str">
        <f t="shared" si="539"/>
        <v>NO</v>
      </c>
      <c r="T2363" t="s">
        <v>60</v>
      </c>
      <c r="U2363" t="str">
        <f t="shared" si="526"/>
        <v>Rogers St</v>
      </c>
      <c r="V2363" t="s">
        <v>993</v>
      </c>
      <c r="W2363" t="str">
        <f t="shared" si="527"/>
        <v>Fifth St</v>
      </c>
      <c r="X2363" t="str">
        <f>IF(ISBLANK(S2363),"Intersection","Non-Intersection")</f>
        <v>Intersection</v>
      </c>
      <c r="Y2363" t="s">
        <v>3401</v>
      </c>
      <c r="Z2363" t="str">
        <f t="shared" si="528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29"/>
        <v>40544</v>
      </c>
      <c r="D2364" s="4">
        <f t="shared" si="530"/>
        <v>0.49589041095890413</v>
      </c>
      <c r="E2364" s="3">
        <f t="shared" si="531"/>
        <v>2011</v>
      </c>
      <c r="F2364" s="3">
        <f t="shared" si="532"/>
        <v>7</v>
      </c>
      <c r="G2364" s="3">
        <f t="shared" si="533"/>
        <v>1</v>
      </c>
      <c r="H2364" s="3">
        <f t="shared" si="534"/>
        <v>8</v>
      </c>
      <c r="I2364" s="3">
        <f t="shared" si="535"/>
        <v>0</v>
      </c>
      <c r="J2364" s="3">
        <f t="shared" si="536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37"/>
        <v>YES</v>
      </c>
      <c r="Q2364" t="str">
        <f t="shared" si="538"/>
        <v>NO</v>
      </c>
      <c r="R2364" t="str">
        <f t="shared" si="539"/>
        <v>NO</v>
      </c>
      <c r="S2364">
        <v>122</v>
      </c>
      <c r="T2364" t="s">
        <v>745</v>
      </c>
      <c r="U2364" t="str">
        <f t="shared" si="526"/>
        <v>Norfolk St</v>
      </c>
      <c r="W2364" t="str">
        <f t="shared" si="527"/>
        <v/>
      </c>
      <c r="X2364" t="str">
        <f>IF(ISBLANK(S2364),"Intersection","Non-Intersection")</f>
        <v>Non-Intersection</v>
      </c>
      <c r="Y2364" t="s">
        <v>3402</v>
      </c>
      <c r="Z2364" t="str">
        <f t="shared" si="528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29"/>
        <v>40544</v>
      </c>
      <c r="D2365" s="4">
        <f t="shared" si="530"/>
        <v>0.49863013698630138</v>
      </c>
      <c r="E2365" s="3">
        <f t="shared" si="531"/>
        <v>2011</v>
      </c>
      <c r="F2365" s="3">
        <f t="shared" si="532"/>
        <v>7</v>
      </c>
      <c r="G2365" s="3">
        <f t="shared" si="533"/>
        <v>2</v>
      </c>
      <c r="H2365" s="3">
        <f t="shared" si="534"/>
        <v>15</v>
      </c>
      <c r="I2365" s="3">
        <f t="shared" si="535"/>
        <v>59</v>
      </c>
      <c r="J2365" s="3">
        <f t="shared" si="536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37"/>
        <v>YES</v>
      </c>
      <c r="Q2365" t="str">
        <f t="shared" si="538"/>
        <v>YES</v>
      </c>
      <c r="R2365" t="str">
        <f t="shared" si="539"/>
        <v>NO</v>
      </c>
      <c r="T2365" t="s">
        <v>32</v>
      </c>
      <c r="U2365" t="str">
        <f t="shared" si="526"/>
        <v>Main St</v>
      </c>
      <c r="V2365" t="s">
        <v>189</v>
      </c>
      <c r="W2365" t="str">
        <f t="shared" si="527"/>
        <v>Windsor St</v>
      </c>
      <c r="X2365" t="str">
        <f>IF(ISBLANK(S2365),"Intersection","Non-Intersection")</f>
        <v>Intersection</v>
      </c>
      <c r="Y2365" t="s">
        <v>1737</v>
      </c>
      <c r="Z2365" t="str">
        <f t="shared" si="528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29"/>
        <v>40544</v>
      </c>
      <c r="D2366" s="4">
        <f t="shared" si="530"/>
        <v>0.49863013698630138</v>
      </c>
      <c r="E2366" s="3">
        <f t="shared" si="531"/>
        <v>2011</v>
      </c>
      <c r="F2366" s="3">
        <f t="shared" si="532"/>
        <v>7</v>
      </c>
      <c r="G2366" s="3">
        <f t="shared" si="533"/>
        <v>2</v>
      </c>
      <c r="H2366" s="3">
        <f t="shared" si="534"/>
        <v>14</v>
      </c>
      <c r="I2366" s="3">
        <f t="shared" si="535"/>
        <v>13</v>
      </c>
      <c r="J2366" s="3">
        <f t="shared" si="536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37"/>
        <v>YES</v>
      </c>
      <c r="Q2366" t="str">
        <f t="shared" si="538"/>
        <v>NO</v>
      </c>
      <c r="R2366" t="str">
        <f t="shared" si="539"/>
        <v>NO</v>
      </c>
      <c r="S2366">
        <v>269</v>
      </c>
      <c r="T2366" t="s">
        <v>453</v>
      </c>
      <c r="U2366" t="str">
        <f t="shared" si="526"/>
        <v>Brookline St</v>
      </c>
      <c r="W2366" t="str">
        <f t="shared" si="527"/>
        <v/>
      </c>
      <c r="X2366" t="str">
        <f>IF(ISBLANK(S2366),"Intersection","Non-Intersection")</f>
        <v>Non-Intersection</v>
      </c>
      <c r="Y2366" t="s">
        <v>3404</v>
      </c>
      <c r="Z2366" t="str">
        <f t="shared" si="528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29"/>
        <v>40544</v>
      </c>
      <c r="D2367" s="4">
        <f t="shared" si="530"/>
        <v>0.50136986301369868</v>
      </c>
      <c r="E2367" s="3">
        <f t="shared" si="531"/>
        <v>2011</v>
      </c>
      <c r="F2367" s="3">
        <f t="shared" si="532"/>
        <v>7</v>
      </c>
      <c r="G2367" s="3">
        <f t="shared" si="533"/>
        <v>3</v>
      </c>
      <c r="H2367" s="3">
        <f t="shared" si="534"/>
        <v>3</v>
      </c>
      <c r="I2367" s="3">
        <f t="shared" si="535"/>
        <v>0</v>
      </c>
      <c r="J2367" s="3">
        <f t="shared" si="536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37"/>
        <v>YES</v>
      </c>
      <c r="Q2367" t="str">
        <f t="shared" si="538"/>
        <v>NO</v>
      </c>
      <c r="R2367" t="str">
        <f t="shared" si="539"/>
        <v>NO</v>
      </c>
      <c r="T2367" t="s">
        <v>19</v>
      </c>
      <c r="U2367" t="str">
        <f t="shared" si="526"/>
        <v>Cambridge St</v>
      </c>
      <c r="V2367" t="s">
        <v>138</v>
      </c>
      <c r="W2367" t="str">
        <f t="shared" si="527"/>
        <v>Felton St</v>
      </c>
      <c r="X2367" t="str">
        <f>IF(ISBLANK(S2367),"Intersection","Non-Intersection")</f>
        <v>Intersection</v>
      </c>
      <c r="Y2367" t="s">
        <v>3406</v>
      </c>
      <c r="Z2367" t="str">
        <f t="shared" si="528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29"/>
        <v>40544</v>
      </c>
      <c r="D2368" s="4">
        <f t="shared" si="530"/>
        <v>0.50136986301369868</v>
      </c>
      <c r="E2368" s="3">
        <f t="shared" si="531"/>
        <v>2011</v>
      </c>
      <c r="F2368" s="3">
        <f t="shared" si="532"/>
        <v>7</v>
      </c>
      <c r="G2368" s="3">
        <f t="shared" si="533"/>
        <v>3</v>
      </c>
      <c r="H2368" s="3">
        <f t="shared" si="534"/>
        <v>12</v>
      </c>
      <c r="I2368" s="3">
        <f t="shared" si="535"/>
        <v>49</v>
      </c>
      <c r="J2368" s="3">
        <f t="shared" si="536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37"/>
        <v>YES</v>
      </c>
      <c r="Q2368" t="str">
        <f t="shared" si="538"/>
        <v>NO</v>
      </c>
      <c r="R2368" t="str">
        <f t="shared" si="539"/>
        <v>NO</v>
      </c>
      <c r="T2368" t="s">
        <v>3408</v>
      </c>
      <c r="U2368" t="str">
        <f t="shared" si="526"/>
        <v>Shea Rd</v>
      </c>
      <c r="V2368" t="s">
        <v>3409</v>
      </c>
      <c r="W2368" t="str">
        <f t="shared" si="527"/>
        <v>Locke St</v>
      </c>
      <c r="X2368" t="str">
        <f>IF(ISBLANK(S2368),"Intersection","Non-Intersection")</f>
        <v>Intersection</v>
      </c>
      <c r="Y2368" t="s">
        <v>3410</v>
      </c>
      <c r="Z2368" t="str">
        <f t="shared" si="528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29"/>
        <v>40544</v>
      </c>
      <c r="D2369" s="4">
        <f t="shared" si="530"/>
        <v>0.50136986301369868</v>
      </c>
      <c r="E2369" s="3">
        <f t="shared" si="531"/>
        <v>2011</v>
      </c>
      <c r="F2369" s="3">
        <f t="shared" si="532"/>
        <v>7</v>
      </c>
      <c r="G2369" s="3">
        <f t="shared" si="533"/>
        <v>3</v>
      </c>
      <c r="H2369" s="3">
        <f t="shared" si="534"/>
        <v>11</v>
      </c>
      <c r="I2369" s="3">
        <f t="shared" si="535"/>
        <v>0</v>
      </c>
      <c r="J2369" s="3">
        <f t="shared" si="536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37"/>
        <v>YES</v>
      </c>
      <c r="Q2369" t="str">
        <f t="shared" si="538"/>
        <v>NO</v>
      </c>
      <c r="R2369" t="str">
        <f t="shared" si="539"/>
        <v>NO</v>
      </c>
      <c r="T2369" t="s">
        <v>61</v>
      </c>
      <c r="U2369" t="str">
        <f t="shared" si="526"/>
        <v>First St</v>
      </c>
      <c r="V2369" t="s">
        <v>3412</v>
      </c>
      <c r="W2369" t="str">
        <f t="shared" si="527"/>
        <v>Thorndike Way</v>
      </c>
      <c r="X2369" t="str">
        <f>IF(ISBLANK(S2369),"Intersection","Non-Intersection")</f>
        <v>Intersection</v>
      </c>
      <c r="Y2369" t="s">
        <v>3413</v>
      </c>
      <c r="Z2369" t="str">
        <f t="shared" si="528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29"/>
        <v>40544</v>
      </c>
      <c r="D2370" s="4">
        <f t="shared" si="530"/>
        <v>0.50136986301369868</v>
      </c>
      <c r="E2370" s="3">
        <f t="shared" si="531"/>
        <v>2011</v>
      </c>
      <c r="F2370" s="3">
        <f t="shared" si="532"/>
        <v>7</v>
      </c>
      <c r="G2370" s="3">
        <f t="shared" si="533"/>
        <v>3</v>
      </c>
      <c r="H2370" s="3">
        <f t="shared" si="534"/>
        <v>21</v>
      </c>
      <c r="I2370" s="3">
        <f t="shared" si="535"/>
        <v>59</v>
      </c>
      <c r="J2370" s="3">
        <f t="shared" si="536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37"/>
        <v>YES</v>
      </c>
      <c r="Q2370" t="str">
        <f t="shared" si="538"/>
        <v>NO</v>
      </c>
      <c r="R2370" t="str">
        <f t="shared" si="539"/>
        <v>NO</v>
      </c>
      <c r="S2370">
        <v>64</v>
      </c>
      <c r="T2370" t="s">
        <v>342</v>
      </c>
      <c r="U2370" t="str">
        <f t="shared" si="526"/>
        <v>Prospect St</v>
      </c>
      <c r="W2370" t="str">
        <f t="shared" si="527"/>
        <v/>
      </c>
      <c r="X2370" t="str">
        <f>IF(ISBLANK(S2370),"Intersection","Non-Intersection")</f>
        <v>Non-Intersection</v>
      </c>
      <c r="Y2370" t="s">
        <v>3415</v>
      </c>
      <c r="Z2370" t="str">
        <f t="shared" si="528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29"/>
        <v>40544</v>
      </c>
      <c r="D2371" s="4">
        <f t="shared" si="530"/>
        <v>0.50410958904109593</v>
      </c>
      <c r="E2371" s="3">
        <f t="shared" si="531"/>
        <v>2011</v>
      </c>
      <c r="F2371" s="3">
        <f t="shared" si="532"/>
        <v>7</v>
      </c>
      <c r="G2371" s="3">
        <f t="shared" si="533"/>
        <v>4</v>
      </c>
      <c r="H2371" s="3">
        <f t="shared" si="534"/>
        <v>15</v>
      </c>
      <c r="I2371" s="3">
        <f t="shared" si="535"/>
        <v>30</v>
      </c>
      <c r="J2371" s="3">
        <f t="shared" si="536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37"/>
        <v>YES</v>
      </c>
      <c r="Q2371" t="str">
        <f t="shared" si="538"/>
        <v>NO</v>
      </c>
      <c r="R2371" t="str">
        <f t="shared" si="539"/>
        <v>NO</v>
      </c>
      <c r="T2371" t="s">
        <v>509</v>
      </c>
      <c r="U2371" t="str">
        <f t="shared" ref="U2371:U2434" si="540">TRIM(PROPER(T2371))</f>
        <v>Green St</v>
      </c>
      <c r="V2371" t="s">
        <v>178</v>
      </c>
      <c r="W2371" t="str">
        <f t="shared" ref="W2371:W2434" si="541">TRIM(PROPER(V2371))</f>
        <v>Pleasant St</v>
      </c>
      <c r="X2371" t="str">
        <f>IF(ISBLANK(S2371),"Intersection","Non-Intersection")</f>
        <v>Intersection</v>
      </c>
      <c r="Y2371" t="s">
        <v>2520</v>
      </c>
      <c r="Z2371" t="str">
        <f t="shared" ref="Z2371:Z2434" si="542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29"/>
        <v>40544</v>
      </c>
      <c r="D2372" s="4">
        <f t="shared" si="530"/>
        <v>0.50410958904109593</v>
      </c>
      <c r="E2372" s="3">
        <f t="shared" si="531"/>
        <v>2011</v>
      </c>
      <c r="F2372" s="3">
        <f t="shared" si="532"/>
        <v>7</v>
      </c>
      <c r="G2372" s="3">
        <f t="shared" si="533"/>
        <v>4</v>
      </c>
      <c r="H2372" s="3">
        <f t="shared" si="534"/>
        <v>22</v>
      </c>
      <c r="I2372" s="3">
        <f t="shared" si="535"/>
        <v>25</v>
      </c>
      <c r="J2372" s="3">
        <f t="shared" si="536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37"/>
        <v>YES</v>
      </c>
      <c r="Q2372" t="str">
        <f t="shared" si="538"/>
        <v>NO</v>
      </c>
      <c r="R2372" t="str">
        <f t="shared" si="539"/>
        <v>NO</v>
      </c>
      <c r="T2372" t="s">
        <v>70</v>
      </c>
      <c r="U2372" t="str">
        <f t="shared" si="540"/>
        <v>Pearl St</v>
      </c>
      <c r="V2372" t="s">
        <v>332</v>
      </c>
      <c r="W2372" t="str">
        <f t="shared" si="541"/>
        <v>Allston St</v>
      </c>
      <c r="X2372" t="str">
        <f>IF(ISBLANK(S2372),"Intersection","Non-Intersection")</f>
        <v>Intersection</v>
      </c>
      <c r="Y2372" t="s">
        <v>3417</v>
      </c>
      <c r="Z2372" t="str">
        <f t="shared" si="542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29"/>
        <v>40544</v>
      </c>
      <c r="D2373" s="4">
        <f t="shared" si="530"/>
        <v>0.50410958904109593</v>
      </c>
      <c r="E2373" s="3">
        <f t="shared" si="531"/>
        <v>2011</v>
      </c>
      <c r="F2373" s="3">
        <f t="shared" si="532"/>
        <v>7</v>
      </c>
      <c r="G2373" s="3">
        <f t="shared" si="533"/>
        <v>4</v>
      </c>
      <c r="H2373" s="3">
        <f t="shared" si="534"/>
        <v>17</v>
      </c>
      <c r="I2373" s="3">
        <f t="shared" si="535"/>
        <v>0</v>
      </c>
      <c r="J2373" s="3">
        <f t="shared" si="536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37"/>
        <v>YES</v>
      </c>
      <c r="Q2373" t="str">
        <f t="shared" si="538"/>
        <v>NO</v>
      </c>
      <c r="R2373" t="str">
        <f t="shared" si="539"/>
        <v>NO</v>
      </c>
      <c r="S2373">
        <v>67</v>
      </c>
      <c r="T2373" t="s">
        <v>316</v>
      </c>
      <c r="U2373" t="str">
        <f t="shared" si="540"/>
        <v>Bishop Allen Dr</v>
      </c>
      <c r="W2373" t="str">
        <f t="shared" si="541"/>
        <v/>
      </c>
      <c r="X2373" t="str">
        <f>IF(ISBLANK(S2373),"Intersection","Non-Intersection")</f>
        <v>Non-Intersection</v>
      </c>
      <c r="Y2373" t="s">
        <v>3418</v>
      </c>
      <c r="Z2373" t="str">
        <f t="shared" si="542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29"/>
        <v>40544</v>
      </c>
      <c r="D2374" s="4">
        <f t="shared" si="530"/>
        <v>0.50410958904109593</v>
      </c>
      <c r="E2374" s="3">
        <f t="shared" si="531"/>
        <v>2011</v>
      </c>
      <c r="F2374" s="3">
        <f t="shared" si="532"/>
        <v>7</v>
      </c>
      <c r="G2374" s="3">
        <f t="shared" si="533"/>
        <v>4</v>
      </c>
      <c r="H2374" s="3">
        <f t="shared" si="534"/>
        <v>21</v>
      </c>
      <c r="I2374" s="3">
        <f t="shared" si="535"/>
        <v>0</v>
      </c>
      <c r="J2374" s="3">
        <f t="shared" si="536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37"/>
        <v>YES</v>
      </c>
      <c r="Q2374" t="str">
        <f t="shared" si="538"/>
        <v>NO</v>
      </c>
      <c r="R2374" t="str">
        <f t="shared" si="539"/>
        <v>YES</v>
      </c>
      <c r="T2374" t="s">
        <v>14</v>
      </c>
      <c r="U2374" t="str">
        <f t="shared" si="540"/>
        <v>Massachusetts Ave</v>
      </c>
      <c r="V2374" t="s">
        <v>1332</v>
      </c>
      <c r="W2374" t="str">
        <f t="shared" si="541"/>
        <v>Porter Rd</v>
      </c>
      <c r="X2374" t="str">
        <f>IF(ISBLANK(S2374),"Intersection","Non-Intersection")</f>
        <v>Intersection</v>
      </c>
      <c r="Y2374" t="s">
        <v>2973</v>
      </c>
      <c r="Z2374" t="str">
        <f t="shared" si="542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29"/>
        <v>40544</v>
      </c>
      <c r="D2375" s="4">
        <f t="shared" si="530"/>
        <v>0.50410958904109593</v>
      </c>
      <c r="E2375" s="3">
        <f t="shared" si="531"/>
        <v>2011</v>
      </c>
      <c r="F2375" s="3">
        <f t="shared" si="532"/>
        <v>7</v>
      </c>
      <c r="G2375" s="3">
        <f t="shared" si="533"/>
        <v>4</v>
      </c>
      <c r="H2375" s="3">
        <f t="shared" si="534"/>
        <v>15</v>
      </c>
      <c r="I2375" s="3">
        <f t="shared" si="535"/>
        <v>0</v>
      </c>
      <c r="J2375" s="3">
        <f t="shared" si="536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37"/>
        <v>NO</v>
      </c>
      <c r="Q2375" t="str">
        <f t="shared" si="538"/>
        <v>NO</v>
      </c>
      <c r="R2375" t="str">
        <f t="shared" si="539"/>
        <v>NO</v>
      </c>
      <c r="T2375" t="s">
        <v>1545</v>
      </c>
      <c r="U2375" t="str">
        <f t="shared" si="540"/>
        <v>Washington St</v>
      </c>
      <c r="W2375" t="str">
        <f t="shared" si="541"/>
        <v/>
      </c>
      <c r="X2375" t="str">
        <f>IF(ISBLANK(S2375),"Intersection","Non-Intersection")</f>
        <v>Intersection</v>
      </c>
      <c r="Y2375" t="s">
        <v>3420</v>
      </c>
      <c r="Z2375" t="str">
        <f t="shared" si="542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29"/>
        <v>40544</v>
      </c>
      <c r="D2376" s="4">
        <f t="shared" si="530"/>
        <v>0.50684931506849318</v>
      </c>
      <c r="E2376" s="3">
        <f t="shared" si="531"/>
        <v>2011</v>
      </c>
      <c r="F2376" s="3">
        <f t="shared" si="532"/>
        <v>7</v>
      </c>
      <c r="G2376" s="3">
        <f t="shared" si="533"/>
        <v>5</v>
      </c>
      <c r="H2376" s="3">
        <f t="shared" si="534"/>
        <v>8</v>
      </c>
      <c r="I2376" s="3">
        <f t="shared" si="535"/>
        <v>29</v>
      </c>
      <c r="J2376" s="3">
        <f t="shared" si="536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37"/>
        <v>YES</v>
      </c>
      <c r="Q2376" t="str">
        <f t="shared" si="538"/>
        <v>NO</v>
      </c>
      <c r="R2376" t="str">
        <f t="shared" si="539"/>
        <v>NO</v>
      </c>
      <c r="S2376">
        <v>700</v>
      </c>
      <c r="T2376" t="s">
        <v>142</v>
      </c>
      <c r="U2376" t="str">
        <f t="shared" si="540"/>
        <v>Huron Ave</v>
      </c>
      <c r="W2376" t="str">
        <f t="shared" si="541"/>
        <v/>
      </c>
      <c r="X2376" t="str">
        <f>IF(ISBLANK(S2376),"Intersection","Non-Intersection")</f>
        <v>Non-Intersection</v>
      </c>
      <c r="Y2376" t="s">
        <v>475</v>
      </c>
      <c r="Z2376" t="str">
        <f t="shared" si="542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29"/>
        <v>40544</v>
      </c>
      <c r="D2377" s="4">
        <f t="shared" si="530"/>
        <v>0.50958904109589043</v>
      </c>
      <c r="E2377" s="3">
        <f t="shared" si="531"/>
        <v>2011</v>
      </c>
      <c r="F2377" s="3">
        <f t="shared" si="532"/>
        <v>7</v>
      </c>
      <c r="G2377" s="3">
        <f t="shared" si="533"/>
        <v>6</v>
      </c>
      <c r="H2377" s="3">
        <f t="shared" si="534"/>
        <v>9</v>
      </c>
      <c r="I2377" s="3">
        <f t="shared" si="535"/>
        <v>59</v>
      </c>
      <c r="J2377" s="3">
        <f t="shared" si="536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37"/>
        <v>YES</v>
      </c>
      <c r="Q2377" t="str">
        <f t="shared" si="538"/>
        <v>NO</v>
      </c>
      <c r="R2377" t="str">
        <f t="shared" si="539"/>
        <v>NO</v>
      </c>
      <c r="S2377">
        <v>1001</v>
      </c>
      <c r="T2377" t="s">
        <v>19</v>
      </c>
      <c r="U2377" t="str">
        <f t="shared" si="540"/>
        <v>Cambridge St</v>
      </c>
      <c r="W2377" t="str">
        <f t="shared" si="541"/>
        <v/>
      </c>
      <c r="X2377" t="str">
        <f>IF(ISBLANK(S2377),"Intersection","Non-Intersection")</f>
        <v>Non-Intersection</v>
      </c>
      <c r="Y2377" t="s">
        <v>2171</v>
      </c>
      <c r="Z2377" t="str">
        <f t="shared" si="542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29"/>
        <v>40544</v>
      </c>
      <c r="D2378" s="4">
        <f t="shared" si="530"/>
        <v>0.50958904109589043</v>
      </c>
      <c r="E2378" s="3">
        <f t="shared" si="531"/>
        <v>2011</v>
      </c>
      <c r="F2378" s="3">
        <f t="shared" si="532"/>
        <v>7</v>
      </c>
      <c r="G2378" s="3">
        <f t="shared" si="533"/>
        <v>6</v>
      </c>
      <c r="H2378" s="3">
        <f t="shared" si="534"/>
        <v>16</v>
      </c>
      <c r="I2378" s="3">
        <f t="shared" si="535"/>
        <v>44</v>
      </c>
      <c r="J2378" s="3">
        <f t="shared" si="536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37"/>
        <v>NO</v>
      </c>
      <c r="Q2378" t="str">
        <f t="shared" si="538"/>
        <v>NO</v>
      </c>
      <c r="R2378" t="str">
        <f t="shared" si="539"/>
        <v>NO</v>
      </c>
      <c r="S2378">
        <v>272</v>
      </c>
      <c r="T2378" t="s">
        <v>332</v>
      </c>
      <c r="U2378" t="str">
        <f t="shared" si="540"/>
        <v>Allston St</v>
      </c>
      <c r="W2378" t="str">
        <f t="shared" si="541"/>
        <v/>
      </c>
      <c r="X2378" t="str">
        <f>IF(ISBLANK(S2378),"Intersection","Non-Intersection")</f>
        <v>Non-Intersection</v>
      </c>
      <c r="Y2378" t="s">
        <v>3421</v>
      </c>
      <c r="Z2378" t="str">
        <f t="shared" si="542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29"/>
        <v>40544</v>
      </c>
      <c r="D2379" s="4">
        <f t="shared" si="530"/>
        <v>0.50958904109589043</v>
      </c>
      <c r="E2379" s="3">
        <f t="shared" si="531"/>
        <v>2011</v>
      </c>
      <c r="F2379" s="3">
        <f t="shared" si="532"/>
        <v>7</v>
      </c>
      <c r="G2379" s="3">
        <f t="shared" si="533"/>
        <v>6</v>
      </c>
      <c r="H2379" s="3">
        <f t="shared" si="534"/>
        <v>21</v>
      </c>
      <c r="I2379" s="3">
        <f t="shared" si="535"/>
        <v>0</v>
      </c>
      <c r="J2379" s="3">
        <f t="shared" si="536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37"/>
        <v>YES</v>
      </c>
      <c r="Q2379" t="str">
        <f t="shared" si="538"/>
        <v>NO</v>
      </c>
      <c r="R2379" t="str">
        <f t="shared" si="539"/>
        <v>NO</v>
      </c>
      <c r="T2379" t="s">
        <v>14</v>
      </c>
      <c r="U2379" t="str">
        <f t="shared" si="540"/>
        <v>Massachusetts Ave</v>
      </c>
      <c r="V2379" t="s">
        <v>3004</v>
      </c>
      <c r="W2379" t="str">
        <f t="shared" si="541"/>
        <v>Chester St</v>
      </c>
      <c r="X2379" t="str">
        <f>IF(ISBLANK(S2379),"Intersection","Non-Intersection")</f>
        <v>Intersection</v>
      </c>
      <c r="Y2379" t="s">
        <v>3423</v>
      </c>
      <c r="Z2379" t="str">
        <f t="shared" si="542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43">EOMONTH(B2380,MONTH(B2380)*-1)+1</f>
        <v>40544</v>
      </c>
      <c r="D2380" s="4">
        <f t="shared" ref="D2380:D2437" si="544">YEARFRAC(C2380,B2380,1)</f>
        <v>0.51232876712328768</v>
      </c>
      <c r="E2380" s="3">
        <f t="shared" ref="E2380:E2437" si="545">YEAR(B2380)</f>
        <v>2011</v>
      </c>
      <c r="F2380" s="3">
        <f t="shared" ref="F2380:F2437" si="546">MONTH(B2380)</f>
        <v>7</v>
      </c>
      <c r="G2380" s="3">
        <f t="shared" ref="G2380:G2437" si="547">DAY(B2380)</f>
        <v>7</v>
      </c>
      <c r="H2380" s="3">
        <f t="shared" ref="H2380:H2437" si="548">HOUR(B2380)</f>
        <v>9</v>
      </c>
      <c r="I2380" s="3">
        <f t="shared" ref="I2380:I2437" si="549">MINUTE(B2380)</f>
        <v>40</v>
      </c>
      <c r="J2380" s="3">
        <f t="shared" ref="J2380:J2437" si="550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51">IF(OR(N2380="Auto",O2380="Auto"),"YES",IF(OR(N2380="Taxi",O2380="Taxi"),"YES",IF(OR(N2380="Van",O2380="Van"),"YES",IF(OR(N2380="Truck",O2380="Truck"),"YES","NO"))))</f>
        <v>YES</v>
      </c>
      <c r="Q2380" t="str">
        <f t="shared" ref="Q2380:Q2437" si="552">IF(OR(N2380="Bicycle",O2380="Bicycle"),"YES","NO")</f>
        <v>NO</v>
      </c>
      <c r="R2380" t="str">
        <f t="shared" ref="R2380:R2437" si="553">IF(OR(N2380="Pedestrian",O2380="Pedestrian"),"YES","NO")</f>
        <v>NO</v>
      </c>
      <c r="T2380" t="s">
        <v>3425</v>
      </c>
      <c r="U2380" t="str">
        <f t="shared" si="540"/>
        <v>Sheridan St</v>
      </c>
      <c r="V2380" t="s">
        <v>253</v>
      </c>
      <c r="W2380" t="str">
        <f t="shared" si="541"/>
        <v>Wood St</v>
      </c>
      <c r="X2380" t="str">
        <f>IF(ISBLANK(S2380),"Intersection","Non-Intersection")</f>
        <v>Intersection</v>
      </c>
      <c r="Y2380" t="s">
        <v>3426</v>
      </c>
      <c r="Z2380" t="str">
        <f t="shared" si="542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43"/>
        <v>40544</v>
      </c>
      <c r="D2381" s="4">
        <f t="shared" si="544"/>
        <v>0.51232876712328768</v>
      </c>
      <c r="E2381" s="3">
        <f t="shared" si="545"/>
        <v>2011</v>
      </c>
      <c r="F2381" s="3">
        <f t="shared" si="546"/>
        <v>7</v>
      </c>
      <c r="G2381" s="3">
        <f t="shared" si="547"/>
        <v>7</v>
      </c>
      <c r="H2381" s="3">
        <f t="shared" si="548"/>
        <v>12</v>
      </c>
      <c r="I2381" s="3">
        <f t="shared" si="549"/>
        <v>59</v>
      </c>
      <c r="J2381" s="3">
        <f t="shared" si="550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51"/>
        <v>YES</v>
      </c>
      <c r="Q2381" t="str">
        <f t="shared" si="552"/>
        <v>NO</v>
      </c>
      <c r="R2381" t="str">
        <f t="shared" si="553"/>
        <v>NO</v>
      </c>
      <c r="T2381" t="s">
        <v>105</v>
      </c>
      <c r="U2381" t="str">
        <f t="shared" si="540"/>
        <v>Broadway</v>
      </c>
      <c r="V2381" t="s">
        <v>192</v>
      </c>
      <c r="W2381" t="str">
        <f t="shared" si="541"/>
        <v>Hancock St</v>
      </c>
      <c r="X2381" t="str">
        <f>IF(ISBLANK(S2381),"Intersection","Non-Intersection")</f>
        <v>Intersection</v>
      </c>
      <c r="Y2381" t="s">
        <v>1643</v>
      </c>
      <c r="Z2381" t="str">
        <f t="shared" si="542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43"/>
        <v>40544</v>
      </c>
      <c r="D2382" s="4">
        <f t="shared" si="544"/>
        <v>0.51232876712328768</v>
      </c>
      <c r="E2382" s="3">
        <f t="shared" si="545"/>
        <v>2011</v>
      </c>
      <c r="F2382" s="3">
        <f t="shared" si="546"/>
        <v>7</v>
      </c>
      <c r="G2382" s="3">
        <f t="shared" si="547"/>
        <v>7</v>
      </c>
      <c r="H2382" s="3">
        <f t="shared" si="548"/>
        <v>17</v>
      </c>
      <c r="I2382" s="3">
        <f t="shared" si="549"/>
        <v>46</v>
      </c>
      <c r="J2382" s="3">
        <f t="shared" si="550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51"/>
        <v>YES</v>
      </c>
      <c r="Q2382" t="str">
        <f t="shared" si="552"/>
        <v>NO</v>
      </c>
      <c r="R2382" t="str">
        <f t="shared" si="553"/>
        <v>NO</v>
      </c>
      <c r="S2382">
        <v>80</v>
      </c>
      <c r="T2382" t="s">
        <v>342</v>
      </c>
      <c r="U2382" t="str">
        <f t="shared" si="540"/>
        <v>Prospect St</v>
      </c>
      <c r="W2382" t="str">
        <f t="shared" si="541"/>
        <v/>
      </c>
      <c r="X2382" t="str">
        <f>IF(ISBLANK(S2382),"Intersection","Non-Intersection")</f>
        <v>Non-Intersection</v>
      </c>
      <c r="Y2382" t="s">
        <v>3428</v>
      </c>
      <c r="Z2382" t="str">
        <f t="shared" si="542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43"/>
        <v>40544</v>
      </c>
      <c r="D2383" s="4">
        <f t="shared" si="544"/>
        <v>0.51506849315068493</v>
      </c>
      <c r="E2383" s="3">
        <f t="shared" si="545"/>
        <v>2011</v>
      </c>
      <c r="F2383" s="3">
        <f t="shared" si="546"/>
        <v>7</v>
      </c>
      <c r="G2383" s="3">
        <f t="shared" si="547"/>
        <v>8</v>
      </c>
      <c r="H2383" s="3">
        <f t="shared" si="548"/>
        <v>17</v>
      </c>
      <c r="I2383" s="3">
        <f t="shared" si="549"/>
        <v>16</v>
      </c>
      <c r="J2383" s="3">
        <f t="shared" si="550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51"/>
        <v>YES</v>
      </c>
      <c r="Q2383" t="str">
        <f t="shared" si="552"/>
        <v>NO</v>
      </c>
      <c r="R2383" t="str">
        <f t="shared" si="553"/>
        <v>NO</v>
      </c>
      <c r="T2383" t="s">
        <v>3430</v>
      </c>
      <c r="U2383" t="str">
        <f t="shared" si="540"/>
        <v>High St</v>
      </c>
      <c r="V2383" t="s">
        <v>3431</v>
      </c>
      <c r="W2383" t="str">
        <f t="shared" si="541"/>
        <v>Park Ave</v>
      </c>
      <c r="X2383" t="str">
        <f>IF(ISBLANK(S2383),"Intersection","Non-Intersection")</f>
        <v>Intersection</v>
      </c>
      <c r="Y2383" t="s">
        <v>3432</v>
      </c>
      <c r="Z2383" t="str">
        <f t="shared" si="542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43"/>
        <v>40544</v>
      </c>
      <c r="D2384" s="4">
        <f t="shared" si="544"/>
        <v>0.51780821917808217</v>
      </c>
      <c r="E2384" s="3">
        <f t="shared" si="545"/>
        <v>2011</v>
      </c>
      <c r="F2384" s="3">
        <f t="shared" si="546"/>
        <v>7</v>
      </c>
      <c r="G2384" s="3">
        <f t="shared" si="547"/>
        <v>9</v>
      </c>
      <c r="H2384" s="3">
        <f t="shared" si="548"/>
        <v>19</v>
      </c>
      <c r="I2384" s="3">
        <f t="shared" si="549"/>
        <v>30</v>
      </c>
      <c r="J2384" s="3">
        <f t="shared" si="550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51"/>
        <v>YES</v>
      </c>
      <c r="Q2384" t="str">
        <f t="shared" si="552"/>
        <v>NO</v>
      </c>
      <c r="R2384" t="str">
        <f t="shared" si="553"/>
        <v>NO</v>
      </c>
      <c r="S2384">
        <v>1815</v>
      </c>
      <c r="T2384" t="s">
        <v>14</v>
      </c>
      <c r="U2384" t="str">
        <f t="shared" si="540"/>
        <v>Massachusetts Ave</v>
      </c>
      <c r="W2384" t="str">
        <f t="shared" si="541"/>
        <v/>
      </c>
      <c r="X2384" t="str">
        <f>IF(ISBLANK(S2384),"Intersection","Non-Intersection")</f>
        <v>Non-Intersection</v>
      </c>
      <c r="Y2384" t="s">
        <v>2783</v>
      </c>
      <c r="Z2384" t="str">
        <f t="shared" si="542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43"/>
        <v>40544</v>
      </c>
      <c r="D2385" s="4">
        <f t="shared" si="544"/>
        <v>0.52054794520547942</v>
      </c>
      <c r="E2385" s="3">
        <f t="shared" si="545"/>
        <v>2011</v>
      </c>
      <c r="F2385" s="3">
        <f t="shared" si="546"/>
        <v>7</v>
      </c>
      <c r="G2385" s="3">
        <f t="shared" si="547"/>
        <v>10</v>
      </c>
      <c r="H2385" s="3">
        <f t="shared" si="548"/>
        <v>15</v>
      </c>
      <c r="I2385" s="3">
        <f t="shared" si="549"/>
        <v>0</v>
      </c>
      <c r="J2385" s="3">
        <f t="shared" si="550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51"/>
        <v>YES</v>
      </c>
      <c r="Q2385" t="str">
        <f t="shared" si="552"/>
        <v>NO</v>
      </c>
      <c r="R2385" t="str">
        <f t="shared" si="553"/>
        <v>NO</v>
      </c>
      <c r="S2385">
        <v>110</v>
      </c>
      <c r="T2385" t="s">
        <v>198</v>
      </c>
      <c r="U2385" t="str">
        <f t="shared" si="540"/>
        <v>Mount Auburn St</v>
      </c>
      <c r="W2385" t="str">
        <f t="shared" si="541"/>
        <v/>
      </c>
      <c r="X2385" t="str">
        <f>IF(ISBLANK(S2385),"Intersection","Non-Intersection")</f>
        <v>Non-Intersection</v>
      </c>
      <c r="Y2385" t="s">
        <v>372</v>
      </c>
      <c r="Z2385" t="str">
        <f t="shared" si="542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43"/>
        <v>40544</v>
      </c>
      <c r="D2386" s="4">
        <f t="shared" si="544"/>
        <v>0.52328767123287667</v>
      </c>
      <c r="E2386" s="3">
        <f t="shared" si="545"/>
        <v>2011</v>
      </c>
      <c r="F2386" s="3">
        <f t="shared" si="546"/>
        <v>7</v>
      </c>
      <c r="G2386" s="3">
        <f t="shared" si="547"/>
        <v>11</v>
      </c>
      <c r="H2386" s="3">
        <f t="shared" si="548"/>
        <v>13</v>
      </c>
      <c r="I2386" s="3">
        <f t="shared" si="549"/>
        <v>40</v>
      </c>
      <c r="J2386" s="3">
        <f t="shared" si="550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51"/>
        <v>YES</v>
      </c>
      <c r="Q2386" t="str">
        <f t="shared" si="552"/>
        <v>NO</v>
      </c>
      <c r="R2386" t="str">
        <f t="shared" si="553"/>
        <v>NO</v>
      </c>
      <c r="T2386" t="s">
        <v>3434</v>
      </c>
      <c r="U2386" t="str">
        <f t="shared" si="540"/>
        <v>Rufo Rd</v>
      </c>
      <c r="W2386" t="str">
        <f t="shared" si="541"/>
        <v/>
      </c>
      <c r="X2386" t="str">
        <f>IF(ISBLANK(S2386),"Intersection","Non-Intersection")</f>
        <v>Intersection</v>
      </c>
      <c r="Y2386" t="s">
        <v>3435</v>
      </c>
      <c r="Z2386" t="str">
        <f t="shared" si="542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43"/>
        <v>40544</v>
      </c>
      <c r="D2387" s="4">
        <f t="shared" si="544"/>
        <v>0.52328767123287667</v>
      </c>
      <c r="E2387" s="3">
        <f t="shared" si="545"/>
        <v>2011</v>
      </c>
      <c r="F2387" s="3">
        <f t="shared" si="546"/>
        <v>7</v>
      </c>
      <c r="G2387" s="3">
        <f t="shared" si="547"/>
        <v>11</v>
      </c>
      <c r="H2387" s="3">
        <f t="shared" si="548"/>
        <v>11</v>
      </c>
      <c r="I2387" s="3">
        <f t="shared" si="549"/>
        <v>19</v>
      </c>
      <c r="J2387" s="3">
        <f t="shared" si="550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51"/>
        <v>YES</v>
      </c>
      <c r="Q2387" t="str">
        <f t="shared" si="552"/>
        <v>YES</v>
      </c>
      <c r="R2387" t="str">
        <f t="shared" si="553"/>
        <v>NO</v>
      </c>
      <c r="S2387">
        <v>468</v>
      </c>
      <c r="T2387" t="s">
        <v>105</v>
      </c>
      <c r="U2387" t="str">
        <f t="shared" si="540"/>
        <v>Broadway</v>
      </c>
      <c r="W2387" t="str">
        <f t="shared" si="541"/>
        <v/>
      </c>
      <c r="X2387" t="str">
        <f>IF(ISBLANK(S2387),"Intersection","Non-Intersection")</f>
        <v>Non-Intersection</v>
      </c>
      <c r="Y2387" t="s">
        <v>3436</v>
      </c>
      <c r="Z2387" t="str">
        <f t="shared" si="542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43"/>
        <v>40544</v>
      </c>
      <c r="D2388" s="4">
        <f t="shared" si="544"/>
        <v>0.52328767123287667</v>
      </c>
      <c r="E2388" s="3">
        <f t="shared" si="545"/>
        <v>2011</v>
      </c>
      <c r="F2388" s="3">
        <f t="shared" si="546"/>
        <v>7</v>
      </c>
      <c r="G2388" s="3">
        <f t="shared" si="547"/>
        <v>11</v>
      </c>
      <c r="H2388" s="3">
        <f t="shared" si="548"/>
        <v>8</v>
      </c>
      <c r="I2388" s="3">
        <f t="shared" si="549"/>
        <v>15</v>
      </c>
      <c r="J2388" s="3">
        <f t="shared" si="550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51"/>
        <v>YES</v>
      </c>
      <c r="Q2388" t="str">
        <f t="shared" si="552"/>
        <v>NO</v>
      </c>
      <c r="R2388" t="str">
        <f t="shared" si="553"/>
        <v>NO</v>
      </c>
      <c r="S2388">
        <v>2024</v>
      </c>
      <c r="T2388" t="s">
        <v>14</v>
      </c>
      <c r="U2388" t="str">
        <f t="shared" si="540"/>
        <v>Massachusetts Ave</v>
      </c>
      <c r="W2388" t="str">
        <f t="shared" si="541"/>
        <v/>
      </c>
      <c r="X2388" t="str">
        <f>IF(ISBLANK(S2388),"Intersection","Non-Intersection")</f>
        <v>Non-Intersection</v>
      </c>
      <c r="Y2388" t="s">
        <v>3438</v>
      </c>
      <c r="Z2388" t="str">
        <f t="shared" si="542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43"/>
        <v>40544</v>
      </c>
      <c r="D2389" s="4">
        <f t="shared" si="544"/>
        <v>0.52328767123287667</v>
      </c>
      <c r="E2389" s="3">
        <f t="shared" si="545"/>
        <v>2011</v>
      </c>
      <c r="F2389" s="3">
        <f t="shared" si="546"/>
        <v>7</v>
      </c>
      <c r="G2389" s="3">
        <f t="shared" si="547"/>
        <v>11</v>
      </c>
      <c r="H2389" s="3">
        <f t="shared" si="548"/>
        <v>17</v>
      </c>
      <c r="I2389" s="3">
        <f t="shared" si="549"/>
        <v>0</v>
      </c>
      <c r="J2389" s="3">
        <f t="shared" si="550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51"/>
        <v>YES</v>
      </c>
      <c r="Q2389" t="str">
        <f t="shared" si="552"/>
        <v>NO</v>
      </c>
      <c r="R2389" t="str">
        <f t="shared" si="553"/>
        <v>NO</v>
      </c>
      <c r="S2389">
        <v>181</v>
      </c>
      <c r="T2389" t="s">
        <v>45</v>
      </c>
      <c r="U2389" t="str">
        <f t="shared" si="540"/>
        <v>Sherman St</v>
      </c>
      <c r="W2389" t="str">
        <f t="shared" si="541"/>
        <v/>
      </c>
      <c r="X2389" t="str">
        <f>IF(ISBLANK(S2389),"Intersection","Non-Intersection")</f>
        <v>Non-Intersection</v>
      </c>
      <c r="Y2389" t="s">
        <v>3440</v>
      </c>
      <c r="Z2389" t="str">
        <f t="shared" si="542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43"/>
        <v>40544</v>
      </c>
      <c r="D2390" s="4">
        <f t="shared" si="544"/>
        <v>0.52328767123287667</v>
      </c>
      <c r="E2390" s="3">
        <f t="shared" si="545"/>
        <v>2011</v>
      </c>
      <c r="F2390" s="3">
        <f t="shared" si="546"/>
        <v>7</v>
      </c>
      <c r="G2390" s="3">
        <f t="shared" si="547"/>
        <v>11</v>
      </c>
      <c r="H2390" s="3">
        <f t="shared" si="548"/>
        <v>7</v>
      </c>
      <c r="I2390" s="3">
        <f t="shared" si="549"/>
        <v>37</v>
      </c>
      <c r="J2390" s="3">
        <f t="shared" si="550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51"/>
        <v>YES</v>
      </c>
      <c r="Q2390" t="str">
        <f t="shared" si="552"/>
        <v>NO</v>
      </c>
      <c r="R2390" t="str">
        <f t="shared" si="553"/>
        <v>NO</v>
      </c>
      <c r="T2390" t="s">
        <v>14</v>
      </c>
      <c r="U2390" t="str">
        <f t="shared" si="540"/>
        <v>Massachusetts Ave</v>
      </c>
      <c r="V2390" t="s">
        <v>1426</v>
      </c>
      <c r="W2390" t="str">
        <f t="shared" si="541"/>
        <v>Rice St</v>
      </c>
      <c r="X2390" t="str">
        <f>IF(ISBLANK(S2390),"Intersection","Non-Intersection")</f>
        <v>Intersection</v>
      </c>
      <c r="Y2390" t="s">
        <v>2369</v>
      </c>
      <c r="Z2390" t="str">
        <f t="shared" si="542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43"/>
        <v>40544</v>
      </c>
      <c r="D2391" s="4">
        <f t="shared" si="544"/>
        <v>0.52328767123287667</v>
      </c>
      <c r="E2391" s="3">
        <f t="shared" si="545"/>
        <v>2011</v>
      </c>
      <c r="F2391" s="3">
        <f t="shared" si="546"/>
        <v>7</v>
      </c>
      <c r="G2391" s="3">
        <f t="shared" si="547"/>
        <v>11</v>
      </c>
      <c r="H2391" s="3">
        <f t="shared" si="548"/>
        <v>8</v>
      </c>
      <c r="I2391" s="3">
        <f t="shared" si="549"/>
        <v>35</v>
      </c>
      <c r="J2391" s="3">
        <f t="shared" si="550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51"/>
        <v>YES</v>
      </c>
      <c r="Q2391" t="str">
        <f t="shared" si="552"/>
        <v>YES</v>
      </c>
      <c r="R2391" t="str">
        <f t="shared" si="553"/>
        <v>NO</v>
      </c>
      <c r="T2391" t="s">
        <v>142</v>
      </c>
      <c r="U2391" t="str">
        <f t="shared" si="540"/>
        <v>Huron Ave</v>
      </c>
      <c r="V2391" t="s">
        <v>3431</v>
      </c>
      <c r="W2391" t="str">
        <f t="shared" si="541"/>
        <v>Park Ave</v>
      </c>
      <c r="X2391" t="str">
        <f>IF(ISBLANK(S2391),"Intersection","Non-Intersection")</f>
        <v>Intersection</v>
      </c>
      <c r="Y2391" t="s">
        <v>3442</v>
      </c>
      <c r="Z2391" t="str">
        <f t="shared" si="542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43"/>
        <v>40544</v>
      </c>
      <c r="D2392" s="4">
        <f t="shared" si="544"/>
        <v>0.52602739726027392</v>
      </c>
      <c r="E2392" s="3">
        <f t="shared" si="545"/>
        <v>2011</v>
      </c>
      <c r="F2392" s="3">
        <f t="shared" si="546"/>
        <v>7</v>
      </c>
      <c r="G2392" s="3">
        <f t="shared" si="547"/>
        <v>12</v>
      </c>
      <c r="H2392" s="3">
        <f t="shared" si="548"/>
        <v>8</v>
      </c>
      <c r="I2392" s="3">
        <f t="shared" si="549"/>
        <v>0</v>
      </c>
      <c r="J2392" s="3">
        <f t="shared" si="550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51"/>
        <v>YES</v>
      </c>
      <c r="Q2392" t="str">
        <f t="shared" si="552"/>
        <v>YES</v>
      </c>
      <c r="R2392" t="str">
        <f t="shared" si="553"/>
        <v>NO</v>
      </c>
      <c r="T2392" t="s">
        <v>19</v>
      </c>
      <c r="U2392" t="str">
        <f t="shared" si="540"/>
        <v>Cambridge St</v>
      </c>
      <c r="V2392" t="s">
        <v>971</v>
      </c>
      <c r="W2392" t="str">
        <f t="shared" si="541"/>
        <v>Ellsworth Ave</v>
      </c>
      <c r="X2392" t="str">
        <f>IF(ISBLANK(S2392),"Intersection","Non-Intersection")</f>
        <v>Intersection</v>
      </c>
      <c r="Y2392" t="s">
        <v>1785</v>
      </c>
      <c r="Z2392" t="str">
        <f t="shared" si="542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43"/>
        <v>40544</v>
      </c>
      <c r="D2393" s="4">
        <f t="shared" si="544"/>
        <v>0.52602739726027392</v>
      </c>
      <c r="E2393" s="3">
        <f t="shared" si="545"/>
        <v>2011</v>
      </c>
      <c r="F2393" s="3">
        <f t="shared" si="546"/>
        <v>7</v>
      </c>
      <c r="G2393" s="3">
        <f t="shared" si="547"/>
        <v>12</v>
      </c>
      <c r="H2393" s="3">
        <f t="shared" si="548"/>
        <v>8</v>
      </c>
      <c r="I2393" s="3">
        <f t="shared" si="549"/>
        <v>23</v>
      </c>
      <c r="J2393" s="3">
        <f t="shared" si="550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51"/>
        <v>YES</v>
      </c>
      <c r="Q2393" t="str">
        <f t="shared" si="552"/>
        <v>YES</v>
      </c>
      <c r="R2393" t="str">
        <f t="shared" si="553"/>
        <v>NO</v>
      </c>
      <c r="S2393">
        <v>358</v>
      </c>
      <c r="T2393" t="s">
        <v>105</v>
      </c>
      <c r="U2393" t="str">
        <f t="shared" si="540"/>
        <v>Broadway</v>
      </c>
      <c r="W2393" t="str">
        <f t="shared" si="541"/>
        <v/>
      </c>
      <c r="X2393" t="str">
        <f>IF(ISBLANK(S2393),"Intersection","Non-Intersection")</f>
        <v>Non-Intersection</v>
      </c>
      <c r="Y2393" t="s">
        <v>3444</v>
      </c>
      <c r="Z2393" t="str">
        <f t="shared" si="542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43"/>
        <v>40544</v>
      </c>
      <c r="D2394" s="4">
        <f t="shared" si="544"/>
        <v>0.52602739726027392</v>
      </c>
      <c r="E2394" s="3">
        <f t="shared" si="545"/>
        <v>2011</v>
      </c>
      <c r="F2394" s="3">
        <f t="shared" si="546"/>
        <v>7</v>
      </c>
      <c r="G2394" s="3">
        <f t="shared" si="547"/>
        <v>12</v>
      </c>
      <c r="H2394" s="3">
        <f t="shared" si="548"/>
        <v>11</v>
      </c>
      <c r="I2394" s="3">
        <f t="shared" si="549"/>
        <v>29</v>
      </c>
      <c r="J2394" s="3">
        <f t="shared" si="550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51"/>
        <v>YES</v>
      </c>
      <c r="Q2394" t="str">
        <f t="shared" si="552"/>
        <v>NO</v>
      </c>
      <c r="R2394" t="str">
        <f t="shared" si="553"/>
        <v>NO</v>
      </c>
      <c r="T2394" t="s">
        <v>186</v>
      </c>
      <c r="U2394" t="str">
        <f t="shared" si="540"/>
        <v>Concord Ave</v>
      </c>
      <c r="V2394" t="s">
        <v>1132</v>
      </c>
      <c r="W2394" t="str">
        <f t="shared" si="541"/>
        <v>Moulton St</v>
      </c>
      <c r="X2394" t="str">
        <f>IF(ISBLANK(S2394),"Intersection","Non-Intersection")</f>
        <v>Intersection</v>
      </c>
      <c r="Y2394" t="s">
        <v>1133</v>
      </c>
      <c r="Z2394" t="str">
        <f t="shared" si="542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43"/>
        <v>40544</v>
      </c>
      <c r="D2395" s="4">
        <f t="shared" si="544"/>
        <v>0.52876712328767128</v>
      </c>
      <c r="E2395" s="3">
        <f t="shared" si="545"/>
        <v>2011</v>
      </c>
      <c r="F2395" s="3">
        <f t="shared" si="546"/>
        <v>7</v>
      </c>
      <c r="G2395" s="3">
        <f t="shared" si="547"/>
        <v>13</v>
      </c>
      <c r="H2395" s="3">
        <f t="shared" si="548"/>
        <v>19</v>
      </c>
      <c r="I2395" s="3">
        <f t="shared" si="549"/>
        <v>30</v>
      </c>
      <c r="J2395" s="3">
        <f t="shared" si="550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51"/>
        <v>NO</v>
      </c>
      <c r="Q2395" t="str">
        <f t="shared" si="552"/>
        <v>YES</v>
      </c>
      <c r="R2395" t="str">
        <f t="shared" si="553"/>
        <v>NO</v>
      </c>
      <c r="S2395">
        <v>2143</v>
      </c>
      <c r="T2395" t="s">
        <v>14</v>
      </c>
      <c r="U2395" t="str">
        <f t="shared" si="540"/>
        <v>Massachusetts Ave</v>
      </c>
      <c r="W2395" t="str">
        <f t="shared" si="541"/>
        <v/>
      </c>
      <c r="X2395" t="str">
        <f>IF(ISBLANK(S2395),"Intersection","Non-Intersection")</f>
        <v>Non-Intersection</v>
      </c>
      <c r="Y2395" t="s">
        <v>3446</v>
      </c>
      <c r="Z2395" t="str">
        <f t="shared" si="542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43"/>
        <v>40544</v>
      </c>
      <c r="D2396" s="4">
        <f t="shared" si="544"/>
        <v>0.52876712328767128</v>
      </c>
      <c r="E2396" s="3">
        <f t="shared" si="545"/>
        <v>2011</v>
      </c>
      <c r="F2396" s="3">
        <f t="shared" si="546"/>
        <v>7</v>
      </c>
      <c r="G2396" s="3">
        <f t="shared" si="547"/>
        <v>13</v>
      </c>
      <c r="H2396" s="3">
        <f t="shared" si="548"/>
        <v>17</v>
      </c>
      <c r="I2396" s="3">
        <f t="shared" si="549"/>
        <v>19</v>
      </c>
      <c r="J2396" s="3">
        <f t="shared" si="550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51"/>
        <v>YES</v>
      </c>
      <c r="Q2396" t="str">
        <f t="shared" si="552"/>
        <v>NO</v>
      </c>
      <c r="R2396" t="str">
        <f t="shared" si="553"/>
        <v>NO</v>
      </c>
      <c r="S2396">
        <v>1623</v>
      </c>
      <c r="T2396" t="s">
        <v>14</v>
      </c>
      <c r="U2396" t="str">
        <f t="shared" si="540"/>
        <v>Massachusetts Ave</v>
      </c>
      <c r="W2396" t="str">
        <f t="shared" si="541"/>
        <v/>
      </c>
      <c r="X2396" t="str">
        <f>IF(ISBLANK(S2396),"Intersection","Non-Intersection")</f>
        <v>Non-Intersection</v>
      </c>
      <c r="Y2396" t="s">
        <v>3448</v>
      </c>
      <c r="Z2396" t="str">
        <f t="shared" si="542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43"/>
        <v>40544</v>
      </c>
      <c r="D2397" s="4">
        <f t="shared" si="544"/>
        <v>0.52876712328767128</v>
      </c>
      <c r="E2397" s="3">
        <f t="shared" si="545"/>
        <v>2011</v>
      </c>
      <c r="F2397" s="3">
        <f t="shared" si="546"/>
        <v>7</v>
      </c>
      <c r="G2397" s="3">
        <f t="shared" si="547"/>
        <v>13</v>
      </c>
      <c r="H2397" s="3">
        <f t="shared" si="548"/>
        <v>23</v>
      </c>
      <c r="I2397" s="3">
        <f t="shared" si="549"/>
        <v>0</v>
      </c>
      <c r="J2397" s="3">
        <f t="shared" si="550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51"/>
        <v>YES</v>
      </c>
      <c r="Q2397" t="str">
        <f t="shared" si="552"/>
        <v>NO</v>
      </c>
      <c r="R2397" t="str">
        <f t="shared" si="553"/>
        <v>NO</v>
      </c>
      <c r="S2397">
        <v>410</v>
      </c>
      <c r="T2397" t="s">
        <v>745</v>
      </c>
      <c r="U2397" t="str">
        <f t="shared" si="540"/>
        <v>Norfolk St</v>
      </c>
      <c r="W2397" t="str">
        <f t="shared" si="541"/>
        <v/>
      </c>
      <c r="X2397" t="str">
        <f>IF(ISBLANK(S2397),"Intersection","Non-Intersection")</f>
        <v>Non-Intersection</v>
      </c>
      <c r="Y2397" t="s">
        <v>3449</v>
      </c>
      <c r="Z2397" t="str">
        <f t="shared" si="542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43"/>
        <v>40544</v>
      </c>
      <c r="D2398" s="4">
        <f t="shared" si="544"/>
        <v>0.53150684931506853</v>
      </c>
      <c r="E2398" s="3">
        <f t="shared" si="545"/>
        <v>2011</v>
      </c>
      <c r="F2398" s="3">
        <f t="shared" si="546"/>
        <v>7</v>
      </c>
      <c r="G2398" s="3">
        <f t="shared" si="547"/>
        <v>14</v>
      </c>
      <c r="H2398" s="3">
        <f t="shared" si="548"/>
        <v>6</v>
      </c>
      <c r="I2398" s="3">
        <f t="shared" si="549"/>
        <v>59</v>
      </c>
      <c r="J2398" s="3">
        <f t="shared" si="550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51"/>
        <v>YES</v>
      </c>
      <c r="Q2398" t="str">
        <f t="shared" si="552"/>
        <v>NO</v>
      </c>
      <c r="R2398" t="str">
        <f t="shared" si="553"/>
        <v>NO</v>
      </c>
      <c r="T2398" t="s">
        <v>1062</v>
      </c>
      <c r="U2398" t="str">
        <f t="shared" si="540"/>
        <v>Cambridgeside Pl</v>
      </c>
      <c r="W2398" t="str">
        <f t="shared" si="541"/>
        <v/>
      </c>
      <c r="X2398" t="str">
        <f>IF(ISBLANK(S2398),"Intersection","Non-Intersection")</f>
        <v>Intersection</v>
      </c>
      <c r="Y2398" t="s">
        <v>1283</v>
      </c>
      <c r="Z2398" t="str">
        <f t="shared" si="542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43"/>
        <v>40544</v>
      </c>
      <c r="D2399" s="4">
        <f t="shared" si="544"/>
        <v>0.53150684931506853</v>
      </c>
      <c r="E2399" s="3">
        <f t="shared" si="545"/>
        <v>2011</v>
      </c>
      <c r="F2399" s="3">
        <f t="shared" si="546"/>
        <v>7</v>
      </c>
      <c r="G2399" s="3">
        <f t="shared" si="547"/>
        <v>14</v>
      </c>
      <c r="H2399" s="3">
        <f t="shared" si="548"/>
        <v>8</v>
      </c>
      <c r="I2399" s="3">
        <f t="shared" si="549"/>
        <v>49</v>
      </c>
      <c r="J2399" s="3">
        <f t="shared" si="550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51"/>
        <v>YES</v>
      </c>
      <c r="Q2399" t="str">
        <f t="shared" si="552"/>
        <v>NO</v>
      </c>
      <c r="R2399" t="str">
        <f t="shared" si="553"/>
        <v>NO</v>
      </c>
      <c r="T2399" t="s">
        <v>260</v>
      </c>
      <c r="U2399" t="str">
        <f t="shared" si="540"/>
        <v>Third St</v>
      </c>
      <c r="V2399" t="s">
        <v>1502</v>
      </c>
      <c r="W2399" t="str">
        <f t="shared" si="541"/>
        <v>Gore St</v>
      </c>
      <c r="X2399" t="str">
        <f>IF(ISBLANK(S2399),"Intersection","Non-Intersection")</f>
        <v>Intersection</v>
      </c>
      <c r="Y2399" t="s">
        <v>1503</v>
      </c>
      <c r="Z2399" t="str">
        <f t="shared" si="542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43"/>
        <v>40544</v>
      </c>
      <c r="D2400" s="4">
        <f t="shared" si="544"/>
        <v>0.53150684931506853</v>
      </c>
      <c r="E2400" s="3">
        <f t="shared" si="545"/>
        <v>2011</v>
      </c>
      <c r="F2400" s="3">
        <f t="shared" si="546"/>
        <v>7</v>
      </c>
      <c r="G2400" s="3">
        <f t="shared" si="547"/>
        <v>14</v>
      </c>
      <c r="H2400" s="3">
        <f t="shared" si="548"/>
        <v>8</v>
      </c>
      <c r="I2400" s="3">
        <f t="shared" si="549"/>
        <v>45</v>
      </c>
      <c r="J2400" s="3">
        <f t="shared" si="550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51"/>
        <v>YES</v>
      </c>
      <c r="Q2400" t="str">
        <f t="shared" si="552"/>
        <v>NO</v>
      </c>
      <c r="R2400" t="str">
        <f t="shared" si="553"/>
        <v>YES</v>
      </c>
      <c r="S2400">
        <v>120</v>
      </c>
      <c r="T2400" t="s">
        <v>202</v>
      </c>
      <c r="U2400" t="str">
        <f t="shared" si="540"/>
        <v>Vassar St</v>
      </c>
      <c r="W2400" t="str">
        <f t="shared" si="541"/>
        <v/>
      </c>
      <c r="X2400" t="str">
        <f>IF(ISBLANK(S2400),"Intersection","Non-Intersection")</f>
        <v>Non-Intersection</v>
      </c>
      <c r="Y2400" t="s">
        <v>1413</v>
      </c>
      <c r="Z2400" t="str">
        <f t="shared" si="542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43"/>
        <v>40544</v>
      </c>
      <c r="D2401" s="4">
        <f t="shared" si="544"/>
        <v>0.53150684931506853</v>
      </c>
      <c r="E2401" s="3">
        <f t="shared" si="545"/>
        <v>2011</v>
      </c>
      <c r="F2401" s="3">
        <f t="shared" si="546"/>
        <v>7</v>
      </c>
      <c r="G2401" s="3">
        <f t="shared" si="547"/>
        <v>14</v>
      </c>
      <c r="H2401" s="3">
        <f t="shared" si="548"/>
        <v>9</v>
      </c>
      <c r="I2401" s="3">
        <f t="shared" si="549"/>
        <v>4</v>
      </c>
      <c r="J2401" s="3">
        <f t="shared" si="550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51"/>
        <v>YES</v>
      </c>
      <c r="Q2401" t="str">
        <f t="shared" si="552"/>
        <v>NO</v>
      </c>
      <c r="R2401" t="str">
        <f t="shared" si="553"/>
        <v>NO</v>
      </c>
      <c r="T2401" t="s">
        <v>19</v>
      </c>
      <c r="U2401" t="str">
        <f t="shared" si="540"/>
        <v>Cambridge St</v>
      </c>
      <c r="V2401" t="s">
        <v>667</v>
      </c>
      <c r="W2401" t="str">
        <f t="shared" si="541"/>
        <v>Tremont St</v>
      </c>
      <c r="X2401" t="str">
        <f>IF(ISBLANK(S2401),"Intersection","Non-Intersection")</f>
        <v>Intersection</v>
      </c>
      <c r="Y2401" t="s">
        <v>3074</v>
      </c>
      <c r="Z2401" t="str">
        <f t="shared" si="542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43"/>
        <v>40544</v>
      </c>
      <c r="D2402" s="4">
        <f t="shared" si="544"/>
        <v>0.53150684931506853</v>
      </c>
      <c r="E2402" s="3">
        <f t="shared" si="545"/>
        <v>2011</v>
      </c>
      <c r="F2402" s="3">
        <f t="shared" si="546"/>
        <v>7</v>
      </c>
      <c r="G2402" s="3">
        <f t="shared" si="547"/>
        <v>14</v>
      </c>
      <c r="H2402" s="3">
        <f t="shared" si="548"/>
        <v>11</v>
      </c>
      <c r="I2402" s="3">
        <f t="shared" si="549"/>
        <v>0</v>
      </c>
      <c r="J2402" s="3">
        <f t="shared" si="550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51"/>
        <v>YES</v>
      </c>
      <c r="Q2402" t="str">
        <f t="shared" si="552"/>
        <v>NO</v>
      </c>
      <c r="R2402" t="str">
        <f t="shared" si="553"/>
        <v>NO</v>
      </c>
      <c r="T2402" t="s">
        <v>14</v>
      </c>
      <c r="U2402" t="str">
        <f t="shared" si="540"/>
        <v>Massachusetts Ave</v>
      </c>
      <c r="V2402" t="s">
        <v>170</v>
      </c>
      <c r="W2402" t="str">
        <f t="shared" si="541"/>
        <v>Alewife Brook Pky</v>
      </c>
      <c r="X2402" t="str">
        <f>IF(ISBLANK(S2402),"Intersection","Non-Intersection")</f>
        <v>Intersection</v>
      </c>
      <c r="Y2402" t="s">
        <v>2954</v>
      </c>
      <c r="Z2402" t="str">
        <f t="shared" si="542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43"/>
        <v>40544</v>
      </c>
      <c r="D2403" s="4">
        <f t="shared" si="544"/>
        <v>0.53150684931506853</v>
      </c>
      <c r="E2403" s="3">
        <f t="shared" si="545"/>
        <v>2011</v>
      </c>
      <c r="F2403" s="3">
        <f t="shared" si="546"/>
        <v>7</v>
      </c>
      <c r="G2403" s="3">
        <f t="shared" si="547"/>
        <v>14</v>
      </c>
      <c r="H2403" s="3">
        <f t="shared" si="548"/>
        <v>17</v>
      </c>
      <c r="I2403" s="3">
        <f t="shared" si="549"/>
        <v>36</v>
      </c>
      <c r="J2403" s="3">
        <f t="shared" si="550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51"/>
        <v>YES</v>
      </c>
      <c r="Q2403" t="str">
        <f t="shared" si="552"/>
        <v>YES</v>
      </c>
      <c r="R2403" t="str">
        <f t="shared" si="553"/>
        <v>NO</v>
      </c>
      <c r="T2403" t="s">
        <v>14</v>
      </c>
      <c r="U2403" t="str">
        <f t="shared" si="540"/>
        <v>Massachusetts Ave</v>
      </c>
      <c r="V2403" t="s">
        <v>1272</v>
      </c>
      <c r="W2403" t="str">
        <f t="shared" si="541"/>
        <v>Forest St</v>
      </c>
      <c r="X2403" t="str">
        <f>IF(ISBLANK(S2403),"Intersection","Non-Intersection")</f>
        <v>Intersection</v>
      </c>
      <c r="Y2403" t="s">
        <v>1273</v>
      </c>
      <c r="Z2403" t="str">
        <f t="shared" si="542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43"/>
        <v>40544</v>
      </c>
      <c r="D2404" s="4">
        <f t="shared" si="544"/>
        <v>0.53150684931506853</v>
      </c>
      <c r="E2404" s="3">
        <f t="shared" si="545"/>
        <v>2011</v>
      </c>
      <c r="F2404" s="3">
        <f t="shared" si="546"/>
        <v>7</v>
      </c>
      <c r="G2404" s="3">
        <f t="shared" si="547"/>
        <v>14</v>
      </c>
      <c r="H2404" s="3">
        <f t="shared" si="548"/>
        <v>18</v>
      </c>
      <c r="I2404" s="3">
        <f t="shared" si="549"/>
        <v>59</v>
      </c>
      <c r="J2404" s="3">
        <f t="shared" si="550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51"/>
        <v>YES</v>
      </c>
      <c r="Q2404" t="str">
        <f t="shared" si="552"/>
        <v>NO</v>
      </c>
      <c r="R2404" t="str">
        <f t="shared" si="553"/>
        <v>NO</v>
      </c>
      <c r="T2404" t="s">
        <v>667</v>
      </c>
      <c r="U2404" t="str">
        <f t="shared" si="540"/>
        <v>Tremont St</v>
      </c>
      <c r="W2404" t="str">
        <f t="shared" si="541"/>
        <v/>
      </c>
      <c r="X2404" t="str">
        <f>IF(ISBLANK(S2404),"Intersection","Non-Intersection")</f>
        <v>Intersection</v>
      </c>
      <c r="Y2404" t="s">
        <v>2772</v>
      </c>
      <c r="Z2404" t="str">
        <f t="shared" si="542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43"/>
        <v>40544</v>
      </c>
      <c r="D2405" s="4">
        <f t="shared" si="544"/>
        <v>0.53150684931506853</v>
      </c>
      <c r="E2405" s="3">
        <f t="shared" si="545"/>
        <v>2011</v>
      </c>
      <c r="F2405" s="3">
        <f t="shared" si="546"/>
        <v>7</v>
      </c>
      <c r="G2405" s="3">
        <f t="shared" si="547"/>
        <v>14</v>
      </c>
      <c r="H2405" s="3">
        <f t="shared" si="548"/>
        <v>19</v>
      </c>
      <c r="I2405" s="3">
        <f t="shared" si="549"/>
        <v>30</v>
      </c>
      <c r="J2405" s="3">
        <f t="shared" si="550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51"/>
        <v>YES</v>
      </c>
      <c r="Q2405" t="str">
        <f t="shared" si="552"/>
        <v>NO</v>
      </c>
      <c r="R2405" t="str">
        <f t="shared" si="553"/>
        <v>NO</v>
      </c>
      <c r="S2405">
        <v>544</v>
      </c>
      <c r="T2405" t="s">
        <v>142</v>
      </c>
      <c r="U2405" t="str">
        <f t="shared" si="540"/>
        <v>Huron Ave</v>
      </c>
      <c r="W2405" t="str">
        <f t="shared" si="541"/>
        <v/>
      </c>
      <c r="X2405" t="str">
        <f>IF(ISBLANK(S2405),"Intersection","Non-Intersection")</f>
        <v>Non-Intersection</v>
      </c>
      <c r="Y2405" t="s">
        <v>3451</v>
      </c>
      <c r="Z2405" t="str">
        <f t="shared" si="542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43"/>
        <v>40544</v>
      </c>
      <c r="D2406" s="4">
        <f t="shared" si="544"/>
        <v>0.53150684931506853</v>
      </c>
      <c r="E2406" s="3">
        <f t="shared" si="545"/>
        <v>2011</v>
      </c>
      <c r="F2406" s="3">
        <f t="shared" si="546"/>
        <v>7</v>
      </c>
      <c r="G2406" s="3">
        <f t="shared" si="547"/>
        <v>14</v>
      </c>
      <c r="H2406" s="3">
        <f t="shared" si="548"/>
        <v>9</v>
      </c>
      <c r="I2406" s="3">
        <f t="shared" si="549"/>
        <v>59</v>
      </c>
      <c r="J2406" s="3">
        <f t="shared" si="550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51"/>
        <v>YES</v>
      </c>
      <c r="Q2406" t="str">
        <f t="shared" si="552"/>
        <v>NO</v>
      </c>
      <c r="R2406" t="str">
        <f t="shared" si="553"/>
        <v>NO</v>
      </c>
      <c r="S2406">
        <v>22</v>
      </c>
      <c r="T2406" t="s">
        <v>186</v>
      </c>
      <c r="U2406" t="str">
        <f t="shared" si="540"/>
        <v>Concord Ave</v>
      </c>
      <c r="W2406" t="str">
        <f t="shared" si="541"/>
        <v/>
      </c>
      <c r="X2406" t="str">
        <f>IF(ISBLANK(S2406),"Intersection","Non-Intersection")</f>
        <v>Non-Intersection</v>
      </c>
      <c r="Y2406" t="s">
        <v>3453</v>
      </c>
      <c r="Z2406" t="str">
        <f t="shared" si="542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43"/>
        <v>40544</v>
      </c>
      <c r="D2407" s="4">
        <f t="shared" si="544"/>
        <v>0.53150684931506853</v>
      </c>
      <c r="E2407" s="3">
        <f t="shared" si="545"/>
        <v>2011</v>
      </c>
      <c r="F2407" s="3">
        <f t="shared" si="546"/>
        <v>7</v>
      </c>
      <c r="G2407" s="3">
        <f t="shared" si="547"/>
        <v>14</v>
      </c>
      <c r="H2407" s="3">
        <f t="shared" si="548"/>
        <v>21</v>
      </c>
      <c r="I2407" s="3">
        <f t="shared" si="549"/>
        <v>30</v>
      </c>
      <c r="J2407" s="3">
        <f t="shared" si="550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51"/>
        <v>YES</v>
      </c>
      <c r="Q2407" t="str">
        <f t="shared" si="552"/>
        <v>NO</v>
      </c>
      <c r="R2407" t="str">
        <f t="shared" si="553"/>
        <v>NO</v>
      </c>
      <c r="T2407" t="s">
        <v>3455</v>
      </c>
      <c r="U2407" t="str">
        <f t="shared" si="540"/>
        <v>Harris St</v>
      </c>
      <c r="V2407" t="s">
        <v>1701</v>
      </c>
      <c r="W2407" t="str">
        <f t="shared" si="541"/>
        <v>Prentiss St</v>
      </c>
      <c r="X2407" t="str">
        <f>IF(ISBLANK(S2407),"Intersection","Non-Intersection")</f>
        <v>Intersection</v>
      </c>
      <c r="Y2407" t="s">
        <v>3456</v>
      </c>
      <c r="Z2407" t="str">
        <f t="shared" si="542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43"/>
        <v>40544</v>
      </c>
      <c r="D2408" s="4">
        <f t="shared" si="544"/>
        <v>0.53424657534246578</v>
      </c>
      <c r="E2408" s="3">
        <f t="shared" si="545"/>
        <v>2011</v>
      </c>
      <c r="F2408" s="3">
        <f t="shared" si="546"/>
        <v>7</v>
      </c>
      <c r="G2408" s="3">
        <f t="shared" si="547"/>
        <v>15</v>
      </c>
      <c r="H2408" s="3">
        <f t="shared" si="548"/>
        <v>18</v>
      </c>
      <c r="I2408" s="3">
        <f t="shared" si="549"/>
        <v>59</v>
      </c>
      <c r="J2408" s="3">
        <f t="shared" si="550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51"/>
        <v>YES</v>
      </c>
      <c r="Q2408" t="str">
        <f t="shared" si="552"/>
        <v>NO</v>
      </c>
      <c r="R2408" t="str">
        <f t="shared" si="553"/>
        <v>NO</v>
      </c>
      <c r="S2408">
        <v>292</v>
      </c>
      <c r="T2408" t="s">
        <v>27</v>
      </c>
      <c r="U2408" t="str">
        <f t="shared" si="540"/>
        <v>Western Ave</v>
      </c>
      <c r="W2408" t="str">
        <f t="shared" si="541"/>
        <v/>
      </c>
      <c r="X2408" t="str">
        <f>IF(ISBLANK(S2408),"Intersection","Non-Intersection")</f>
        <v>Non-Intersection</v>
      </c>
      <c r="Y2408" t="s">
        <v>3458</v>
      </c>
      <c r="Z2408" t="str">
        <f t="shared" si="542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43"/>
        <v>40544</v>
      </c>
      <c r="D2409" s="4">
        <f t="shared" si="544"/>
        <v>0.53424657534246578</v>
      </c>
      <c r="E2409" s="3">
        <f t="shared" si="545"/>
        <v>2011</v>
      </c>
      <c r="F2409" s="3">
        <f t="shared" si="546"/>
        <v>7</v>
      </c>
      <c r="G2409" s="3">
        <f t="shared" si="547"/>
        <v>15</v>
      </c>
      <c r="H2409" s="3">
        <f t="shared" si="548"/>
        <v>21</v>
      </c>
      <c r="I2409" s="3">
        <f t="shared" si="549"/>
        <v>40</v>
      </c>
      <c r="J2409" s="3">
        <f t="shared" si="550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51"/>
        <v>YES</v>
      </c>
      <c r="Q2409" t="str">
        <f t="shared" si="552"/>
        <v>NO</v>
      </c>
      <c r="R2409" t="str">
        <f t="shared" si="553"/>
        <v>YES</v>
      </c>
      <c r="S2409">
        <v>55</v>
      </c>
      <c r="T2409" t="s">
        <v>316</v>
      </c>
      <c r="U2409" t="str">
        <f t="shared" si="540"/>
        <v>Bishop Allen Dr</v>
      </c>
      <c r="W2409" t="str">
        <f t="shared" si="541"/>
        <v/>
      </c>
      <c r="X2409" t="str">
        <f>IF(ISBLANK(S2409),"Intersection","Non-Intersection")</f>
        <v>Non-Intersection</v>
      </c>
      <c r="Y2409" t="s">
        <v>1889</v>
      </c>
      <c r="Z2409" t="str">
        <f t="shared" si="542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43"/>
        <v>40544</v>
      </c>
      <c r="D2410" s="4">
        <f t="shared" si="544"/>
        <v>0.53698630136986303</v>
      </c>
      <c r="E2410" s="3">
        <f t="shared" si="545"/>
        <v>2011</v>
      </c>
      <c r="F2410" s="3">
        <f t="shared" si="546"/>
        <v>7</v>
      </c>
      <c r="G2410" s="3">
        <f t="shared" si="547"/>
        <v>16</v>
      </c>
      <c r="H2410" s="3">
        <f t="shared" si="548"/>
        <v>0</v>
      </c>
      <c r="I2410" s="3">
        <f t="shared" si="549"/>
        <v>59</v>
      </c>
      <c r="J2410" s="3">
        <f t="shared" si="550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51"/>
        <v>YES</v>
      </c>
      <c r="Q2410" t="str">
        <f t="shared" si="552"/>
        <v>NO</v>
      </c>
      <c r="R2410" t="str">
        <f t="shared" si="553"/>
        <v>NO</v>
      </c>
      <c r="S2410">
        <v>193</v>
      </c>
      <c r="T2410" t="s">
        <v>75</v>
      </c>
      <c r="U2410" t="str">
        <f t="shared" si="540"/>
        <v>Elm St</v>
      </c>
      <c r="W2410" t="str">
        <f t="shared" si="541"/>
        <v/>
      </c>
      <c r="X2410" t="str">
        <f>IF(ISBLANK(S2410),"Intersection","Non-Intersection")</f>
        <v>Non-Intersection</v>
      </c>
      <c r="Y2410" t="s">
        <v>3460</v>
      </c>
      <c r="Z2410" t="str">
        <f t="shared" si="542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43"/>
        <v>40544</v>
      </c>
      <c r="D2411" s="4">
        <f t="shared" si="544"/>
        <v>0.53698630136986303</v>
      </c>
      <c r="E2411" s="3">
        <f t="shared" si="545"/>
        <v>2011</v>
      </c>
      <c r="F2411" s="3">
        <f t="shared" si="546"/>
        <v>7</v>
      </c>
      <c r="G2411" s="3">
        <f t="shared" si="547"/>
        <v>16</v>
      </c>
      <c r="H2411" s="3">
        <f t="shared" si="548"/>
        <v>2</v>
      </c>
      <c r="I2411" s="3">
        <f t="shared" si="549"/>
        <v>0</v>
      </c>
      <c r="J2411" s="3">
        <f t="shared" si="550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51"/>
        <v>YES</v>
      </c>
      <c r="Q2411" t="str">
        <f t="shared" si="552"/>
        <v>NO</v>
      </c>
      <c r="R2411" t="str">
        <f t="shared" si="553"/>
        <v>NO</v>
      </c>
      <c r="T2411" t="s">
        <v>509</v>
      </c>
      <c r="U2411" t="str">
        <f t="shared" si="540"/>
        <v>Green St</v>
      </c>
      <c r="V2411" t="s">
        <v>453</v>
      </c>
      <c r="W2411" t="str">
        <f t="shared" si="541"/>
        <v>Brookline St</v>
      </c>
      <c r="X2411" t="str">
        <f>IF(ISBLANK(S2411),"Intersection","Non-Intersection")</f>
        <v>Intersection</v>
      </c>
      <c r="Y2411" t="s">
        <v>3462</v>
      </c>
      <c r="Z2411" t="str">
        <f t="shared" si="542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43"/>
        <v>40544</v>
      </c>
      <c r="D2412" s="4">
        <f t="shared" si="544"/>
        <v>0.53698630136986303</v>
      </c>
      <c r="E2412" s="3">
        <f t="shared" si="545"/>
        <v>2011</v>
      </c>
      <c r="F2412" s="3">
        <f t="shared" si="546"/>
        <v>7</v>
      </c>
      <c r="G2412" s="3">
        <f t="shared" si="547"/>
        <v>16</v>
      </c>
      <c r="H2412" s="3">
        <f t="shared" si="548"/>
        <v>3</v>
      </c>
      <c r="I2412" s="3">
        <f t="shared" si="549"/>
        <v>14</v>
      </c>
      <c r="J2412" s="3">
        <f t="shared" si="550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51"/>
        <v>YES</v>
      </c>
      <c r="Q2412" t="str">
        <f t="shared" si="552"/>
        <v>NO</v>
      </c>
      <c r="R2412" t="str">
        <f t="shared" si="553"/>
        <v>NO</v>
      </c>
      <c r="T2412" t="s">
        <v>14</v>
      </c>
      <c r="U2412" t="str">
        <f t="shared" si="540"/>
        <v>Massachusetts Ave</v>
      </c>
      <c r="V2412" t="s">
        <v>453</v>
      </c>
      <c r="W2412" t="str">
        <f t="shared" si="541"/>
        <v>Brookline St</v>
      </c>
      <c r="X2412" t="str">
        <f>IF(ISBLANK(S2412),"Intersection","Non-Intersection")</f>
        <v>Intersection</v>
      </c>
      <c r="Y2412" t="s">
        <v>3069</v>
      </c>
      <c r="Z2412" t="str">
        <f t="shared" si="542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43"/>
        <v>40544</v>
      </c>
      <c r="D2413" s="4">
        <f t="shared" si="544"/>
        <v>0.53698630136986303</v>
      </c>
      <c r="E2413" s="3">
        <f t="shared" si="545"/>
        <v>2011</v>
      </c>
      <c r="F2413" s="3">
        <f t="shared" si="546"/>
        <v>7</v>
      </c>
      <c r="G2413" s="3">
        <f t="shared" si="547"/>
        <v>16</v>
      </c>
      <c r="H2413" s="3">
        <f t="shared" si="548"/>
        <v>11</v>
      </c>
      <c r="I2413" s="3">
        <f t="shared" si="549"/>
        <v>0</v>
      </c>
      <c r="J2413" s="3">
        <f t="shared" si="550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51"/>
        <v>YES</v>
      </c>
      <c r="Q2413" t="str">
        <f t="shared" si="552"/>
        <v>NO</v>
      </c>
      <c r="R2413" t="str">
        <f t="shared" si="553"/>
        <v>NO</v>
      </c>
      <c r="S2413">
        <v>1613</v>
      </c>
      <c r="T2413" t="s">
        <v>14</v>
      </c>
      <c r="U2413" t="str">
        <f t="shared" si="540"/>
        <v>Massachusetts Ave</v>
      </c>
      <c r="W2413" t="str">
        <f t="shared" si="541"/>
        <v/>
      </c>
      <c r="X2413" t="str">
        <f>IF(ISBLANK(S2413),"Intersection","Non-Intersection")</f>
        <v>Non-Intersection</v>
      </c>
      <c r="Y2413" t="s">
        <v>3463</v>
      </c>
      <c r="Z2413" t="str">
        <f t="shared" si="542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43"/>
        <v>40544</v>
      </c>
      <c r="D2414" s="4">
        <f t="shared" si="544"/>
        <v>0.53698630136986303</v>
      </c>
      <c r="E2414" s="3">
        <f t="shared" si="545"/>
        <v>2011</v>
      </c>
      <c r="F2414" s="3">
        <f t="shared" si="546"/>
        <v>7</v>
      </c>
      <c r="G2414" s="3">
        <f t="shared" si="547"/>
        <v>16</v>
      </c>
      <c r="H2414" s="3">
        <f t="shared" si="548"/>
        <v>17</v>
      </c>
      <c r="I2414" s="3">
        <f t="shared" si="549"/>
        <v>10</v>
      </c>
      <c r="J2414" s="3">
        <f t="shared" si="550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51"/>
        <v>YES</v>
      </c>
      <c r="Q2414" t="str">
        <f t="shared" si="552"/>
        <v>NO</v>
      </c>
      <c r="R2414" t="str">
        <f t="shared" si="553"/>
        <v>NO</v>
      </c>
      <c r="T2414" t="s">
        <v>199</v>
      </c>
      <c r="U2414" t="str">
        <f t="shared" si="540"/>
        <v>Brattle St</v>
      </c>
      <c r="V2414" t="s">
        <v>326</v>
      </c>
      <c r="W2414" t="str">
        <f t="shared" si="541"/>
        <v>Jfk St</v>
      </c>
      <c r="X2414" t="str">
        <f>IF(ISBLANK(S2414),"Intersection","Non-Intersection")</f>
        <v>Intersection</v>
      </c>
      <c r="Y2414" t="s">
        <v>574</v>
      </c>
      <c r="Z2414" t="str">
        <f t="shared" si="542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43"/>
        <v>40544</v>
      </c>
      <c r="D2415" s="4">
        <f t="shared" si="544"/>
        <v>0.53698630136986303</v>
      </c>
      <c r="E2415" s="3">
        <f t="shared" si="545"/>
        <v>2011</v>
      </c>
      <c r="F2415" s="3">
        <f t="shared" si="546"/>
        <v>7</v>
      </c>
      <c r="G2415" s="3">
        <f t="shared" si="547"/>
        <v>16</v>
      </c>
      <c r="H2415" s="3">
        <f t="shared" si="548"/>
        <v>19</v>
      </c>
      <c r="I2415" s="3">
        <f t="shared" si="549"/>
        <v>14</v>
      </c>
      <c r="J2415" s="3">
        <f t="shared" si="550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51"/>
        <v>YES</v>
      </c>
      <c r="Q2415" t="str">
        <f t="shared" si="552"/>
        <v>NO</v>
      </c>
      <c r="R2415" t="str">
        <f t="shared" si="553"/>
        <v>NO</v>
      </c>
      <c r="T2415" t="s">
        <v>2192</v>
      </c>
      <c r="U2415" t="str">
        <f t="shared" si="540"/>
        <v>Montague St</v>
      </c>
      <c r="W2415" t="str">
        <f t="shared" si="541"/>
        <v/>
      </c>
      <c r="X2415" t="str">
        <f>IF(ISBLANK(S2415),"Intersection","Non-Intersection")</f>
        <v>Intersection</v>
      </c>
      <c r="Y2415" t="s">
        <v>3465</v>
      </c>
      <c r="Z2415" t="str">
        <f t="shared" si="542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43"/>
        <v>40544</v>
      </c>
      <c r="D2416" s="4">
        <f t="shared" si="544"/>
        <v>0.53698630136986303</v>
      </c>
      <c r="E2416" s="3">
        <f t="shared" si="545"/>
        <v>2011</v>
      </c>
      <c r="F2416" s="3">
        <f t="shared" si="546"/>
        <v>7</v>
      </c>
      <c r="G2416" s="3">
        <f t="shared" si="547"/>
        <v>16</v>
      </c>
      <c r="H2416" s="3">
        <f t="shared" si="548"/>
        <v>23</v>
      </c>
      <c r="I2416" s="3">
        <f t="shared" si="549"/>
        <v>39</v>
      </c>
      <c r="J2416" s="3">
        <f t="shared" si="550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51"/>
        <v>YES</v>
      </c>
      <c r="Q2416" t="str">
        <f t="shared" si="552"/>
        <v>NO</v>
      </c>
      <c r="R2416" t="str">
        <f t="shared" si="553"/>
        <v>NO</v>
      </c>
      <c r="S2416">
        <v>100</v>
      </c>
      <c r="T2416" t="s">
        <v>1013</v>
      </c>
      <c r="U2416" t="str">
        <f t="shared" si="540"/>
        <v>Blanchard Rd</v>
      </c>
      <c r="W2416" t="str">
        <f t="shared" si="541"/>
        <v/>
      </c>
      <c r="X2416" t="str">
        <f>IF(ISBLANK(S2416),"Intersection","Non-Intersection")</f>
        <v>Non-Intersection</v>
      </c>
      <c r="Y2416" t="s">
        <v>3466</v>
      </c>
      <c r="Z2416" t="str">
        <f t="shared" si="542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43"/>
        <v>40544</v>
      </c>
      <c r="D2417" s="4">
        <f t="shared" si="544"/>
        <v>0.53972602739726028</v>
      </c>
      <c r="E2417" s="3">
        <f t="shared" si="545"/>
        <v>2011</v>
      </c>
      <c r="F2417" s="3">
        <f t="shared" si="546"/>
        <v>7</v>
      </c>
      <c r="G2417" s="3">
        <f t="shared" si="547"/>
        <v>17</v>
      </c>
      <c r="H2417" s="3">
        <f t="shared" si="548"/>
        <v>17</v>
      </c>
      <c r="I2417" s="3">
        <f t="shared" si="549"/>
        <v>44</v>
      </c>
      <c r="J2417" s="3">
        <f t="shared" si="550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51"/>
        <v>YES</v>
      </c>
      <c r="Q2417" t="str">
        <f t="shared" si="552"/>
        <v>NO</v>
      </c>
      <c r="R2417" t="str">
        <f t="shared" si="553"/>
        <v>NO</v>
      </c>
      <c r="S2417">
        <v>186</v>
      </c>
      <c r="T2417" t="s">
        <v>170</v>
      </c>
      <c r="U2417" t="str">
        <f t="shared" si="540"/>
        <v>Alewife Brook Pky</v>
      </c>
      <c r="W2417" t="str">
        <f t="shared" si="541"/>
        <v/>
      </c>
      <c r="X2417" t="str">
        <f>IF(ISBLANK(S2417),"Intersection","Non-Intersection")</f>
        <v>Non-Intersection</v>
      </c>
      <c r="Y2417" t="s">
        <v>242</v>
      </c>
      <c r="Z2417" t="str">
        <f t="shared" si="542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43"/>
        <v>40544</v>
      </c>
      <c r="D2418" s="4">
        <f t="shared" si="544"/>
        <v>0.54246575342465753</v>
      </c>
      <c r="E2418" s="3">
        <f t="shared" si="545"/>
        <v>2011</v>
      </c>
      <c r="F2418" s="3">
        <f t="shared" si="546"/>
        <v>7</v>
      </c>
      <c r="G2418" s="3">
        <f t="shared" si="547"/>
        <v>18</v>
      </c>
      <c r="H2418" s="3">
        <f t="shared" si="548"/>
        <v>18</v>
      </c>
      <c r="I2418" s="3">
        <f t="shared" si="549"/>
        <v>7</v>
      </c>
      <c r="J2418" s="3">
        <f t="shared" si="550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51"/>
        <v>YES</v>
      </c>
      <c r="Q2418" t="str">
        <f t="shared" si="552"/>
        <v>NO</v>
      </c>
      <c r="R2418" t="str">
        <f t="shared" si="553"/>
        <v>NO</v>
      </c>
      <c r="T2418" t="s">
        <v>42</v>
      </c>
      <c r="U2418" t="str">
        <f t="shared" si="540"/>
        <v>Putnam Ave</v>
      </c>
      <c r="V2418" t="s">
        <v>178</v>
      </c>
      <c r="W2418" t="str">
        <f t="shared" si="541"/>
        <v>Pleasant St</v>
      </c>
      <c r="X2418" t="str">
        <f>IF(ISBLANK(S2418),"Intersection","Non-Intersection")</f>
        <v>Intersection</v>
      </c>
      <c r="Y2418" t="s">
        <v>179</v>
      </c>
      <c r="Z2418" t="str">
        <f t="shared" si="542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43"/>
        <v>40544</v>
      </c>
      <c r="D2419" s="4">
        <f t="shared" si="544"/>
        <v>0.54246575342465753</v>
      </c>
      <c r="E2419" s="3">
        <f t="shared" si="545"/>
        <v>2011</v>
      </c>
      <c r="F2419" s="3">
        <f t="shared" si="546"/>
        <v>7</v>
      </c>
      <c r="G2419" s="3">
        <f t="shared" si="547"/>
        <v>18</v>
      </c>
      <c r="H2419" s="3">
        <f t="shared" si="548"/>
        <v>20</v>
      </c>
      <c r="I2419" s="3">
        <f t="shared" si="549"/>
        <v>52</v>
      </c>
      <c r="J2419" s="3">
        <f t="shared" si="550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51"/>
        <v>YES</v>
      </c>
      <c r="Q2419" t="str">
        <f t="shared" si="552"/>
        <v>YES</v>
      </c>
      <c r="R2419" t="str">
        <f t="shared" si="553"/>
        <v>NO</v>
      </c>
      <c r="T2419" t="s">
        <v>14</v>
      </c>
      <c r="U2419" t="str">
        <f t="shared" si="540"/>
        <v>Massachusetts Ave</v>
      </c>
      <c r="V2419" t="s">
        <v>202</v>
      </c>
      <c r="W2419" t="str">
        <f t="shared" si="541"/>
        <v>Vassar St</v>
      </c>
      <c r="X2419" t="str">
        <f>IF(ISBLANK(S2419),"Intersection","Non-Intersection")</f>
        <v>Intersection</v>
      </c>
      <c r="Y2419" t="s">
        <v>361</v>
      </c>
      <c r="Z2419" t="str">
        <f t="shared" si="542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43"/>
        <v>40544</v>
      </c>
      <c r="D2420" s="4">
        <f t="shared" si="544"/>
        <v>0.54520547945205478</v>
      </c>
      <c r="E2420" s="3">
        <f t="shared" si="545"/>
        <v>2011</v>
      </c>
      <c r="F2420" s="3">
        <f t="shared" si="546"/>
        <v>7</v>
      </c>
      <c r="G2420" s="3">
        <f t="shared" si="547"/>
        <v>19</v>
      </c>
      <c r="H2420" s="3">
        <f t="shared" si="548"/>
        <v>9</v>
      </c>
      <c r="I2420" s="3">
        <f t="shared" si="549"/>
        <v>26</v>
      </c>
      <c r="J2420" s="3">
        <f t="shared" si="550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51"/>
        <v>YES</v>
      </c>
      <c r="Q2420" t="str">
        <f t="shared" si="552"/>
        <v>NO</v>
      </c>
      <c r="R2420" t="str">
        <f t="shared" si="553"/>
        <v>NO</v>
      </c>
      <c r="T2420" t="s">
        <v>70</v>
      </c>
      <c r="U2420" t="str">
        <f t="shared" si="540"/>
        <v>Pearl St</v>
      </c>
      <c r="V2420" t="s">
        <v>116</v>
      </c>
      <c r="W2420" t="str">
        <f t="shared" si="541"/>
        <v>Chestnut St</v>
      </c>
      <c r="X2420" t="str">
        <f>IF(ISBLANK(S2420),"Intersection","Non-Intersection")</f>
        <v>Intersection</v>
      </c>
      <c r="Y2420" t="s">
        <v>3160</v>
      </c>
      <c r="Z2420" t="str">
        <f t="shared" si="542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43"/>
        <v>40544</v>
      </c>
      <c r="D2421" s="4">
        <f t="shared" si="544"/>
        <v>0.54520547945205478</v>
      </c>
      <c r="E2421" s="3">
        <f t="shared" si="545"/>
        <v>2011</v>
      </c>
      <c r="F2421" s="3">
        <f t="shared" si="546"/>
        <v>7</v>
      </c>
      <c r="G2421" s="3">
        <f t="shared" si="547"/>
        <v>19</v>
      </c>
      <c r="H2421" s="3">
        <f t="shared" si="548"/>
        <v>6</v>
      </c>
      <c r="I2421" s="3">
        <f t="shared" si="549"/>
        <v>59</v>
      </c>
      <c r="J2421" s="3">
        <f t="shared" si="550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51"/>
        <v>YES</v>
      </c>
      <c r="Q2421" t="str">
        <f t="shared" si="552"/>
        <v>NO</v>
      </c>
      <c r="R2421" t="str">
        <f t="shared" si="553"/>
        <v>NO</v>
      </c>
      <c r="T2421" t="s">
        <v>198</v>
      </c>
      <c r="U2421" t="str">
        <f t="shared" si="540"/>
        <v>Mount Auburn St</v>
      </c>
      <c r="V2421" t="s">
        <v>325</v>
      </c>
      <c r="W2421" t="str">
        <f t="shared" si="541"/>
        <v>Eliot St</v>
      </c>
      <c r="X2421" t="str">
        <f>IF(ISBLANK(S2421),"Intersection","Non-Intersection")</f>
        <v>Intersection</v>
      </c>
      <c r="Y2421" t="s">
        <v>2041</v>
      </c>
      <c r="Z2421" t="str">
        <f t="shared" si="542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43"/>
        <v>40544</v>
      </c>
      <c r="D2422" s="4">
        <f t="shared" si="544"/>
        <v>0.54520547945205478</v>
      </c>
      <c r="E2422" s="3">
        <f t="shared" si="545"/>
        <v>2011</v>
      </c>
      <c r="F2422" s="3">
        <f t="shared" si="546"/>
        <v>7</v>
      </c>
      <c r="G2422" s="3">
        <f t="shared" si="547"/>
        <v>19</v>
      </c>
      <c r="H2422" s="3">
        <f t="shared" si="548"/>
        <v>18</v>
      </c>
      <c r="I2422" s="3">
        <f t="shared" si="549"/>
        <v>21</v>
      </c>
      <c r="J2422" s="3">
        <f t="shared" si="550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51"/>
        <v>YES</v>
      </c>
      <c r="Q2422" t="str">
        <f t="shared" si="552"/>
        <v>YES</v>
      </c>
      <c r="R2422" t="str">
        <f t="shared" si="553"/>
        <v>NO</v>
      </c>
      <c r="S2422">
        <v>629</v>
      </c>
      <c r="T2422" t="s">
        <v>14</v>
      </c>
      <c r="U2422" t="str">
        <f t="shared" si="540"/>
        <v>Massachusetts Ave</v>
      </c>
      <c r="W2422" t="str">
        <f t="shared" si="541"/>
        <v/>
      </c>
      <c r="X2422" t="str">
        <f>IF(ISBLANK(S2422),"Intersection","Non-Intersection")</f>
        <v>Non-Intersection</v>
      </c>
      <c r="Y2422" t="s">
        <v>3470</v>
      </c>
      <c r="Z2422" t="str">
        <f t="shared" si="542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43"/>
        <v>40544</v>
      </c>
      <c r="D2423" s="4">
        <f t="shared" si="544"/>
        <v>0.54520547945205478</v>
      </c>
      <c r="E2423" s="3">
        <f t="shared" si="545"/>
        <v>2011</v>
      </c>
      <c r="F2423" s="3">
        <f t="shared" si="546"/>
        <v>7</v>
      </c>
      <c r="G2423" s="3">
        <f t="shared" si="547"/>
        <v>19</v>
      </c>
      <c r="H2423" s="3">
        <f t="shared" si="548"/>
        <v>0</v>
      </c>
      <c r="I2423" s="3">
        <f t="shared" si="549"/>
        <v>59</v>
      </c>
      <c r="J2423" s="3">
        <f t="shared" si="550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51"/>
        <v>YES</v>
      </c>
      <c r="Q2423" t="str">
        <f t="shared" si="552"/>
        <v>NO</v>
      </c>
      <c r="R2423" t="str">
        <f t="shared" si="553"/>
        <v>NO</v>
      </c>
      <c r="S2423">
        <v>77</v>
      </c>
      <c r="T2423" t="s">
        <v>1152</v>
      </c>
      <c r="U2423" t="str">
        <f t="shared" si="540"/>
        <v>Hamilton St</v>
      </c>
      <c r="W2423" t="str">
        <f t="shared" si="541"/>
        <v/>
      </c>
      <c r="X2423" t="str">
        <f>IF(ISBLANK(S2423),"Intersection","Non-Intersection")</f>
        <v>Non-Intersection</v>
      </c>
      <c r="Y2423" t="s">
        <v>3472</v>
      </c>
      <c r="Z2423" t="str">
        <f t="shared" si="542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43"/>
        <v>40544</v>
      </c>
      <c r="D2424" s="4">
        <f t="shared" si="544"/>
        <v>0.54794520547945202</v>
      </c>
      <c r="E2424" s="3">
        <f t="shared" si="545"/>
        <v>2011</v>
      </c>
      <c r="F2424" s="3">
        <f t="shared" si="546"/>
        <v>7</v>
      </c>
      <c r="G2424" s="3">
        <f t="shared" si="547"/>
        <v>20</v>
      </c>
      <c r="H2424" s="3">
        <f t="shared" si="548"/>
        <v>9</v>
      </c>
      <c r="I2424" s="3">
        <f t="shared" si="549"/>
        <v>24</v>
      </c>
      <c r="J2424" s="3">
        <f t="shared" si="550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51"/>
        <v>YES</v>
      </c>
      <c r="Q2424" t="str">
        <f t="shared" si="552"/>
        <v>NO</v>
      </c>
      <c r="R2424" t="str">
        <f t="shared" si="553"/>
        <v>NO</v>
      </c>
      <c r="T2424" t="s">
        <v>186</v>
      </c>
      <c r="U2424" t="str">
        <f t="shared" si="540"/>
        <v>Concord Ave</v>
      </c>
      <c r="V2424" t="s">
        <v>1132</v>
      </c>
      <c r="W2424" t="str">
        <f t="shared" si="541"/>
        <v>Moulton St</v>
      </c>
      <c r="X2424" t="str">
        <f>IF(ISBLANK(S2424),"Intersection","Non-Intersection")</f>
        <v>Intersection</v>
      </c>
      <c r="Y2424" t="s">
        <v>1133</v>
      </c>
      <c r="Z2424" t="str">
        <f t="shared" si="542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43"/>
        <v>40544</v>
      </c>
      <c r="D2425" s="4">
        <f t="shared" si="544"/>
        <v>0.55068493150684927</v>
      </c>
      <c r="E2425" s="3">
        <f t="shared" si="545"/>
        <v>2011</v>
      </c>
      <c r="F2425" s="3">
        <f t="shared" si="546"/>
        <v>7</v>
      </c>
      <c r="G2425" s="3">
        <f t="shared" si="547"/>
        <v>21</v>
      </c>
      <c r="H2425" s="3">
        <f t="shared" si="548"/>
        <v>8</v>
      </c>
      <c r="I2425" s="3">
        <f t="shared" si="549"/>
        <v>29</v>
      </c>
      <c r="J2425" s="3">
        <f t="shared" si="550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51"/>
        <v>YES</v>
      </c>
      <c r="Q2425" t="str">
        <f t="shared" si="552"/>
        <v>NO</v>
      </c>
      <c r="R2425" t="str">
        <f t="shared" si="553"/>
        <v>NO</v>
      </c>
      <c r="T2425" t="s">
        <v>260</v>
      </c>
      <c r="U2425" t="str">
        <f t="shared" si="540"/>
        <v>Third St</v>
      </c>
      <c r="V2425" t="s">
        <v>380</v>
      </c>
      <c r="W2425" t="str">
        <f t="shared" si="541"/>
        <v>Charles St</v>
      </c>
      <c r="X2425" t="str">
        <f>IF(ISBLANK(S2425),"Intersection","Non-Intersection")</f>
        <v>Intersection</v>
      </c>
      <c r="Y2425" t="s">
        <v>3474</v>
      </c>
      <c r="Z2425" t="str">
        <f t="shared" si="542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43"/>
        <v>40544</v>
      </c>
      <c r="D2426" s="4">
        <f t="shared" si="544"/>
        <v>0.55068493150684927</v>
      </c>
      <c r="E2426" s="3">
        <f t="shared" si="545"/>
        <v>2011</v>
      </c>
      <c r="F2426" s="3">
        <f t="shared" si="546"/>
        <v>7</v>
      </c>
      <c r="G2426" s="3">
        <f t="shared" si="547"/>
        <v>21</v>
      </c>
      <c r="H2426" s="3">
        <f t="shared" si="548"/>
        <v>11</v>
      </c>
      <c r="I2426" s="3">
        <f t="shared" si="549"/>
        <v>29</v>
      </c>
      <c r="J2426" s="3">
        <f t="shared" si="550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51"/>
        <v>YES</v>
      </c>
      <c r="Q2426" t="str">
        <f t="shared" si="552"/>
        <v>NO</v>
      </c>
      <c r="R2426" t="str">
        <f t="shared" si="553"/>
        <v>NO</v>
      </c>
      <c r="S2426">
        <v>1575</v>
      </c>
      <c r="T2426" t="s">
        <v>19</v>
      </c>
      <c r="U2426" t="str">
        <f t="shared" si="540"/>
        <v>Cambridge St</v>
      </c>
      <c r="W2426" t="str">
        <f t="shared" si="541"/>
        <v/>
      </c>
      <c r="X2426" t="str">
        <f>IF(ISBLANK(S2426),"Intersection","Non-Intersection")</f>
        <v>Non-Intersection</v>
      </c>
      <c r="Y2426" t="s">
        <v>64</v>
      </c>
      <c r="Z2426" t="str">
        <f t="shared" si="542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43"/>
        <v>40544</v>
      </c>
      <c r="D2427" s="4">
        <f t="shared" si="544"/>
        <v>0.55342465753424652</v>
      </c>
      <c r="E2427" s="3">
        <f t="shared" si="545"/>
        <v>2011</v>
      </c>
      <c r="F2427" s="3">
        <f t="shared" si="546"/>
        <v>7</v>
      </c>
      <c r="G2427" s="3">
        <f t="shared" si="547"/>
        <v>22</v>
      </c>
      <c r="H2427" s="3">
        <f t="shared" si="548"/>
        <v>1</v>
      </c>
      <c r="I2427" s="3">
        <f t="shared" si="549"/>
        <v>43</v>
      </c>
      <c r="J2427" s="3">
        <f t="shared" si="550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51"/>
        <v>YES</v>
      </c>
      <c r="Q2427" t="str">
        <f t="shared" si="552"/>
        <v>NO</v>
      </c>
      <c r="R2427" t="str">
        <f t="shared" si="553"/>
        <v>NO</v>
      </c>
      <c r="T2427" t="s">
        <v>1991</v>
      </c>
      <c r="U2427" t="str">
        <f t="shared" si="540"/>
        <v>Jackson Pl</v>
      </c>
      <c r="W2427" t="str">
        <f t="shared" si="541"/>
        <v/>
      </c>
      <c r="X2427" t="str">
        <f>IF(ISBLANK(S2427),"Intersection","Non-Intersection")</f>
        <v>Intersection</v>
      </c>
      <c r="Y2427" t="s">
        <v>3476</v>
      </c>
      <c r="Z2427" t="str">
        <f t="shared" si="542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43"/>
        <v>40544</v>
      </c>
      <c r="D2428" s="4">
        <f t="shared" si="544"/>
        <v>0.55342465753424652</v>
      </c>
      <c r="E2428" s="3">
        <f t="shared" si="545"/>
        <v>2011</v>
      </c>
      <c r="F2428" s="3">
        <f t="shared" si="546"/>
        <v>7</v>
      </c>
      <c r="G2428" s="3">
        <f t="shared" si="547"/>
        <v>22</v>
      </c>
      <c r="H2428" s="3">
        <f t="shared" si="548"/>
        <v>10</v>
      </c>
      <c r="I2428" s="3">
        <f t="shared" si="549"/>
        <v>9</v>
      </c>
      <c r="J2428" s="3">
        <f t="shared" si="550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51"/>
        <v>YES</v>
      </c>
      <c r="Q2428" t="str">
        <f t="shared" si="552"/>
        <v>NO</v>
      </c>
      <c r="R2428" t="str">
        <f t="shared" si="553"/>
        <v>NO</v>
      </c>
      <c r="T2428" t="s">
        <v>326</v>
      </c>
      <c r="U2428" t="str">
        <f t="shared" si="540"/>
        <v>Jfk St</v>
      </c>
      <c r="V2428" t="s">
        <v>203</v>
      </c>
      <c r="W2428" t="str">
        <f t="shared" si="541"/>
        <v>Memorial Dr</v>
      </c>
      <c r="X2428" t="str">
        <f>IF(ISBLANK(S2428),"Intersection","Non-Intersection")</f>
        <v>Intersection</v>
      </c>
      <c r="Y2428" t="s">
        <v>2827</v>
      </c>
      <c r="Z2428" t="str">
        <f t="shared" si="542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43"/>
        <v>40544</v>
      </c>
      <c r="D2429" s="4">
        <f t="shared" si="544"/>
        <v>0.55342465753424652</v>
      </c>
      <c r="E2429" s="3">
        <f t="shared" si="545"/>
        <v>2011</v>
      </c>
      <c r="F2429" s="3">
        <f t="shared" si="546"/>
        <v>7</v>
      </c>
      <c r="G2429" s="3">
        <f t="shared" si="547"/>
        <v>22</v>
      </c>
      <c r="H2429" s="3">
        <f t="shared" si="548"/>
        <v>14</v>
      </c>
      <c r="I2429" s="3">
        <f t="shared" si="549"/>
        <v>15</v>
      </c>
      <c r="J2429" s="3">
        <f t="shared" si="550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51"/>
        <v>YES</v>
      </c>
      <c r="Q2429" t="str">
        <f t="shared" si="552"/>
        <v>NO</v>
      </c>
      <c r="R2429" t="str">
        <f t="shared" si="553"/>
        <v>NO</v>
      </c>
      <c r="S2429">
        <v>293</v>
      </c>
      <c r="T2429" t="s">
        <v>105</v>
      </c>
      <c r="U2429" t="str">
        <f t="shared" si="540"/>
        <v>Broadway</v>
      </c>
      <c r="V2429" t="s">
        <v>745</v>
      </c>
      <c r="W2429" t="str">
        <f t="shared" si="541"/>
        <v>Norfolk St</v>
      </c>
      <c r="X2429" t="str">
        <f>IF(ISBLANK(S2429),"Intersection","Non-Intersection")</f>
        <v>Non-Intersection</v>
      </c>
      <c r="Y2429" t="s">
        <v>3477</v>
      </c>
      <c r="Z2429" t="str">
        <f t="shared" si="542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43"/>
        <v>40544</v>
      </c>
      <c r="D2430" s="4">
        <f t="shared" si="544"/>
        <v>0.55342465753424652</v>
      </c>
      <c r="E2430" s="3">
        <f t="shared" si="545"/>
        <v>2011</v>
      </c>
      <c r="F2430" s="3">
        <f t="shared" si="546"/>
        <v>7</v>
      </c>
      <c r="G2430" s="3">
        <f t="shared" si="547"/>
        <v>22</v>
      </c>
      <c r="H2430" s="3">
        <f t="shared" si="548"/>
        <v>17</v>
      </c>
      <c r="I2430" s="3">
        <f t="shared" si="549"/>
        <v>39</v>
      </c>
      <c r="J2430" s="3">
        <f t="shared" si="550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51"/>
        <v>YES</v>
      </c>
      <c r="Q2430" t="str">
        <f t="shared" si="552"/>
        <v>NO</v>
      </c>
      <c r="R2430" t="str">
        <f t="shared" si="553"/>
        <v>NO</v>
      </c>
      <c r="T2430" t="s">
        <v>195</v>
      </c>
      <c r="U2430" t="str">
        <f t="shared" si="540"/>
        <v>Sidney St</v>
      </c>
      <c r="V2430" t="s">
        <v>958</v>
      </c>
      <c r="W2430" t="str">
        <f t="shared" si="541"/>
        <v>Pacific St</v>
      </c>
      <c r="X2430" t="str">
        <f>IF(ISBLANK(S2430),"Intersection","Non-Intersection")</f>
        <v>Intersection</v>
      </c>
      <c r="Y2430" t="s">
        <v>1415</v>
      </c>
      <c r="Z2430" t="str">
        <f t="shared" si="542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43"/>
        <v>40544</v>
      </c>
      <c r="D2431" s="4">
        <f t="shared" si="544"/>
        <v>0.55342465753424652</v>
      </c>
      <c r="E2431" s="3">
        <f t="shared" si="545"/>
        <v>2011</v>
      </c>
      <c r="F2431" s="3">
        <f t="shared" si="546"/>
        <v>7</v>
      </c>
      <c r="G2431" s="3">
        <f t="shared" si="547"/>
        <v>22</v>
      </c>
      <c r="H2431" s="3">
        <f t="shared" si="548"/>
        <v>11</v>
      </c>
      <c r="I2431" s="3">
        <f t="shared" si="549"/>
        <v>1</v>
      </c>
      <c r="J2431" s="3">
        <f t="shared" si="550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51"/>
        <v>YES</v>
      </c>
      <c r="Q2431" t="str">
        <f t="shared" si="552"/>
        <v>YES</v>
      </c>
      <c r="R2431" t="str">
        <f t="shared" si="553"/>
        <v>NO</v>
      </c>
      <c r="T2431" t="s">
        <v>74</v>
      </c>
      <c r="U2431" t="str">
        <f t="shared" si="540"/>
        <v>Hampshire St</v>
      </c>
      <c r="V2431" t="s">
        <v>342</v>
      </c>
      <c r="W2431" t="str">
        <f t="shared" si="541"/>
        <v>Prospect St</v>
      </c>
      <c r="X2431" t="str">
        <f>IF(ISBLANK(S2431),"Intersection","Non-Intersection")</f>
        <v>Intersection</v>
      </c>
      <c r="Y2431" t="s">
        <v>462</v>
      </c>
      <c r="Z2431" t="str">
        <f t="shared" si="542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43"/>
        <v>40544</v>
      </c>
      <c r="D2432" s="4">
        <f t="shared" si="544"/>
        <v>0.55342465753424652</v>
      </c>
      <c r="E2432" s="3">
        <f t="shared" si="545"/>
        <v>2011</v>
      </c>
      <c r="F2432" s="3">
        <f t="shared" si="546"/>
        <v>7</v>
      </c>
      <c r="G2432" s="3">
        <f t="shared" si="547"/>
        <v>22</v>
      </c>
      <c r="H2432" s="3">
        <f t="shared" si="548"/>
        <v>13</v>
      </c>
      <c r="I2432" s="3">
        <f t="shared" si="549"/>
        <v>53</v>
      </c>
      <c r="J2432" s="3">
        <f t="shared" si="550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51"/>
        <v>YES</v>
      </c>
      <c r="Q2432" t="str">
        <f t="shared" si="552"/>
        <v>NO</v>
      </c>
      <c r="R2432" t="str">
        <f t="shared" si="553"/>
        <v>NO</v>
      </c>
      <c r="T2432" t="s">
        <v>19</v>
      </c>
      <c r="U2432" t="str">
        <f t="shared" si="540"/>
        <v>Cambridge St</v>
      </c>
      <c r="V2432" t="s">
        <v>134</v>
      </c>
      <c r="W2432" t="str">
        <f t="shared" si="541"/>
        <v>Quincy St</v>
      </c>
      <c r="X2432" t="str">
        <f>IF(ISBLANK(S2432),"Intersection","Non-Intersection")</f>
        <v>Intersection</v>
      </c>
      <c r="Y2432" t="s">
        <v>150</v>
      </c>
      <c r="Z2432" t="str">
        <f t="shared" si="542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43"/>
        <v>40544</v>
      </c>
      <c r="D2433" s="4">
        <f t="shared" si="544"/>
        <v>0.55616438356164388</v>
      </c>
      <c r="E2433" s="3">
        <f t="shared" si="545"/>
        <v>2011</v>
      </c>
      <c r="F2433" s="3">
        <f t="shared" si="546"/>
        <v>7</v>
      </c>
      <c r="G2433" s="3">
        <f t="shared" si="547"/>
        <v>23</v>
      </c>
      <c r="H2433" s="3">
        <f t="shared" si="548"/>
        <v>0</v>
      </c>
      <c r="I2433" s="3">
        <f t="shared" si="549"/>
        <v>14</v>
      </c>
      <c r="J2433" s="3">
        <f t="shared" si="550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51"/>
        <v>YES</v>
      </c>
      <c r="Q2433" t="str">
        <f t="shared" si="552"/>
        <v>NO</v>
      </c>
      <c r="R2433" t="str">
        <f t="shared" si="553"/>
        <v>NO</v>
      </c>
      <c r="T2433" t="s">
        <v>316</v>
      </c>
      <c r="U2433" t="str">
        <f t="shared" si="540"/>
        <v>Bishop Allen Dr</v>
      </c>
      <c r="W2433" t="str">
        <f t="shared" si="541"/>
        <v/>
      </c>
      <c r="X2433" t="str">
        <f>IF(ISBLANK(S2433),"Intersection","Non-Intersection")</f>
        <v>Intersection</v>
      </c>
      <c r="Y2433" t="s">
        <v>1374</v>
      </c>
      <c r="Z2433" t="str">
        <f t="shared" si="542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43"/>
        <v>40544</v>
      </c>
      <c r="D2434" s="4">
        <f t="shared" si="544"/>
        <v>0.55616438356164388</v>
      </c>
      <c r="E2434" s="3">
        <f t="shared" si="545"/>
        <v>2011</v>
      </c>
      <c r="F2434" s="3">
        <f t="shared" si="546"/>
        <v>7</v>
      </c>
      <c r="G2434" s="3">
        <f t="shared" si="547"/>
        <v>23</v>
      </c>
      <c r="H2434" s="3">
        <f t="shared" si="548"/>
        <v>16</v>
      </c>
      <c r="I2434" s="3">
        <f t="shared" si="549"/>
        <v>40</v>
      </c>
      <c r="J2434" s="3">
        <f t="shared" si="550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51"/>
        <v>YES</v>
      </c>
      <c r="Q2434" t="str">
        <f t="shared" si="552"/>
        <v>NO</v>
      </c>
      <c r="R2434" t="str">
        <f t="shared" si="553"/>
        <v>NO</v>
      </c>
      <c r="T2434" t="s">
        <v>198</v>
      </c>
      <c r="U2434" t="str">
        <f t="shared" si="540"/>
        <v>Mount Auburn St</v>
      </c>
      <c r="W2434" t="str">
        <f t="shared" si="541"/>
        <v/>
      </c>
      <c r="X2434" t="str">
        <f>IF(ISBLANK(S2434),"Intersection","Non-Intersection")</f>
        <v>Intersection</v>
      </c>
      <c r="Y2434" t="s">
        <v>441</v>
      </c>
      <c r="Z2434" t="str">
        <f t="shared" si="542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43"/>
        <v>40544</v>
      </c>
      <c r="D2435" s="4">
        <f t="shared" si="544"/>
        <v>0.55616438356164388</v>
      </c>
      <c r="E2435" s="3">
        <f t="shared" si="545"/>
        <v>2011</v>
      </c>
      <c r="F2435" s="3">
        <f t="shared" si="546"/>
        <v>7</v>
      </c>
      <c r="G2435" s="3">
        <f t="shared" si="547"/>
        <v>23</v>
      </c>
      <c r="H2435" s="3">
        <f t="shared" si="548"/>
        <v>18</v>
      </c>
      <c r="I2435" s="3">
        <f t="shared" si="549"/>
        <v>0</v>
      </c>
      <c r="J2435" s="3">
        <f t="shared" si="550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51"/>
        <v>YES</v>
      </c>
      <c r="Q2435" t="str">
        <f t="shared" si="552"/>
        <v>NO</v>
      </c>
      <c r="R2435" t="str">
        <f t="shared" si="553"/>
        <v>NO</v>
      </c>
      <c r="S2435">
        <v>355</v>
      </c>
      <c r="T2435" t="s">
        <v>209</v>
      </c>
      <c r="U2435" t="str">
        <f t="shared" ref="U2435:U2498" si="554">TRIM(PROPER(T2435))</f>
        <v>Binney St</v>
      </c>
      <c r="W2435" t="str">
        <f t="shared" ref="W2435:W2498" si="555">TRIM(PROPER(V2435))</f>
        <v/>
      </c>
      <c r="X2435" t="str">
        <f>IF(ISBLANK(S2435),"Intersection","Non-Intersection")</f>
        <v>Non-Intersection</v>
      </c>
      <c r="Y2435" t="s">
        <v>1688</v>
      </c>
      <c r="Z2435" t="str">
        <f t="shared" ref="Z2435:Z2498" si="556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43"/>
        <v>40544</v>
      </c>
      <c r="D2436" s="4">
        <f t="shared" si="544"/>
        <v>0.55616438356164388</v>
      </c>
      <c r="E2436" s="3">
        <f t="shared" si="545"/>
        <v>2011</v>
      </c>
      <c r="F2436" s="3">
        <f t="shared" si="546"/>
        <v>7</v>
      </c>
      <c r="G2436" s="3">
        <f t="shared" si="547"/>
        <v>23</v>
      </c>
      <c r="H2436" s="3">
        <f t="shared" si="548"/>
        <v>14</v>
      </c>
      <c r="I2436" s="3">
        <f t="shared" si="549"/>
        <v>49</v>
      </c>
      <c r="J2436" s="3">
        <f t="shared" si="550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51"/>
        <v>YES</v>
      </c>
      <c r="Q2436" t="str">
        <f t="shared" si="552"/>
        <v>YES</v>
      </c>
      <c r="R2436" t="str">
        <f t="shared" si="553"/>
        <v>NO</v>
      </c>
      <c r="T2436" t="s">
        <v>185</v>
      </c>
      <c r="U2436" t="str">
        <f t="shared" si="554"/>
        <v>Garden St</v>
      </c>
      <c r="V2436" t="s">
        <v>252</v>
      </c>
      <c r="W2436" t="str">
        <f t="shared" si="555"/>
        <v>Walden St</v>
      </c>
      <c r="X2436" t="str">
        <f>IF(ISBLANK(S2436),"Intersection","Non-Intersection")</f>
        <v>Intersection</v>
      </c>
      <c r="Y2436" t="s">
        <v>1460</v>
      </c>
      <c r="Z2436" t="str">
        <f t="shared" si="556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43"/>
        <v>40544</v>
      </c>
      <c r="D2437" s="4">
        <f t="shared" si="544"/>
        <v>0.55616438356164388</v>
      </c>
      <c r="E2437" s="3">
        <f t="shared" si="545"/>
        <v>2011</v>
      </c>
      <c r="F2437" s="3">
        <f t="shared" si="546"/>
        <v>7</v>
      </c>
      <c r="G2437" s="3">
        <f t="shared" si="547"/>
        <v>23</v>
      </c>
      <c r="H2437" s="3">
        <f t="shared" si="548"/>
        <v>16</v>
      </c>
      <c r="I2437" s="3">
        <f t="shared" si="549"/>
        <v>25</v>
      </c>
      <c r="J2437" s="3">
        <f t="shared" si="550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51"/>
        <v>YES</v>
      </c>
      <c r="Q2437" t="str">
        <f t="shared" si="552"/>
        <v>NO</v>
      </c>
      <c r="R2437" t="str">
        <f t="shared" si="553"/>
        <v>NO</v>
      </c>
      <c r="S2437">
        <v>12</v>
      </c>
      <c r="T2437" t="s">
        <v>302</v>
      </c>
      <c r="U2437" t="str">
        <f t="shared" si="554"/>
        <v>Waterhouse St</v>
      </c>
      <c r="W2437" t="str">
        <f t="shared" si="555"/>
        <v/>
      </c>
      <c r="X2437" t="str">
        <f>IF(ISBLANK(S2437),"Intersection","Non-Intersection")</f>
        <v>Non-Intersection</v>
      </c>
      <c r="Y2437" t="s">
        <v>3479</v>
      </c>
      <c r="Z2437" t="str">
        <f t="shared" si="556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57">EOMONTH(B2438,MONTH(B2438)*-1)+1</f>
        <v>40544</v>
      </c>
      <c r="D2438" s="4">
        <f t="shared" ref="D2438:D2497" si="558">YEARFRAC(C2438,B2438,1)</f>
        <v>0.55616438356164388</v>
      </c>
      <c r="E2438" s="3">
        <f t="shared" ref="E2438:E2497" si="559">YEAR(B2438)</f>
        <v>2011</v>
      </c>
      <c r="F2438" s="3">
        <f t="shared" ref="F2438:F2497" si="560">MONTH(B2438)</f>
        <v>7</v>
      </c>
      <c r="G2438" s="3">
        <f t="shared" ref="G2438:G2497" si="561">DAY(B2438)</f>
        <v>23</v>
      </c>
      <c r="H2438" s="3">
        <f t="shared" ref="H2438:H2497" si="562">HOUR(B2438)</f>
        <v>21</v>
      </c>
      <c r="I2438" s="3">
        <f t="shared" ref="I2438:I2497" si="563">MINUTE(B2438)</f>
        <v>59</v>
      </c>
      <c r="J2438" s="3">
        <f t="shared" ref="J2438:J2497" si="564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565">IF(OR(N2438="Auto",O2438="Auto"),"YES",IF(OR(N2438="Taxi",O2438="Taxi"),"YES",IF(OR(N2438="Van",O2438="Van"),"YES",IF(OR(N2438="Truck",O2438="Truck"),"YES","NO"))))</f>
        <v>YES</v>
      </c>
      <c r="Q2438" t="str">
        <f t="shared" ref="Q2438:Q2497" si="566">IF(OR(N2438="Bicycle",O2438="Bicycle"),"YES","NO")</f>
        <v>NO</v>
      </c>
      <c r="R2438" t="str">
        <f t="shared" ref="R2438:R2497" si="567">IF(OR(N2438="Pedestrian",O2438="Pedestrian"),"YES","NO")</f>
        <v>NO</v>
      </c>
      <c r="S2438">
        <v>28</v>
      </c>
      <c r="T2438" t="s">
        <v>737</v>
      </c>
      <c r="U2438" t="str">
        <f t="shared" si="554"/>
        <v>Willow St</v>
      </c>
      <c r="W2438" t="str">
        <f t="shared" si="555"/>
        <v/>
      </c>
      <c r="X2438" t="str">
        <f>IF(ISBLANK(S2438),"Intersection","Non-Intersection")</f>
        <v>Non-Intersection</v>
      </c>
      <c r="Y2438" t="s">
        <v>3481</v>
      </c>
      <c r="Z2438" t="str">
        <f t="shared" si="556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57"/>
        <v>40544</v>
      </c>
      <c r="D2439" s="4">
        <f t="shared" si="558"/>
        <v>0.55890410958904113</v>
      </c>
      <c r="E2439" s="3">
        <f t="shared" si="559"/>
        <v>2011</v>
      </c>
      <c r="F2439" s="3">
        <f t="shared" si="560"/>
        <v>7</v>
      </c>
      <c r="G2439" s="3">
        <f t="shared" si="561"/>
        <v>24</v>
      </c>
      <c r="H2439" s="3">
        <f t="shared" si="562"/>
        <v>7</v>
      </c>
      <c r="I2439" s="3">
        <f t="shared" si="563"/>
        <v>15</v>
      </c>
      <c r="J2439" s="3">
        <f t="shared" si="564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565"/>
        <v>YES</v>
      </c>
      <c r="Q2439" t="str">
        <f t="shared" si="566"/>
        <v>NO</v>
      </c>
      <c r="R2439" t="str">
        <f t="shared" si="567"/>
        <v>NO</v>
      </c>
      <c r="T2439" t="s">
        <v>14</v>
      </c>
      <c r="U2439" t="str">
        <f t="shared" si="554"/>
        <v>Massachusetts Ave</v>
      </c>
      <c r="V2439" t="s">
        <v>1307</v>
      </c>
      <c r="W2439" t="str">
        <f t="shared" si="555"/>
        <v>Creighton St</v>
      </c>
      <c r="X2439" t="str">
        <f>IF(ISBLANK(S2439),"Intersection","Non-Intersection")</f>
        <v>Intersection</v>
      </c>
      <c r="Y2439" t="s">
        <v>3483</v>
      </c>
      <c r="Z2439" t="str">
        <f t="shared" si="556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57"/>
        <v>40544</v>
      </c>
      <c r="D2440" s="4">
        <f t="shared" si="558"/>
        <v>0.56164383561643838</v>
      </c>
      <c r="E2440" s="3">
        <f t="shared" si="559"/>
        <v>2011</v>
      </c>
      <c r="F2440" s="3">
        <f t="shared" si="560"/>
        <v>7</v>
      </c>
      <c r="G2440" s="3">
        <f t="shared" si="561"/>
        <v>25</v>
      </c>
      <c r="H2440" s="3">
        <f t="shared" si="562"/>
        <v>10</v>
      </c>
      <c r="I2440" s="3">
        <f t="shared" si="563"/>
        <v>9</v>
      </c>
      <c r="J2440" s="3">
        <f t="shared" si="564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565"/>
        <v>YES</v>
      </c>
      <c r="Q2440" t="str">
        <f t="shared" si="566"/>
        <v>NO</v>
      </c>
      <c r="R2440" t="str">
        <f t="shared" si="567"/>
        <v>NO</v>
      </c>
      <c r="S2440">
        <v>2615</v>
      </c>
      <c r="T2440" t="s">
        <v>14</v>
      </c>
      <c r="U2440" t="str">
        <f t="shared" si="554"/>
        <v>Massachusetts Ave</v>
      </c>
      <c r="W2440" t="str">
        <f t="shared" si="555"/>
        <v/>
      </c>
      <c r="X2440" t="str">
        <f>IF(ISBLANK(S2440),"Intersection","Non-Intersection")</f>
        <v>Non-Intersection</v>
      </c>
      <c r="Y2440" t="s">
        <v>1530</v>
      </c>
      <c r="Z2440" t="str">
        <f t="shared" si="556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57"/>
        <v>40544</v>
      </c>
      <c r="D2441" s="4">
        <f t="shared" si="558"/>
        <v>0.56164383561643838</v>
      </c>
      <c r="E2441" s="3">
        <f t="shared" si="559"/>
        <v>2011</v>
      </c>
      <c r="F2441" s="3">
        <f t="shared" si="560"/>
        <v>7</v>
      </c>
      <c r="G2441" s="3">
        <f t="shared" si="561"/>
        <v>25</v>
      </c>
      <c r="H2441" s="3">
        <f t="shared" si="562"/>
        <v>11</v>
      </c>
      <c r="I2441" s="3">
        <f t="shared" si="563"/>
        <v>51</v>
      </c>
      <c r="J2441" s="3">
        <f t="shared" si="564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565"/>
        <v>YES</v>
      </c>
      <c r="Q2441" t="str">
        <f t="shared" si="566"/>
        <v>NO</v>
      </c>
      <c r="R2441" t="str">
        <f t="shared" si="567"/>
        <v>NO</v>
      </c>
      <c r="S2441">
        <v>1611</v>
      </c>
      <c r="T2441" t="s">
        <v>19</v>
      </c>
      <c r="U2441" t="str">
        <f t="shared" si="554"/>
        <v>Cambridge St</v>
      </c>
      <c r="W2441" t="str">
        <f t="shared" si="555"/>
        <v/>
      </c>
      <c r="X2441" t="str">
        <f>IF(ISBLANK(S2441),"Intersection","Non-Intersection")</f>
        <v>Non-Intersection</v>
      </c>
      <c r="Y2441" t="s">
        <v>3485</v>
      </c>
      <c r="Z2441" t="str">
        <f t="shared" si="556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57"/>
        <v>40544</v>
      </c>
      <c r="D2442" s="4">
        <f t="shared" si="558"/>
        <v>0.56164383561643838</v>
      </c>
      <c r="E2442" s="3">
        <f t="shared" si="559"/>
        <v>2011</v>
      </c>
      <c r="F2442" s="3">
        <f t="shared" si="560"/>
        <v>7</v>
      </c>
      <c r="G2442" s="3">
        <f t="shared" si="561"/>
        <v>25</v>
      </c>
      <c r="H2442" s="3">
        <f t="shared" si="562"/>
        <v>14</v>
      </c>
      <c r="I2442" s="3">
        <f t="shared" si="563"/>
        <v>29</v>
      </c>
      <c r="J2442" s="3">
        <f t="shared" si="564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565"/>
        <v>YES</v>
      </c>
      <c r="Q2442" t="str">
        <f t="shared" si="566"/>
        <v>NO</v>
      </c>
      <c r="R2442" t="str">
        <f t="shared" si="567"/>
        <v>NO</v>
      </c>
      <c r="S2442">
        <v>25</v>
      </c>
      <c r="T2442" t="s">
        <v>3487</v>
      </c>
      <c r="U2442" t="str">
        <f t="shared" si="554"/>
        <v>Eighth St</v>
      </c>
      <c r="W2442" t="str">
        <f t="shared" si="555"/>
        <v/>
      </c>
      <c r="X2442" t="str">
        <f>IF(ISBLANK(S2442),"Intersection","Non-Intersection")</f>
        <v>Non-Intersection</v>
      </c>
      <c r="Y2442" t="s">
        <v>3488</v>
      </c>
      <c r="Z2442" t="str">
        <f t="shared" si="556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57"/>
        <v>40544</v>
      </c>
      <c r="D2443" s="4">
        <f t="shared" si="558"/>
        <v>0.56438356164383563</v>
      </c>
      <c r="E2443" s="3">
        <f t="shared" si="559"/>
        <v>2011</v>
      </c>
      <c r="F2443" s="3">
        <f t="shared" si="560"/>
        <v>7</v>
      </c>
      <c r="G2443" s="3">
        <f t="shared" si="561"/>
        <v>26</v>
      </c>
      <c r="H2443" s="3">
        <f t="shared" si="562"/>
        <v>8</v>
      </c>
      <c r="I2443" s="3">
        <f t="shared" si="563"/>
        <v>35</v>
      </c>
      <c r="J2443" s="3">
        <f t="shared" si="564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565"/>
        <v>YES</v>
      </c>
      <c r="Q2443" t="str">
        <f t="shared" si="566"/>
        <v>NO</v>
      </c>
      <c r="R2443" t="str">
        <f t="shared" si="567"/>
        <v>NO</v>
      </c>
      <c r="S2443">
        <v>2571</v>
      </c>
      <c r="T2443" t="s">
        <v>14</v>
      </c>
      <c r="U2443" t="str">
        <f t="shared" si="554"/>
        <v>Massachusetts Ave</v>
      </c>
      <c r="W2443" t="str">
        <f t="shared" si="555"/>
        <v/>
      </c>
      <c r="X2443" t="str">
        <f>IF(ISBLANK(S2443),"Intersection","Non-Intersection")</f>
        <v>Non-Intersection</v>
      </c>
      <c r="Y2443" t="s">
        <v>3490</v>
      </c>
      <c r="Z2443" t="str">
        <f t="shared" si="556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57"/>
        <v>40544</v>
      </c>
      <c r="D2444" s="4">
        <f t="shared" si="558"/>
        <v>0.56438356164383563</v>
      </c>
      <c r="E2444" s="3">
        <f t="shared" si="559"/>
        <v>2011</v>
      </c>
      <c r="F2444" s="3">
        <f t="shared" si="560"/>
        <v>7</v>
      </c>
      <c r="G2444" s="3">
        <f t="shared" si="561"/>
        <v>26</v>
      </c>
      <c r="H2444" s="3">
        <f t="shared" si="562"/>
        <v>18</v>
      </c>
      <c r="I2444" s="3">
        <f t="shared" si="563"/>
        <v>24</v>
      </c>
      <c r="J2444" s="3">
        <f t="shared" si="564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565"/>
        <v>YES</v>
      </c>
      <c r="Q2444" t="str">
        <f t="shared" si="566"/>
        <v>NO</v>
      </c>
      <c r="R2444" t="str">
        <f t="shared" si="567"/>
        <v>NO</v>
      </c>
      <c r="T2444" t="s">
        <v>760</v>
      </c>
      <c r="U2444" t="str">
        <f t="shared" si="554"/>
        <v>Fulkerson St</v>
      </c>
      <c r="V2444" t="s">
        <v>209</v>
      </c>
      <c r="W2444" t="str">
        <f t="shared" si="555"/>
        <v>Binney St</v>
      </c>
      <c r="X2444" t="str">
        <f>IF(ISBLANK(S2444),"Intersection","Non-Intersection")</f>
        <v>Intersection</v>
      </c>
      <c r="Y2444" t="s">
        <v>761</v>
      </c>
      <c r="Z2444" t="str">
        <f t="shared" si="556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57"/>
        <v>40544</v>
      </c>
      <c r="D2445" s="4">
        <f t="shared" si="558"/>
        <v>0.56438356164383563</v>
      </c>
      <c r="E2445" s="3">
        <f t="shared" si="559"/>
        <v>2011</v>
      </c>
      <c r="F2445" s="3">
        <f t="shared" si="560"/>
        <v>7</v>
      </c>
      <c r="G2445" s="3">
        <f t="shared" si="561"/>
        <v>26</v>
      </c>
      <c r="H2445" s="3">
        <f t="shared" si="562"/>
        <v>23</v>
      </c>
      <c r="I2445" s="3">
        <f t="shared" si="563"/>
        <v>29</v>
      </c>
      <c r="J2445" s="3">
        <f t="shared" si="564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565"/>
        <v>YES</v>
      </c>
      <c r="Q2445" t="str">
        <f t="shared" si="566"/>
        <v>YES</v>
      </c>
      <c r="R2445" t="str">
        <f t="shared" si="567"/>
        <v>NO</v>
      </c>
      <c r="T2445" t="s">
        <v>14</v>
      </c>
      <c r="U2445" t="str">
        <f t="shared" si="554"/>
        <v>Massachusetts Ave</v>
      </c>
      <c r="V2445" t="s">
        <v>1916</v>
      </c>
      <c r="W2445" t="str">
        <f t="shared" si="555"/>
        <v>Hadley St</v>
      </c>
      <c r="X2445" t="str">
        <f>IF(ISBLANK(S2445),"Intersection","Non-Intersection")</f>
        <v>Intersection</v>
      </c>
      <c r="Y2445" t="s">
        <v>1917</v>
      </c>
      <c r="Z2445" t="str">
        <f t="shared" si="556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57"/>
        <v>40544</v>
      </c>
      <c r="D2446" s="4">
        <f t="shared" si="558"/>
        <v>0.56438356164383563</v>
      </c>
      <c r="E2446" s="3">
        <f t="shared" si="559"/>
        <v>2011</v>
      </c>
      <c r="F2446" s="3">
        <f t="shared" si="560"/>
        <v>7</v>
      </c>
      <c r="G2446" s="3">
        <f t="shared" si="561"/>
        <v>26</v>
      </c>
      <c r="H2446" s="3">
        <f t="shared" si="562"/>
        <v>9</v>
      </c>
      <c r="I2446" s="3">
        <f t="shared" si="563"/>
        <v>59</v>
      </c>
      <c r="J2446" s="3">
        <f t="shared" si="564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565"/>
        <v>YES</v>
      </c>
      <c r="Q2446" t="str">
        <f t="shared" si="566"/>
        <v>NO</v>
      </c>
      <c r="R2446" t="str">
        <f t="shared" si="567"/>
        <v>NO</v>
      </c>
      <c r="T2446" t="s">
        <v>146</v>
      </c>
      <c r="U2446" t="str">
        <f t="shared" si="554"/>
        <v>Spring St</v>
      </c>
      <c r="V2446" t="s">
        <v>260</v>
      </c>
      <c r="W2446" t="str">
        <f t="shared" si="555"/>
        <v>Third St</v>
      </c>
      <c r="X2446" t="str">
        <f>IF(ISBLANK(S2446),"Intersection","Non-Intersection")</f>
        <v>Intersection</v>
      </c>
      <c r="Y2446" t="s">
        <v>1331</v>
      </c>
      <c r="Z2446" t="str">
        <f t="shared" si="556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57"/>
        <v>40544</v>
      </c>
      <c r="D2447" s="4">
        <f t="shared" si="558"/>
        <v>0.56712328767123288</v>
      </c>
      <c r="E2447" s="3">
        <f t="shared" si="559"/>
        <v>2011</v>
      </c>
      <c r="F2447" s="3">
        <f t="shared" si="560"/>
        <v>7</v>
      </c>
      <c r="G2447" s="3">
        <f t="shared" si="561"/>
        <v>27</v>
      </c>
      <c r="H2447" s="3">
        <f t="shared" si="562"/>
        <v>8</v>
      </c>
      <c r="I2447" s="3">
        <f t="shared" si="563"/>
        <v>15</v>
      </c>
      <c r="J2447" s="3">
        <f t="shared" si="564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565"/>
        <v>YES</v>
      </c>
      <c r="Q2447" t="str">
        <f t="shared" si="566"/>
        <v>NO</v>
      </c>
      <c r="R2447" t="str">
        <f t="shared" si="567"/>
        <v>NO</v>
      </c>
      <c r="S2447">
        <v>23</v>
      </c>
      <c r="T2447" t="s">
        <v>219</v>
      </c>
      <c r="U2447" t="str">
        <f t="shared" si="554"/>
        <v>Sacramento St</v>
      </c>
      <c r="W2447" t="str">
        <f t="shared" si="555"/>
        <v/>
      </c>
      <c r="X2447" t="str">
        <f>IF(ISBLANK(S2447),"Intersection","Non-Intersection")</f>
        <v>Non-Intersection</v>
      </c>
      <c r="Y2447" t="s">
        <v>3492</v>
      </c>
      <c r="Z2447" t="str">
        <f t="shared" si="556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57"/>
        <v>40544</v>
      </c>
      <c r="D2448" s="4">
        <f t="shared" si="558"/>
        <v>0.56712328767123288</v>
      </c>
      <c r="E2448" s="3">
        <f t="shared" si="559"/>
        <v>2011</v>
      </c>
      <c r="F2448" s="3">
        <f t="shared" si="560"/>
        <v>7</v>
      </c>
      <c r="G2448" s="3">
        <f t="shared" si="561"/>
        <v>27</v>
      </c>
      <c r="H2448" s="3">
        <f t="shared" si="562"/>
        <v>7</v>
      </c>
      <c r="I2448" s="3">
        <f t="shared" si="563"/>
        <v>19</v>
      </c>
      <c r="J2448" s="3">
        <f t="shared" si="564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565"/>
        <v>YES</v>
      </c>
      <c r="Q2448" t="str">
        <f t="shared" si="566"/>
        <v>NO</v>
      </c>
      <c r="R2448" t="str">
        <f t="shared" si="567"/>
        <v>NO</v>
      </c>
      <c r="T2448" t="s">
        <v>342</v>
      </c>
      <c r="U2448" t="str">
        <f t="shared" si="554"/>
        <v>Prospect St</v>
      </c>
      <c r="V2448" t="s">
        <v>19</v>
      </c>
      <c r="W2448" t="str">
        <f t="shared" si="555"/>
        <v>Cambridge St</v>
      </c>
      <c r="X2448" t="str">
        <f>IF(ISBLANK(S2448),"Intersection","Non-Intersection")</f>
        <v>Intersection</v>
      </c>
      <c r="Y2448" t="s">
        <v>3214</v>
      </c>
      <c r="Z2448" t="str">
        <f t="shared" si="556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57"/>
        <v>40544</v>
      </c>
      <c r="D2449" s="4">
        <f t="shared" si="558"/>
        <v>0.56712328767123288</v>
      </c>
      <c r="E2449" s="3">
        <f t="shared" si="559"/>
        <v>2011</v>
      </c>
      <c r="F2449" s="3">
        <f t="shared" si="560"/>
        <v>7</v>
      </c>
      <c r="G2449" s="3">
        <f t="shared" si="561"/>
        <v>27</v>
      </c>
      <c r="H2449" s="3">
        <f t="shared" si="562"/>
        <v>9</v>
      </c>
      <c r="I2449" s="3">
        <f t="shared" si="563"/>
        <v>45</v>
      </c>
      <c r="J2449" s="3">
        <f t="shared" si="564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565"/>
        <v>NO</v>
      </c>
      <c r="Q2449" t="str">
        <f t="shared" si="566"/>
        <v>NO</v>
      </c>
      <c r="R2449" t="str">
        <f t="shared" si="567"/>
        <v>NO</v>
      </c>
      <c r="S2449">
        <v>105</v>
      </c>
      <c r="T2449" t="s">
        <v>14</v>
      </c>
      <c r="U2449" t="str">
        <f t="shared" si="554"/>
        <v>Massachusetts Ave</v>
      </c>
      <c r="V2449" t="s">
        <v>202</v>
      </c>
      <c r="W2449" t="str">
        <f t="shared" si="555"/>
        <v>Vassar St</v>
      </c>
      <c r="X2449" t="str">
        <f>IF(ISBLANK(S2449),"Intersection","Non-Intersection")</f>
        <v>Non-Intersection</v>
      </c>
      <c r="Y2449" t="s">
        <v>1618</v>
      </c>
      <c r="Z2449" t="str">
        <f t="shared" si="556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57"/>
        <v>40544</v>
      </c>
      <c r="D2450" s="4">
        <f t="shared" si="558"/>
        <v>0.56712328767123288</v>
      </c>
      <c r="E2450" s="3">
        <f t="shared" si="559"/>
        <v>2011</v>
      </c>
      <c r="F2450" s="3">
        <f t="shared" si="560"/>
        <v>7</v>
      </c>
      <c r="G2450" s="3">
        <f t="shared" si="561"/>
        <v>27</v>
      </c>
      <c r="H2450" s="3">
        <f t="shared" si="562"/>
        <v>14</v>
      </c>
      <c r="I2450" s="3">
        <f t="shared" si="563"/>
        <v>49</v>
      </c>
      <c r="J2450" s="3">
        <f t="shared" si="564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565"/>
        <v>YES</v>
      </c>
      <c r="Q2450" t="str">
        <f t="shared" si="566"/>
        <v>NO</v>
      </c>
      <c r="R2450" t="str">
        <f t="shared" si="567"/>
        <v>NO</v>
      </c>
      <c r="S2450">
        <v>98</v>
      </c>
      <c r="T2450" t="s">
        <v>737</v>
      </c>
      <c r="U2450" t="str">
        <f t="shared" si="554"/>
        <v>Willow St</v>
      </c>
      <c r="W2450" t="str">
        <f t="shared" si="555"/>
        <v/>
      </c>
      <c r="X2450" t="str">
        <f>IF(ISBLANK(S2450),"Intersection","Non-Intersection")</f>
        <v>Non-Intersection</v>
      </c>
      <c r="Y2450" t="s">
        <v>3494</v>
      </c>
      <c r="Z2450" t="str">
        <f t="shared" si="556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57"/>
        <v>40544</v>
      </c>
      <c r="D2451" s="4">
        <f t="shared" si="558"/>
        <v>0.56712328767123288</v>
      </c>
      <c r="E2451" s="3">
        <f t="shared" si="559"/>
        <v>2011</v>
      </c>
      <c r="F2451" s="3">
        <f t="shared" si="560"/>
        <v>7</v>
      </c>
      <c r="G2451" s="3">
        <f t="shared" si="561"/>
        <v>27</v>
      </c>
      <c r="H2451" s="3">
        <f t="shared" si="562"/>
        <v>15</v>
      </c>
      <c r="I2451" s="3">
        <f t="shared" si="563"/>
        <v>0</v>
      </c>
      <c r="J2451" s="3">
        <f t="shared" si="564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565"/>
        <v>YES</v>
      </c>
      <c r="Q2451" t="str">
        <f t="shared" si="566"/>
        <v>NO</v>
      </c>
      <c r="R2451" t="str">
        <f t="shared" si="567"/>
        <v>NO</v>
      </c>
      <c r="S2451">
        <v>1575</v>
      </c>
      <c r="T2451" t="s">
        <v>19</v>
      </c>
      <c r="U2451" t="str">
        <f t="shared" si="554"/>
        <v>Cambridge St</v>
      </c>
      <c r="W2451" t="str">
        <f t="shared" si="555"/>
        <v/>
      </c>
      <c r="X2451" t="str">
        <f>IF(ISBLANK(S2451),"Intersection","Non-Intersection")</f>
        <v>Non-Intersection</v>
      </c>
      <c r="Y2451" t="s">
        <v>64</v>
      </c>
      <c r="Z2451" t="str">
        <f t="shared" si="556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57"/>
        <v>40544</v>
      </c>
      <c r="D2452" s="4">
        <f t="shared" si="558"/>
        <v>0.56712328767123288</v>
      </c>
      <c r="E2452" s="3">
        <f t="shared" si="559"/>
        <v>2011</v>
      </c>
      <c r="F2452" s="3">
        <f t="shared" si="560"/>
        <v>7</v>
      </c>
      <c r="G2452" s="3">
        <f t="shared" si="561"/>
        <v>27</v>
      </c>
      <c r="H2452" s="3">
        <f t="shared" si="562"/>
        <v>19</v>
      </c>
      <c r="I2452" s="3">
        <f t="shared" si="563"/>
        <v>18</v>
      </c>
      <c r="J2452" s="3">
        <f t="shared" si="564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565"/>
        <v>YES</v>
      </c>
      <c r="Q2452" t="str">
        <f t="shared" si="566"/>
        <v>NO</v>
      </c>
      <c r="R2452" t="str">
        <f t="shared" si="567"/>
        <v>NO</v>
      </c>
      <c r="S2452">
        <v>186</v>
      </c>
      <c r="T2452" t="s">
        <v>170</v>
      </c>
      <c r="U2452" t="str">
        <f t="shared" si="554"/>
        <v>Alewife Brook Pky</v>
      </c>
      <c r="W2452" t="str">
        <f t="shared" si="555"/>
        <v/>
      </c>
      <c r="X2452" t="str">
        <f>IF(ISBLANK(S2452),"Intersection","Non-Intersection")</f>
        <v>Non-Intersection</v>
      </c>
      <c r="Y2452" t="s">
        <v>242</v>
      </c>
      <c r="Z2452" t="str">
        <f t="shared" si="556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57"/>
        <v>40544</v>
      </c>
      <c r="D2453" s="4">
        <f t="shared" si="558"/>
        <v>0.56712328767123288</v>
      </c>
      <c r="E2453" s="3">
        <f t="shared" si="559"/>
        <v>2011</v>
      </c>
      <c r="F2453" s="3">
        <f t="shared" si="560"/>
        <v>7</v>
      </c>
      <c r="G2453" s="3">
        <f t="shared" si="561"/>
        <v>27</v>
      </c>
      <c r="H2453" s="3">
        <f t="shared" si="562"/>
        <v>14</v>
      </c>
      <c r="I2453" s="3">
        <f t="shared" si="563"/>
        <v>39</v>
      </c>
      <c r="J2453" s="3">
        <f t="shared" si="564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565"/>
        <v>YES</v>
      </c>
      <c r="Q2453" t="str">
        <f t="shared" si="566"/>
        <v>NO</v>
      </c>
      <c r="R2453" t="str">
        <f t="shared" si="567"/>
        <v>NO</v>
      </c>
      <c r="T2453" t="s">
        <v>198</v>
      </c>
      <c r="U2453" t="str">
        <f t="shared" si="554"/>
        <v>Mount Auburn St</v>
      </c>
      <c r="W2453" t="str">
        <f t="shared" si="555"/>
        <v/>
      </c>
      <c r="X2453" t="str">
        <f>IF(ISBLANK(S2453),"Intersection","Non-Intersection")</f>
        <v>Intersection</v>
      </c>
      <c r="Y2453" t="s">
        <v>441</v>
      </c>
      <c r="Z2453" t="str">
        <f t="shared" si="556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57"/>
        <v>40544</v>
      </c>
      <c r="D2454" s="4">
        <f t="shared" si="558"/>
        <v>0.56986301369863013</v>
      </c>
      <c r="E2454" s="3">
        <f t="shared" si="559"/>
        <v>2011</v>
      </c>
      <c r="F2454" s="3">
        <f t="shared" si="560"/>
        <v>7</v>
      </c>
      <c r="G2454" s="3">
        <f t="shared" si="561"/>
        <v>28</v>
      </c>
      <c r="H2454" s="3">
        <f t="shared" si="562"/>
        <v>1</v>
      </c>
      <c r="I2454" s="3">
        <f t="shared" si="563"/>
        <v>45</v>
      </c>
      <c r="J2454" s="3">
        <f t="shared" si="564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565"/>
        <v>YES</v>
      </c>
      <c r="Q2454" t="str">
        <f t="shared" si="566"/>
        <v>NO</v>
      </c>
      <c r="R2454" t="str">
        <f t="shared" si="567"/>
        <v>NO</v>
      </c>
      <c r="S2454">
        <v>1967</v>
      </c>
      <c r="T2454" t="s">
        <v>14</v>
      </c>
      <c r="U2454" t="str">
        <f t="shared" si="554"/>
        <v>Massachusetts Ave</v>
      </c>
      <c r="W2454" t="str">
        <f t="shared" si="555"/>
        <v/>
      </c>
      <c r="X2454" t="str">
        <f>IF(ISBLANK(S2454),"Intersection","Non-Intersection")</f>
        <v>Non-Intersection</v>
      </c>
      <c r="Y2454" t="s">
        <v>3496</v>
      </c>
      <c r="Z2454" t="str">
        <f t="shared" si="556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57"/>
        <v>40544</v>
      </c>
      <c r="D2455" s="4">
        <f t="shared" si="558"/>
        <v>0.56986301369863013</v>
      </c>
      <c r="E2455" s="3">
        <f t="shared" si="559"/>
        <v>2011</v>
      </c>
      <c r="F2455" s="3">
        <f t="shared" si="560"/>
        <v>7</v>
      </c>
      <c r="G2455" s="3">
        <f t="shared" si="561"/>
        <v>28</v>
      </c>
      <c r="H2455" s="3">
        <f t="shared" si="562"/>
        <v>8</v>
      </c>
      <c r="I2455" s="3">
        <f t="shared" si="563"/>
        <v>19</v>
      </c>
      <c r="J2455" s="3">
        <f t="shared" si="564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565"/>
        <v>YES</v>
      </c>
      <c r="Q2455" t="str">
        <f t="shared" si="566"/>
        <v>YES</v>
      </c>
      <c r="R2455" t="str">
        <f t="shared" si="567"/>
        <v>NO</v>
      </c>
      <c r="T2455" t="s">
        <v>105</v>
      </c>
      <c r="U2455" t="str">
        <f t="shared" si="554"/>
        <v>Broadway</v>
      </c>
      <c r="V2455" t="s">
        <v>74</v>
      </c>
      <c r="W2455" t="str">
        <f t="shared" si="555"/>
        <v>Hampshire St</v>
      </c>
      <c r="X2455" t="str">
        <f>IF(ISBLANK(S2455),"Intersection","Non-Intersection")</f>
        <v>Intersection</v>
      </c>
      <c r="Y2455" t="s">
        <v>878</v>
      </c>
      <c r="Z2455" t="str">
        <f t="shared" si="556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57"/>
        <v>40544</v>
      </c>
      <c r="D2456" s="4">
        <f t="shared" si="558"/>
        <v>0.56986301369863013</v>
      </c>
      <c r="E2456" s="3">
        <f t="shared" si="559"/>
        <v>2011</v>
      </c>
      <c r="F2456" s="3">
        <f t="shared" si="560"/>
        <v>7</v>
      </c>
      <c r="G2456" s="3">
        <f t="shared" si="561"/>
        <v>28</v>
      </c>
      <c r="H2456" s="3">
        <f t="shared" si="562"/>
        <v>9</v>
      </c>
      <c r="I2456" s="3">
        <f t="shared" si="563"/>
        <v>14</v>
      </c>
      <c r="J2456" s="3">
        <f t="shared" si="564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565"/>
        <v>NO</v>
      </c>
      <c r="Q2456" t="str">
        <f t="shared" si="566"/>
        <v>NO</v>
      </c>
      <c r="R2456" t="str">
        <f t="shared" si="567"/>
        <v>NO</v>
      </c>
      <c r="S2456">
        <v>10</v>
      </c>
      <c r="T2456" t="s">
        <v>3498</v>
      </c>
      <c r="U2456" t="str">
        <f t="shared" si="554"/>
        <v>Gilmore St</v>
      </c>
      <c r="W2456" t="str">
        <f t="shared" si="555"/>
        <v/>
      </c>
      <c r="X2456" t="str">
        <f>IF(ISBLANK(S2456),"Intersection","Non-Intersection")</f>
        <v>Non-Intersection</v>
      </c>
      <c r="Y2456" t="s">
        <v>3499</v>
      </c>
      <c r="Z2456" t="str">
        <f t="shared" si="556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57"/>
        <v>40544</v>
      </c>
      <c r="D2457" s="4">
        <f t="shared" si="558"/>
        <v>0.56986301369863013</v>
      </c>
      <c r="E2457" s="3">
        <f t="shared" si="559"/>
        <v>2011</v>
      </c>
      <c r="F2457" s="3">
        <f t="shared" si="560"/>
        <v>7</v>
      </c>
      <c r="G2457" s="3">
        <f t="shared" si="561"/>
        <v>28</v>
      </c>
      <c r="H2457" s="3">
        <f t="shared" si="562"/>
        <v>12</v>
      </c>
      <c r="I2457" s="3">
        <f t="shared" si="563"/>
        <v>20</v>
      </c>
      <c r="J2457" s="3">
        <f t="shared" si="564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565"/>
        <v>YES</v>
      </c>
      <c r="Q2457" t="str">
        <f t="shared" si="566"/>
        <v>NO</v>
      </c>
      <c r="R2457" t="str">
        <f t="shared" si="567"/>
        <v>NO</v>
      </c>
      <c r="T2457" t="s">
        <v>342</v>
      </c>
      <c r="U2457" t="str">
        <f t="shared" si="554"/>
        <v>Prospect St</v>
      </c>
      <c r="V2457" t="s">
        <v>74</v>
      </c>
      <c r="W2457" t="str">
        <f t="shared" si="555"/>
        <v>Hampshire St</v>
      </c>
      <c r="X2457" t="str">
        <f>IF(ISBLANK(S2457),"Intersection","Non-Intersection")</f>
        <v>Intersection</v>
      </c>
      <c r="Y2457" t="s">
        <v>964</v>
      </c>
      <c r="Z2457" t="str">
        <f t="shared" si="556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57"/>
        <v>40544</v>
      </c>
      <c r="D2458" s="4">
        <f t="shared" si="558"/>
        <v>0.56986301369863013</v>
      </c>
      <c r="E2458" s="3">
        <f t="shared" si="559"/>
        <v>2011</v>
      </c>
      <c r="F2458" s="3">
        <f t="shared" si="560"/>
        <v>7</v>
      </c>
      <c r="G2458" s="3">
        <f t="shared" si="561"/>
        <v>28</v>
      </c>
      <c r="H2458" s="3">
        <f t="shared" si="562"/>
        <v>14</v>
      </c>
      <c r="I2458" s="3">
        <f t="shared" si="563"/>
        <v>49</v>
      </c>
      <c r="J2458" s="3">
        <f t="shared" si="564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565"/>
        <v>YES</v>
      </c>
      <c r="Q2458" t="str">
        <f t="shared" si="566"/>
        <v>NO</v>
      </c>
      <c r="R2458" t="str">
        <f t="shared" si="567"/>
        <v>NO</v>
      </c>
      <c r="T2458" t="s">
        <v>185</v>
      </c>
      <c r="U2458" t="str">
        <f t="shared" si="554"/>
        <v>Garden St</v>
      </c>
      <c r="V2458" t="s">
        <v>3501</v>
      </c>
      <c r="W2458" t="str">
        <f t="shared" si="555"/>
        <v>Fenno St</v>
      </c>
      <c r="X2458" t="str">
        <f>IF(ISBLANK(S2458),"Intersection","Non-Intersection")</f>
        <v>Intersection</v>
      </c>
      <c r="Y2458" t="s">
        <v>3502</v>
      </c>
      <c r="Z2458" t="str">
        <f t="shared" si="556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57"/>
        <v>40544</v>
      </c>
      <c r="D2459" s="4">
        <f t="shared" si="558"/>
        <v>0.56986301369863013</v>
      </c>
      <c r="E2459" s="3">
        <f t="shared" si="559"/>
        <v>2011</v>
      </c>
      <c r="F2459" s="3">
        <f t="shared" si="560"/>
        <v>7</v>
      </c>
      <c r="G2459" s="3">
        <f t="shared" si="561"/>
        <v>28</v>
      </c>
      <c r="H2459" s="3">
        <f t="shared" si="562"/>
        <v>23</v>
      </c>
      <c r="I2459" s="3">
        <f t="shared" si="563"/>
        <v>45</v>
      </c>
      <c r="J2459" s="3">
        <f t="shared" si="564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565"/>
        <v>YES</v>
      </c>
      <c r="Q2459" t="str">
        <f t="shared" si="566"/>
        <v>NO</v>
      </c>
      <c r="R2459" t="str">
        <f t="shared" si="567"/>
        <v>NO</v>
      </c>
      <c r="S2459">
        <v>1</v>
      </c>
      <c r="T2459" t="s">
        <v>32</v>
      </c>
      <c r="U2459" t="str">
        <f t="shared" si="554"/>
        <v>Main St</v>
      </c>
      <c r="W2459" t="str">
        <f t="shared" si="555"/>
        <v/>
      </c>
      <c r="X2459" t="str">
        <f>IF(ISBLANK(S2459),"Intersection","Non-Intersection")</f>
        <v>Non-Intersection</v>
      </c>
      <c r="Y2459" t="s">
        <v>3114</v>
      </c>
      <c r="Z2459" t="str">
        <f t="shared" si="556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57"/>
        <v>40544</v>
      </c>
      <c r="D2460" s="4">
        <f t="shared" si="558"/>
        <v>0.57260273972602738</v>
      </c>
      <c r="E2460" s="3">
        <f t="shared" si="559"/>
        <v>2011</v>
      </c>
      <c r="F2460" s="3">
        <f t="shared" si="560"/>
        <v>7</v>
      </c>
      <c r="G2460" s="3">
        <f t="shared" si="561"/>
        <v>29</v>
      </c>
      <c r="H2460" s="3">
        <f t="shared" si="562"/>
        <v>21</v>
      </c>
      <c r="I2460" s="3">
        <f t="shared" si="563"/>
        <v>31</v>
      </c>
      <c r="J2460" s="3">
        <f t="shared" si="564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565"/>
        <v>YES</v>
      </c>
      <c r="Q2460" t="str">
        <f t="shared" si="566"/>
        <v>YES</v>
      </c>
      <c r="R2460" t="str">
        <f t="shared" si="567"/>
        <v>NO</v>
      </c>
      <c r="S2460">
        <v>524</v>
      </c>
      <c r="T2460" t="s">
        <v>108</v>
      </c>
      <c r="U2460" t="str">
        <f t="shared" si="554"/>
        <v>Franklin St</v>
      </c>
      <c r="W2460" t="str">
        <f t="shared" si="555"/>
        <v/>
      </c>
      <c r="X2460" t="str">
        <f>IF(ISBLANK(S2460),"Intersection","Non-Intersection")</f>
        <v>Non-Intersection</v>
      </c>
      <c r="Y2460" t="s">
        <v>3504</v>
      </c>
      <c r="Z2460" t="str">
        <f t="shared" si="556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57"/>
        <v>40544</v>
      </c>
      <c r="D2461" s="4">
        <f t="shared" si="558"/>
        <v>0.57260273972602738</v>
      </c>
      <c r="E2461" s="3">
        <f t="shared" si="559"/>
        <v>2011</v>
      </c>
      <c r="F2461" s="3">
        <f t="shared" si="560"/>
        <v>7</v>
      </c>
      <c r="G2461" s="3">
        <f t="shared" si="561"/>
        <v>29</v>
      </c>
      <c r="H2461" s="3">
        <f t="shared" si="562"/>
        <v>9</v>
      </c>
      <c r="I2461" s="3">
        <f t="shared" si="563"/>
        <v>53</v>
      </c>
      <c r="J2461" s="3">
        <f t="shared" si="564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565"/>
        <v>YES</v>
      </c>
      <c r="Q2461" t="str">
        <f t="shared" si="566"/>
        <v>NO</v>
      </c>
      <c r="R2461" t="str">
        <f t="shared" si="567"/>
        <v>NO</v>
      </c>
      <c r="S2461">
        <v>297</v>
      </c>
      <c r="T2461" t="s">
        <v>105</v>
      </c>
      <c r="U2461" t="str">
        <f t="shared" si="554"/>
        <v>Broadway</v>
      </c>
      <c r="W2461" t="str">
        <f t="shared" si="555"/>
        <v/>
      </c>
      <c r="X2461" t="str">
        <f>IF(ISBLANK(S2461),"Intersection","Non-Intersection")</f>
        <v>Non-Intersection</v>
      </c>
      <c r="Y2461" t="s">
        <v>2161</v>
      </c>
      <c r="Z2461" t="str">
        <f t="shared" si="556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57"/>
        <v>40544</v>
      </c>
      <c r="D2462" s="4">
        <f t="shared" si="558"/>
        <v>0.57260273972602738</v>
      </c>
      <c r="E2462" s="3">
        <f t="shared" si="559"/>
        <v>2011</v>
      </c>
      <c r="F2462" s="3">
        <f t="shared" si="560"/>
        <v>7</v>
      </c>
      <c r="G2462" s="3">
        <f t="shared" si="561"/>
        <v>29</v>
      </c>
      <c r="H2462" s="3">
        <f t="shared" si="562"/>
        <v>9</v>
      </c>
      <c r="I2462" s="3">
        <f t="shared" si="563"/>
        <v>59</v>
      </c>
      <c r="J2462" s="3">
        <f t="shared" si="564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565"/>
        <v>YES</v>
      </c>
      <c r="Q2462" t="str">
        <f t="shared" si="566"/>
        <v>NO</v>
      </c>
      <c r="R2462" t="str">
        <f t="shared" si="567"/>
        <v>NO</v>
      </c>
      <c r="S2462">
        <v>43</v>
      </c>
      <c r="T2462" t="s">
        <v>1174</v>
      </c>
      <c r="U2462" t="str">
        <f t="shared" si="554"/>
        <v>Roberts Rd</v>
      </c>
      <c r="W2462" t="str">
        <f t="shared" si="555"/>
        <v/>
      </c>
      <c r="X2462" t="str">
        <f>IF(ISBLANK(S2462),"Intersection","Non-Intersection")</f>
        <v>Non-Intersection</v>
      </c>
      <c r="Y2462" t="s">
        <v>3506</v>
      </c>
      <c r="Z2462" t="str">
        <f t="shared" si="556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57"/>
        <v>40544</v>
      </c>
      <c r="D2463" s="4">
        <f t="shared" si="558"/>
        <v>0.57260273972602738</v>
      </c>
      <c r="E2463" s="3">
        <f t="shared" si="559"/>
        <v>2011</v>
      </c>
      <c r="F2463" s="3">
        <f t="shared" si="560"/>
        <v>7</v>
      </c>
      <c r="G2463" s="3">
        <f t="shared" si="561"/>
        <v>29</v>
      </c>
      <c r="H2463" s="3">
        <f t="shared" si="562"/>
        <v>21</v>
      </c>
      <c r="I2463" s="3">
        <f t="shared" si="563"/>
        <v>40</v>
      </c>
      <c r="J2463" s="3">
        <f t="shared" si="564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565"/>
        <v>YES</v>
      </c>
      <c r="Q2463" t="str">
        <f t="shared" si="566"/>
        <v>NO</v>
      </c>
      <c r="R2463" t="str">
        <f t="shared" si="567"/>
        <v>NO</v>
      </c>
      <c r="T2463" t="s">
        <v>14</v>
      </c>
      <c r="U2463" t="str">
        <f t="shared" si="554"/>
        <v>Massachusetts Ave</v>
      </c>
      <c r="V2463" t="s">
        <v>185</v>
      </c>
      <c r="W2463" t="str">
        <f t="shared" si="555"/>
        <v>Garden St</v>
      </c>
      <c r="X2463" t="str">
        <f>IF(ISBLANK(S2463),"Intersection","Non-Intersection")</f>
        <v>Intersection</v>
      </c>
      <c r="Y2463" t="s">
        <v>1247</v>
      </c>
      <c r="Z2463" t="str">
        <f t="shared" si="556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57"/>
        <v>40544</v>
      </c>
      <c r="D2464" s="4">
        <f t="shared" si="558"/>
        <v>0.57534246575342463</v>
      </c>
      <c r="E2464" s="3">
        <f t="shared" si="559"/>
        <v>2011</v>
      </c>
      <c r="F2464" s="3">
        <f t="shared" si="560"/>
        <v>7</v>
      </c>
      <c r="G2464" s="3">
        <f t="shared" si="561"/>
        <v>30</v>
      </c>
      <c r="H2464" s="3">
        <f t="shared" si="562"/>
        <v>2</v>
      </c>
      <c r="I2464" s="3">
        <f t="shared" si="563"/>
        <v>0</v>
      </c>
      <c r="J2464" s="3">
        <f t="shared" si="564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565"/>
        <v>YES</v>
      </c>
      <c r="Q2464" t="str">
        <f t="shared" si="566"/>
        <v>YES</v>
      </c>
      <c r="R2464" t="str">
        <f t="shared" si="567"/>
        <v>NO</v>
      </c>
      <c r="T2464" t="s">
        <v>14</v>
      </c>
      <c r="U2464" t="str">
        <f t="shared" si="554"/>
        <v>Massachusetts Ave</v>
      </c>
      <c r="V2464" t="s">
        <v>1742</v>
      </c>
      <c r="W2464" t="str">
        <f t="shared" si="555"/>
        <v>Bow St</v>
      </c>
      <c r="X2464" t="str">
        <f>IF(ISBLANK(S2464),"Intersection","Non-Intersection")</f>
        <v>Intersection</v>
      </c>
      <c r="Y2464" t="s">
        <v>1743</v>
      </c>
      <c r="Z2464" t="str">
        <f t="shared" si="556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57"/>
        <v>40544</v>
      </c>
      <c r="D2465" s="4">
        <f t="shared" si="558"/>
        <v>0.57534246575342463</v>
      </c>
      <c r="E2465" s="3">
        <f t="shared" si="559"/>
        <v>2011</v>
      </c>
      <c r="F2465" s="3">
        <f t="shared" si="560"/>
        <v>7</v>
      </c>
      <c r="G2465" s="3">
        <f t="shared" si="561"/>
        <v>30</v>
      </c>
      <c r="H2465" s="3">
        <f t="shared" si="562"/>
        <v>18</v>
      </c>
      <c r="I2465" s="3">
        <f t="shared" si="563"/>
        <v>59</v>
      </c>
      <c r="J2465" s="3">
        <f t="shared" si="564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565"/>
        <v>YES</v>
      </c>
      <c r="Q2465" t="str">
        <f t="shared" si="566"/>
        <v>YES</v>
      </c>
      <c r="R2465" t="str">
        <f t="shared" si="567"/>
        <v>NO</v>
      </c>
      <c r="T2465" t="s">
        <v>249</v>
      </c>
      <c r="U2465" t="str">
        <f t="shared" si="554"/>
        <v>Landsdowne St</v>
      </c>
      <c r="V2465" t="s">
        <v>14</v>
      </c>
      <c r="W2465" t="str">
        <f t="shared" si="555"/>
        <v>Massachusetts Ave</v>
      </c>
      <c r="X2465" t="str">
        <f>IF(ISBLANK(S2465),"Intersection","Non-Intersection")</f>
        <v>Intersection</v>
      </c>
      <c r="Y2465" t="s">
        <v>2165</v>
      </c>
      <c r="Z2465" t="str">
        <f t="shared" si="556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57"/>
        <v>40544</v>
      </c>
      <c r="D2466" s="4">
        <f t="shared" si="558"/>
        <v>0.57534246575342463</v>
      </c>
      <c r="E2466" s="3">
        <f t="shared" si="559"/>
        <v>2011</v>
      </c>
      <c r="F2466" s="3">
        <f t="shared" si="560"/>
        <v>7</v>
      </c>
      <c r="G2466" s="3">
        <f t="shared" si="561"/>
        <v>30</v>
      </c>
      <c r="H2466" s="3">
        <f t="shared" si="562"/>
        <v>21</v>
      </c>
      <c r="I2466" s="3">
        <f t="shared" si="563"/>
        <v>0</v>
      </c>
      <c r="J2466" s="3">
        <f t="shared" si="564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565"/>
        <v>YES</v>
      </c>
      <c r="Q2466" t="str">
        <f t="shared" si="566"/>
        <v>YES</v>
      </c>
      <c r="R2466" t="str">
        <f t="shared" si="567"/>
        <v>NO</v>
      </c>
      <c r="S2466">
        <v>524</v>
      </c>
      <c r="T2466" t="s">
        <v>108</v>
      </c>
      <c r="U2466" t="str">
        <f t="shared" si="554"/>
        <v>Franklin St</v>
      </c>
      <c r="W2466" t="str">
        <f t="shared" si="555"/>
        <v/>
      </c>
      <c r="X2466" t="str">
        <f>IF(ISBLANK(S2466),"Intersection","Non-Intersection")</f>
        <v>Non-Intersection</v>
      </c>
      <c r="Y2466" t="s">
        <v>3504</v>
      </c>
      <c r="Z2466" t="str">
        <f t="shared" si="556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57"/>
        <v>40544</v>
      </c>
      <c r="D2467" s="4">
        <f t="shared" si="558"/>
        <v>0.57808219178082187</v>
      </c>
      <c r="E2467" s="3">
        <f t="shared" si="559"/>
        <v>2011</v>
      </c>
      <c r="F2467" s="3">
        <f t="shared" si="560"/>
        <v>7</v>
      </c>
      <c r="G2467" s="3">
        <f t="shared" si="561"/>
        <v>31</v>
      </c>
      <c r="H2467" s="3">
        <f t="shared" si="562"/>
        <v>18</v>
      </c>
      <c r="I2467" s="3">
        <f t="shared" si="563"/>
        <v>0</v>
      </c>
      <c r="J2467" s="3">
        <f t="shared" si="564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565"/>
        <v>YES</v>
      </c>
      <c r="Q2467" t="str">
        <f t="shared" si="566"/>
        <v>NO</v>
      </c>
      <c r="R2467" t="str">
        <f t="shared" si="567"/>
        <v>NO</v>
      </c>
      <c r="T2467" t="s">
        <v>316</v>
      </c>
      <c r="U2467" t="str">
        <f t="shared" si="554"/>
        <v>Bishop Allen Dr</v>
      </c>
      <c r="V2467" t="s">
        <v>101</v>
      </c>
      <c r="W2467" t="str">
        <f t="shared" si="555"/>
        <v>Columbia St</v>
      </c>
      <c r="X2467" t="str">
        <f>IF(ISBLANK(S2467),"Intersection","Non-Intersection")</f>
        <v>Intersection</v>
      </c>
      <c r="Y2467" t="s">
        <v>688</v>
      </c>
      <c r="Z2467" t="str">
        <f t="shared" si="556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57"/>
        <v>40544</v>
      </c>
      <c r="D2468" s="4">
        <f t="shared" si="558"/>
        <v>0.57808219178082187</v>
      </c>
      <c r="E2468" s="3">
        <f t="shared" si="559"/>
        <v>2011</v>
      </c>
      <c r="F2468" s="3">
        <f t="shared" si="560"/>
        <v>7</v>
      </c>
      <c r="G2468" s="3">
        <f t="shared" si="561"/>
        <v>31</v>
      </c>
      <c r="H2468" s="3">
        <f t="shared" si="562"/>
        <v>23</v>
      </c>
      <c r="I2468" s="3">
        <f t="shared" si="563"/>
        <v>39</v>
      </c>
      <c r="J2468" s="3">
        <f t="shared" si="564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565"/>
        <v>YES</v>
      </c>
      <c r="Q2468" t="str">
        <f t="shared" si="566"/>
        <v>NO</v>
      </c>
      <c r="R2468" t="str">
        <f t="shared" si="567"/>
        <v>NO</v>
      </c>
      <c r="S2468">
        <v>891</v>
      </c>
      <c r="T2468" t="s">
        <v>14</v>
      </c>
      <c r="U2468" t="str">
        <f t="shared" si="554"/>
        <v>Massachusetts Ave</v>
      </c>
      <c r="V2468" t="s">
        <v>2158</v>
      </c>
      <c r="W2468" t="str">
        <f t="shared" si="555"/>
        <v>Lee St</v>
      </c>
      <c r="X2468" t="str">
        <f>IF(ISBLANK(S2468),"Intersection","Non-Intersection")</f>
        <v>Non-Intersection</v>
      </c>
      <c r="Y2468" t="s">
        <v>3508</v>
      </c>
      <c r="Z2468" t="str">
        <f t="shared" si="556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57"/>
        <v>40544</v>
      </c>
      <c r="D2469" s="4">
        <f t="shared" si="558"/>
        <v>0.57808219178082187</v>
      </c>
      <c r="E2469" s="3">
        <f t="shared" si="559"/>
        <v>2011</v>
      </c>
      <c r="F2469" s="3">
        <f t="shared" si="560"/>
        <v>7</v>
      </c>
      <c r="G2469" s="3">
        <f t="shared" si="561"/>
        <v>31</v>
      </c>
      <c r="H2469" s="3">
        <f t="shared" si="562"/>
        <v>6</v>
      </c>
      <c r="I2469" s="3">
        <f t="shared" si="563"/>
        <v>45</v>
      </c>
      <c r="J2469" s="3">
        <f t="shared" si="564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565"/>
        <v>YES</v>
      </c>
      <c r="Q2469" t="str">
        <f t="shared" si="566"/>
        <v>NO</v>
      </c>
      <c r="R2469" t="str">
        <f t="shared" si="567"/>
        <v>NO</v>
      </c>
      <c r="T2469" t="s">
        <v>170</v>
      </c>
      <c r="U2469" t="str">
        <f t="shared" si="554"/>
        <v>Alewife Brook Pky</v>
      </c>
      <c r="V2469" t="s">
        <v>1465</v>
      </c>
      <c r="W2469" t="str">
        <f t="shared" si="555"/>
        <v>Terminal Rd</v>
      </c>
      <c r="X2469" t="str">
        <f>IF(ISBLANK(S2469),"Intersection","Non-Intersection")</f>
        <v>Intersection</v>
      </c>
      <c r="Y2469" t="s">
        <v>3510</v>
      </c>
      <c r="Z2469" t="str">
        <f t="shared" si="556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57"/>
        <v>40544</v>
      </c>
      <c r="D2470" s="4">
        <f t="shared" si="558"/>
        <v>0.58082191780821912</v>
      </c>
      <c r="E2470" s="3">
        <f t="shared" si="559"/>
        <v>2011</v>
      </c>
      <c r="F2470" s="3">
        <f t="shared" si="560"/>
        <v>8</v>
      </c>
      <c r="G2470" s="3">
        <f t="shared" si="561"/>
        <v>1</v>
      </c>
      <c r="H2470" s="3">
        <f t="shared" si="562"/>
        <v>18</v>
      </c>
      <c r="I2470" s="3">
        <f t="shared" si="563"/>
        <v>1</v>
      </c>
      <c r="J2470" s="3">
        <f t="shared" si="564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565"/>
        <v>NO</v>
      </c>
      <c r="Q2470" t="str">
        <f t="shared" si="566"/>
        <v>NO</v>
      </c>
      <c r="R2470" t="str">
        <f t="shared" si="567"/>
        <v>NO</v>
      </c>
      <c r="T2470" t="s">
        <v>186</v>
      </c>
      <c r="U2470" t="str">
        <f t="shared" si="554"/>
        <v>Concord Ave</v>
      </c>
      <c r="V2470" t="s">
        <v>287</v>
      </c>
      <c r="W2470" t="str">
        <f t="shared" si="555"/>
        <v>Alpine St</v>
      </c>
      <c r="X2470" t="str">
        <f>IF(ISBLANK(S2470),"Intersection","Non-Intersection")</f>
        <v>Intersection</v>
      </c>
      <c r="Y2470" t="s">
        <v>1130</v>
      </c>
      <c r="Z2470" t="str">
        <f t="shared" si="556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57"/>
        <v>40544</v>
      </c>
      <c r="D2471" s="4">
        <f t="shared" si="558"/>
        <v>0.58356164383561648</v>
      </c>
      <c r="E2471" s="3">
        <f t="shared" si="559"/>
        <v>2011</v>
      </c>
      <c r="F2471" s="3">
        <f t="shared" si="560"/>
        <v>8</v>
      </c>
      <c r="G2471" s="3">
        <f t="shared" si="561"/>
        <v>2</v>
      </c>
      <c r="H2471" s="3">
        <f t="shared" si="562"/>
        <v>13</v>
      </c>
      <c r="I2471" s="3">
        <f t="shared" si="563"/>
        <v>15</v>
      </c>
      <c r="J2471" s="3">
        <f t="shared" si="564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565"/>
        <v>YES</v>
      </c>
      <c r="Q2471" t="str">
        <f t="shared" si="566"/>
        <v>NO</v>
      </c>
      <c r="R2471" t="str">
        <f t="shared" si="567"/>
        <v>NO</v>
      </c>
      <c r="T2471" t="s">
        <v>14</v>
      </c>
      <c r="U2471" t="str">
        <f t="shared" si="554"/>
        <v>Massachusetts Ave</v>
      </c>
      <c r="V2471" t="s">
        <v>524</v>
      </c>
      <c r="W2471" t="str">
        <f t="shared" si="555"/>
        <v>Blake St</v>
      </c>
      <c r="X2471" t="str">
        <f>IF(ISBLANK(S2471),"Intersection","Non-Intersection")</f>
        <v>Intersection</v>
      </c>
      <c r="Y2471" t="s">
        <v>3291</v>
      </c>
      <c r="Z2471" t="str">
        <f t="shared" si="556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57"/>
        <v>40544</v>
      </c>
      <c r="D2472" s="4">
        <f t="shared" si="558"/>
        <v>0.58356164383561648</v>
      </c>
      <c r="E2472" s="3">
        <f t="shared" si="559"/>
        <v>2011</v>
      </c>
      <c r="F2472" s="3">
        <f t="shared" si="560"/>
        <v>8</v>
      </c>
      <c r="G2472" s="3">
        <f t="shared" si="561"/>
        <v>2</v>
      </c>
      <c r="H2472" s="3">
        <f t="shared" si="562"/>
        <v>18</v>
      </c>
      <c r="I2472" s="3">
        <f t="shared" si="563"/>
        <v>21</v>
      </c>
      <c r="J2472" s="3">
        <f t="shared" si="564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565"/>
        <v>YES</v>
      </c>
      <c r="Q2472" t="str">
        <f t="shared" si="566"/>
        <v>NO</v>
      </c>
      <c r="R2472" t="str">
        <f t="shared" si="567"/>
        <v>YES</v>
      </c>
      <c r="T2472" t="s">
        <v>105</v>
      </c>
      <c r="U2472" t="str">
        <f t="shared" si="554"/>
        <v>Broadway</v>
      </c>
      <c r="V2472" t="s">
        <v>796</v>
      </c>
      <c r="W2472" t="str">
        <f t="shared" si="555"/>
        <v>Portland St</v>
      </c>
      <c r="X2472" t="str">
        <f>IF(ISBLANK(S2472),"Intersection","Non-Intersection")</f>
        <v>Intersection</v>
      </c>
      <c r="Y2472" t="s">
        <v>2561</v>
      </c>
      <c r="Z2472" t="str">
        <f t="shared" si="556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57"/>
        <v>40544</v>
      </c>
      <c r="D2473" s="4">
        <f t="shared" si="558"/>
        <v>0.58630136986301373</v>
      </c>
      <c r="E2473" s="3">
        <f t="shared" si="559"/>
        <v>2011</v>
      </c>
      <c r="F2473" s="3">
        <f t="shared" si="560"/>
        <v>8</v>
      </c>
      <c r="G2473" s="3">
        <f t="shared" si="561"/>
        <v>3</v>
      </c>
      <c r="H2473" s="3">
        <f t="shared" si="562"/>
        <v>4</v>
      </c>
      <c r="I2473" s="3">
        <f t="shared" si="563"/>
        <v>54</v>
      </c>
      <c r="J2473" s="3">
        <f t="shared" si="564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565"/>
        <v>YES</v>
      </c>
      <c r="Q2473" t="str">
        <f t="shared" si="566"/>
        <v>NO</v>
      </c>
      <c r="R2473" t="str">
        <f t="shared" si="567"/>
        <v>YES</v>
      </c>
      <c r="S2473">
        <v>241</v>
      </c>
      <c r="T2473" t="s">
        <v>19</v>
      </c>
      <c r="U2473" t="str">
        <f t="shared" si="554"/>
        <v>Cambridge St</v>
      </c>
      <c r="W2473" t="str">
        <f t="shared" si="555"/>
        <v/>
      </c>
      <c r="X2473" t="str">
        <f>IF(ISBLANK(S2473),"Intersection","Non-Intersection")</f>
        <v>Non-Intersection</v>
      </c>
      <c r="Y2473" t="s">
        <v>3512</v>
      </c>
      <c r="Z2473" t="str">
        <f t="shared" si="556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57"/>
        <v>40544</v>
      </c>
      <c r="D2474" s="4">
        <f t="shared" si="558"/>
        <v>0.58630136986301373</v>
      </c>
      <c r="E2474" s="3">
        <f t="shared" si="559"/>
        <v>2011</v>
      </c>
      <c r="F2474" s="3">
        <f t="shared" si="560"/>
        <v>8</v>
      </c>
      <c r="G2474" s="3">
        <f t="shared" si="561"/>
        <v>3</v>
      </c>
      <c r="H2474" s="3">
        <f t="shared" si="562"/>
        <v>8</v>
      </c>
      <c r="I2474" s="3">
        <f t="shared" si="563"/>
        <v>26</v>
      </c>
      <c r="J2474" s="3">
        <f t="shared" si="564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565"/>
        <v>YES</v>
      </c>
      <c r="Q2474" t="str">
        <f t="shared" si="566"/>
        <v>YES</v>
      </c>
      <c r="R2474" t="str">
        <f t="shared" si="567"/>
        <v>NO</v>
      </c>
      <c r="T2474" t="s">
        <v>14</v>
      </c>
      <c r="U2474" t="str">
        <f t="shared" si="554"/>
        <v>Massachusetts Ave</v>
      </c>
      <c r="V2474" t="s">
        <v>601</v>
      </c>
      <c r="W2474" t="str">
        <f t="shared" si="555"/>
        <v>Cedar St</v>
      </c>
      <c r="X2474" t="str">
        <f>IF(ISBLANK(S2474),"Intersection","Non-Intersection")</f>
        <v>Intersection</v>
      </c>
      <c r="Y2474" t="s">
        <v>602</v>
      </c>
      <c r="Z2474" t="str">
        <f t="shared" si="556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57"/>
        <v>40544</v>
      </c>
      <c r="D2475" s="4">
        <f t="shared" si="558"/>
        <v>0.58630136986301373</v>
      </c>
      <c r="E2475" s="3">
        <f t="shared" si="559"/>
        <v>2011</v>
      </c>
      <c r="F2475" s="3">
        <f t="shared" si="560"/>
        <v>8</v>
      </c>
      <c r="G2475" s="3">
        <f t="shared" si="561"/>
        <v>3</v>
      </c>
      <c r="H2475" s="3">
        <f t="shared" si="562"/>
        <v>9</v>
      </c>
      <c r="I2475" s="3">
        <f t="shared" si="563"/>
        <v>55</v>
      </c>
      <c r="J2475" s="3">
        <f t="shared" si="564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565"/>
        <v>YES</v>
      </c>
      <c r="Q2475" t="str">
        <f t="shared" si="566"/>
        <v>YES</v>
      </c>
      <c r="R2475" t="str">
        <f t="shared" si="567"/>
        <v>NO</v>
      </c>
      <c r="T2475" t="s">
        <v>199</v>
      </c>
      <c r="U2475" t="str">
        <f t="shared" si="554"/>
        <v>Brattle St</v>
      </c>
      <c r="V2475" t="s">
        <v>935</v>
      </c>
      <c r="W2475" t="str">
        <f t="shared" si="555"/>
        <v>Hawthorne St</v>
      </c>
      <c r="X2475" t="str">
        <f>IF(ISBLANK(S2475),"Intersection","Non-Intersection")</f>
        <v>Intersection</v>
      </c>
      <c r="Y2475" t="s">
        <v>3514</v>
      </c>
      <c r="Z2475" t="str">
        <f t="shared" si="556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57"/>
        <v>40544</v>
      </c>
      <c r="D2476" s="4">
        <f t="shared" si="558"/>
        <v>0.58630136986301373</v>
      </c>
      <c r="E2476" s="3">
        <f t="shared" si="559"/>
        <v>2011</v>
      </c>
      <c r="F2476" s="3">
        <f t="shared" si="560"/>
        <v>8</v>
      </c>
      <c r="G2476" s="3">
        <f t="shared" si="561"/>
        <v>3</v>
      </c>
      <c r="H2476" s="3">
        <f t="shared" si="562"/>
        <v>15</v>
      </c>
      <c r="I2476" s="3">
        <f t="shared" si="563"/>
        <v>55</v>
      </c>
      <c r="J2476" s="3">
        <f t="shared" si="564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565"/>
        <v>YES</v>
      </c>
      <c r="Q2476" t="str">
        <f t="shared" si="566"/>
        <v>NO</v>
      </c>
      <c r="R2476" t="str">
        <f t="shared" si="567"/>
        <v>NO</v>
      </c>
      <c r="T2476" t="s">
        <v>216</v>
      </c>
      <c r="U2476" t="str">
        <f t="shared" si="554"/>
        <v>Washington Ave</v>
      </c>
      <c r="V2476" t="s">
        <v>550</v>
      </c>
      <c r="W2476" t="str">
        <f t="shared" si="555"/>
        <v>Upland Rd</v>
      </c>
      <c r="X2476" t="str">
        <f>IF(ISBLANK(S2476),"Intersection","Non-Intersection")</f>
        <v>Intersection</v>
      </c>
      <c r="Y2476" t="s">
        <v>3516</v>
      </c>
      <c r="Z2476" t="str">
        <f t="shared" si="556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57"/>
        <v>40544</v>
      </c>
      <c r="D2477" s="4">
        <f t="shared" si="558"/>
        <v>0.58630136986301373</v>
      </c>
      <c r="E2477" s="3">
        <f t="shared" si="559"/>
        <v>2011</v>
      </c>
      <c r="F2477" s="3">
        <f t="shared" si="560"/>
        <v>8</v>
      </c>
      <c r="G2477" s="3">
        <f t="shared" si="561"/>
        <v>3</v>
      </c>
      <c r="H2477" s="3">
        <f t="shared" si="562"/>
        <v>17</v>
      </c>
      <c r="I2477" s="3">
        <f t="shared" si="563"/>
        <v>10</v>
      </c>
      <c r="J2477" s="3">
        <f t="shared" si="564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565"/>
        <v>YES</v>
      </c>
      <c r="Q2477" t="str">
        <f t="shared" si="566"/>
        <v>NO</v>
      </c>
      <c r="R2477" t="str">
        <f t="shared" si="567"/>
        <v>YES</v>
      </c>
      <c r="T2477" t="s">
        <v>19</v>
      </c>
      <c r="U2477" t="str">
        <f t="shared" si="554"/>
        <v>Cambridge St</v>
      </c>
      <c r="V2477" t="s">
        <v>745</v>
      </c>
      <c r="W2477" t="str">
        <f t="shared" si="555"/>
        <v>Norfolk St</v>
      </c>
      <c r="X2477" t="str">
        <f>IF(ISBLANK(S2477),"Intersection","Non-Intersection")</f>
        <v>Intersection</v>
      </c>
      <c r="Y2477" t="s">
        <v>3518</v>
      </c>
      <c r="Z2477" t="str">
        <f t="shared" si="556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57"/>
        <v>40544</v>
      </c>
      <c r="D2478" s="4">
        <f t="shared" si="558"/>
        <v>0.58904109589041098</v>
      </c>
      <c r="E2478" s="3">
        <f t="shared" si="559"/>
        <v>2011</v>
      </c>
      <c r="F2478" s="3">
        <f t="shared" si="560"/>
        <v>8</v>
      </c>
      <c r="G2478" s="3">
        <f t="shared" si="561"/>
        <v>4</v>
      </c>
      <c r="H2478" s="3">
        <f t="shared" si="562"/>
        <v>9</v>
      </c>
      <c r="I2478" s="3">
        <f t="shared" si="563"/>
        <v>13</v>
      </c>
      <c r="J2478" s="3">
        <f t="shared" si="564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565"/>
        <v>YES</v>
      </c>
      <c r="Q2478" t="str">
        <f t="shared" si="566"/>
        <v>NO</v>
      </c>
      <c r="R2478" t="str">
        <f t="shared" si="567"/>
        <v>NO</v>
      </c>
      <c r="S2478">
        <v>117</v>
      </c>
      <c r="T2478" t="s">
        <v>3188</v>
      </c>
      <c r="U2478" t="str">
        <f t="shared" si="554"/>
        <v>Montgomery St</v>
      </c>
      <c r="W2478" t="str">
        <f t="shared" si="555"/>
        <v/>
      </c>
      <c r="X2478" t="str">
        <f>IF(ISBLANK(S2478),"Intersection","Non-Intersection")</f>
        <v>Non-Intersection</v>
      </c>
      <c r="Y2478" t="s">
        <v>3519</v>
      </c>
      <c r="Z2478" t="str">
        <f t="shared" si="556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57"/>
        <v>40544</v>
      </c>
      <c r="D2479" s="4">
        <f t="shared" si="558"/>
        <v>0.58904109589041098</v>
      </c>
      <c r="E2479" s="3">
        <f t="shared" si="559"/>
        <v>2011</v>
      </c>
      <c r="F2479" s="3">
        <f t="shared" si="560"/>
        <v>8</v>
      </c>
      <c r="G2479" s="3">
        <f t="shared" si="561"/>
        <v>4</v>
      </c>
      <c r="H2479" s="3">
        <f t="shared" si="562"/>
        <v>16</v>
      </c>
      <c r="I2479" s="3">
        <f t="shared" si="563"/>
        <v>5</v>
      </c>
      <c r="J2479" s="3">
        <f t="shared" si="564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565"/>
        <v>NO</v>
      </c>
      <c r="Q2479" t="str">
        <f t="shared" si="566"/>
        <v>YES</v>
      </c>
      <c r="R2479" t="str">
        <f t="shared" si="567"/>
        <v>YES</v>
      </c>
      <c r="S2479">
        <v>183</v>
      </c>
      <c r="T2479" t="s">
        <v>342</v>
      </c>
      <c r="U2479" t="str">
        <f t="shared" si="554"/>
        <v>Prospect St</v>
      </c>
      <c r="W2479" t="str">
        <f t="shared" si="555"/>
        <v/>
      </c>
      <c r="X2479" t="str">
        <f>IF(ISBLANK(S2479),"Intersection","Non-Intersection")</f>
        <v>Non-Intersection</v>
      </c>
      <c r="Y2479" t="s">
        <v>3521</v>
      </c>
      <c r="Z2479" t="str">
        <f t="shared" si="556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57"/>
        <v>40544</v>
      </c>
      <c r="D2480" s="4">
        <f t="shared" si="558"/>
        <v>0.58904109589041098</v>
      </c>
      <c r="E2480" s="3">
        <f t="shared" si="559"/>
        <v>2011</v>
      </c>
      <c r="F2480" s="3">
        <f t="shared" si="560"/>
        <v>8</v>
      </c>
      <c r="G2480" s="3">
        <f t="shared" si="561"/>
        <v>4</v>
      </c>
      <c r="H2480" s="3">
        <f t="shared" si="562"/>
        <v>16</v>
      </c>
      <c r="I2480" s="3">
        <f t="shared" si="563"/>
        <v>44</v>
      </c>
      <c r="J2480" s="3">
        <f t="shared" si="564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565"/>
        <v>YES</v>
      </c>
      <c r="Q2480" t="str">
        <f t="shared" si="566"/>
        <v>NO</v>
      </c>
      <c r="R2480" t="str">
        <f t="shared" si="567"/>
        <v>YES</v>
      </c>
      <c r="T2480" t="s">
        <v>19</v>
      </c>
      <c r="U2480" t="str">
        <f t="shared" si="554"/>
        <v>Cambridge St</v>
      </c>
      <c r="V2480" t="s">
        <v>61</v>
      </c>
      <c r="W2480" t="str">
        <f t="shared" si="555"/>
        <v>First St</v>
      </c>
      <c r="X2480" t="str">
        <f>IF(ISBLANK(S2480),"Intersection","Non-Intersection")</f>
        <v>Intersection</v>
      </c>
      <c r="Y2480" t="s">
        <v>494</v>
      </c>
      <c r="Z2480" t="str">
        <f t="shared" si="556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57"/>
        <v>40544</v>
      </c>
      <c r="D2481" s="4">
        <f t="shared" si="558"/>
        <v>0.58904109589041098</v>
      </c>
      <c r="E2481" s="3">
        <f t="shared" si="559"/>
        <v>2011</v>
      </c>
      <c r="F2481" s="3">
        <f t="shared" si="560"/>
        <v>8</v>
      </c>
      <c r="G2481" s="3">
        <f t="shared" si="561"/>
        <v>4</v>
      </c>
      <c r="H2481" s="3">
        <f t="shared" si="562"/>
        <v>17</v>
      </c>
      <c r="I2481" s="3">
        <f t="shared" si="563"/>
        <v>32</v>
      </c>
      <c r="J2481" s="3">
        <f t="shared" si="564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565"/>
        <v>YES</v>
      </c>
      <c r="Q2481" t="str">
        <f t="shared" si="566"/>
        <v>YES</v>
      </c>
      <c r="R2481" t="str">
        <f t="shared" si="567"/>
        <v>NO</v>
      </c>
      <c r="T2481" t="s">
        <v>105</v>
      </c>
      <c r="U2481" t="str">
        <f t="shared" si="554"/>
        <v>Broadway</v>
      </c>
      <c r="V2481" t="s">
        <v>189</v>
      </c>
      <c r="W2481" t="str">
        <f t="shared" si="555"/>
        <v>Windsor St</v>
      </c>
      <c r="X2481" t="str">
        <f>IF(ISBLANK(S2481),"Intersection","Non-Intersection")</f>
        <v>Intersection</v>
      </c>
      <c r="Y2481" t="s">
        <v>477</v>
      </c>
      <c r="Z2481" t="str">
        <f t="shared" si="556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57"/>
        <v>40544</v>
      </c>
      <c r="D2482" s="4">
        <f t="shared" si="558"/>
        <v>0.58904109589041098</v>
      </c>
      <c r="E2482" s="3">
        <f t="shared" si="559"/>
        <v>2011</v>
      </c>
      <c r="F2482" s="3">
        <f t="shared" si="560"/>
        <v>8</v>
      </c>
      <c r="G2482" s="3">
        <f t="shared" si="561"/>
        <v>4</v>
      </c>
      <c r="H2482" s="3">
        <f t="shared" si="562"/>
        <v>22</v>
      </c>
      <c r="I2482" s="3">
        <f t="shared" si="563"/>
        <v>30</v>
      </c>
      <c r="J2482" s="3">
        <f t="shared" si="564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565"/>
        <v>YES</v>
      </c>
      <c r="Q2482" t="str">
        <f t="shared" si="566"/>
        <v>NO</v>
      </c>
      <c r="R2482" t="str">
        <f t="shared" si="567"/>
        <v>NO</v>
      </c>
      <c r="T2482" t="s">
        <v>509</v>
      </c>
      <c r="U2482" t="str">
        <f t="shared" si="554"/>
        <v>Green St</v>
      </c>
      <c r="V2482" t="s">
        <v>249</v>
      </c>
      <c r="W2482" t="str">
        <f t="shared" si="555"/>
        <v>Landsdowne St</v>
      </c>
      <c r="X2482" t="str">
        <f>IF(ISBLANK(S2482),"Intersection","Non-Intersection")</f>
        <v>Intersection</v>
      </c>
      <c r="Y2482" t="s">
        <v>2832</v>
      </c>
      <c r="Z2482" t="str">
        <f t="shared" si="556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57"/>
        <v>40544</v>
      </c>
      <c r="D2483" s="4">
        <f t="shared" si="558"/>
        <v>0.58904109589041098</v>
      </c>
      <c r="E2483" s="3">
        <f t="shared" si="559"/>
        <v>2011</v>
      </c>
      <c r="F2483" s="3">
        <f t="shared" si="560"/>
        <v>8</v>
      </c>
      <c r="G2483" s="3">
        <f t="shared" si="561"/>
        <v>4</v>
      </c>
      <c r="H2483" s="3">
        <f t="shared" si="562"/>
        <v>14</v>
      </c>
      <c r="I2483" s="3">
        <f t="shared" si="563"/>
        <v>39</v>
      </c>
      <c r="J2483" s="3">
        <f t="shared" si="564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565"/>
        <v>YES</v>
      </c>
      <c r="Q2483" t="str">
        <f t="shared" si="566"/>
        <v>NO</v>
      </c>
      <c r="R2483" t="str">
        <f t="shared" si="567"/>
        <v>NO</v>
      </c>
      <c r="T2483" t="s">
        <v>14</v>
      </c>
      <c r="U2483" t="str">
        <f t="shared" si="554"/>
        <v>Massachusetts Ave</v>
      </c>
      <c r="V2483" t="s">
        <v>1095</v>
      </c>
      <c r="W2483" t="str">
        <f t="shared" si="555"/>
        <v>Churchill Ave</v>
      </c>
      <c r="X2483" t="str">
        <f>IF(ISBLANK(S2483),"Intersection","Non-Intersection")</f>
        <v>Intersection</v>
      </c>
      <c r="Y2483" t="s">
        <v>2671</v>
      </c>
      <c r="Z2483" t="str">
        <f t="shared" si="556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57"/>
        <v>40544</v>
      </c>
      <c r="D2484" s="4">
        <f t="shared" si="558"/>
        <v>0.58904109589041098</v>
      </c>
      <c r="E2484" s="3">
        <f t="shared" si="559"/>
        <v>2011</v>
      </c>
      <c r="F2484" s="3">
        <f t="shared" si="560"/>
        <v>8</v>
      </c>
      <c r="G2484" s="3">
        <f t="shared" si="561"/>
        <v>4</v>
      </c>
      <c r="H2484" s="3">
        <f t="shared" si="562"/>
        <v>12</v>
      </c>
      <c r="I2484" s="3">
        <f t="shared" si="563"/>
        <v>30</v>
      </c>
      <c r="J2484" s="3">
        <f t="shared" si="564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565"/>
        <v>YES</v>
      </c>
      <c r="Q2484" t="str">
        <f t="shared" si="566"/>
        <v>NO</v>
      </c>
      <c r="R2484" t="str">
        <f t="shared" si="567"/>
        <v>NO</v>
      </c>
      <c r="T2484" t="s">
        <v>19</v>
      </c>
      <c r="U2484" t="str">
        <f t="shared" si="554"/>
        <v>Cambridge St</v>
      </c>
      <c r="V2484" t="s">
        <v>1016</v>
      </c>
      <c r="W2484" t="str">
        <f t="shared" si="555"/>
        <v>Maple Ave</v>
      </c>
      <c r="X2484" t="str">
        <f>IF(ISBLANK(S2484),"Intersection","Non-Intersection")</f>
        <v>Intersection</v>
      </c>
      <c r="Y2484" t="s">
        <v>1807</v>
      </c>
      <c r="Z2484" t="str">
        <f t="shared" si="556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57"/>
        <v>40544</v>
      </c>
      <c r="D2485" s="4">
        <f t="shared" si="558"/>
        <v>0.59178082191780823</v>
      </c>
      <c r="E2485" s="3">
        <f t="shared" si="559"/>
        <v>2011</v>
      </c>
      <c r="F2485" s="3">
        <f t="shared" si="560"/>
        <v>8</v>
      </c>
      <c r="G2485" s="3">
        <f t="shared" si="561"/>
        <v>5</v>
      </c>
      <c r="H2485" s="3">
        <f t="shared" si="562"/>
        <v>8</v>
      </c>
      <c r="I2485" s="3">
        <f t="shared" si="563"/>
        <v>35</v>
      </c>
      <c r="J2485" s="3">
        <f t="shared" si="564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565"/>
        <v>YES</v>
      </c>
      <c r="Q2485" t="str">
        <f t="shared" si="566"/>
        <v>NO</v>
      </c>
      <c r="R2485" t="str">
        <f t="shared" si="567"/>
        <v>NO</v>
      </c>
      <c r="T2485" t="s">
        <v>365</v>
      </c>
      <c r="U2485" t="str">
        <f t="shared" si="554"/>
        <v>Hurley St</v>
      </c>
      <c r="V2485" t="s">
        <v>147</v>
      </c>
      <c r="W2485" t="str">
        <f t="shared" si="555"/>
        <v>Sixth St</v>
      </c>
      <c r="X2485" t="str">
        <f>IF(ISBLANK(S2485),"Intersection","Non-Intersection")</f>
        <v>Intersection</v>
      </c>
      <c r="Y2485" t="s">
        <v>3523</v>
      </c>
      <c r="Z2485" t="str">
        <f t="shared" si="556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57"/>
        <v>40544</v>
      </c>
      <c r="D2486" s="4">
        <f t="shared" si="558"/>
        <v>0.59178082191780823</v>
      </c>
      <c r="E2486" s="3">
        <f t="shared" si="559"/>
        <v>2011</v>
      </c>
      <c r="F2486" s="3">
        <f t="shared" si="560"/>
        <v>8</v>
      </c>
      <c r="G2486" s="3">
        <f t="shared" si="561"/>
        <v>5</v>
      </c>
      <c r="H2486" s="3">
        <f t="shared" si="562"/>
        <v>8</v>
      </c>
      <c r="I2486" s="3">
        <f t="shared" si="563"/>
        <v>0</v>
      </c>
      <c r="J2486" s="3">
        <f t="shared" si="564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565"/>
        <v>YES</v>
      </c>
      <c r="Q2486" t="str">
        <f t="shared" si="566"/>
        <v>NO</v>
      </c>
      <c r="R2486" t="str">
        <f t="shared" si="567"/>
        <v>NO</v>
      </c>
      <c r="S2486">
        <v>50</v>
      </c>
      <c r="T2486" t="s">
        <v>28</v>
      </c>
      <c r="U2486" t="str">
        <f t="shared" si="554"/>
        <v>Howard St</v>
      </c>
      <c r="W2486" t="str">
        <f t="shared" si="555"/>
        <v/>
      </c>
      <c r="X2486" t="str">
        <f>IF(ISBLANK(S2486),"Intersection","Non-Intersection")</f>
        <v>Non-Intersection</v>
      </c>
      <c r="Y2486" t="s">
        <v>3525</v>
      </c>
      <c r="Z2486" t="str">
        <f t="shared" si="556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57"/>
        <v>40544</v>
      </c>
      <c r="D2487" s="4">
        <f t="shared" si="558"/>
        <v>0.59178082191780823</v>
      </c>
      <c r="E2487" s="3">
        <f t="shared" si="559"/>
        <v>2011</v>
      </c>
      <c r="F2487" s="3">
        <f t="shared" si="560"/>
        <v>8</v>
      </c>
      <c r="G2487" s="3">
        <f t="shared" si="561"/>
        <v>5</v>
      </c>
      <c r="H2487" s="3">
        <f t="shared" si="562"/>
        <v>9</v>
      </c>
      <c r="I2487" s="3">
        <f t="shared" si="563"/>
        <v>33</v>
      </c>
      <c r="J2487" s="3">
        <f t="shared" si="564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565"/>
        <v>YES</v>
      </c>
      <c r="Q2487" t="str">
        <f t="shared" si="566"/>
        <v>NO</v>
      </c>
      <c r="R2487" t="str">
        <f t="shared" si="567"/>
        <v>NO</v>
      </c>
      <c r="T2487" t="s">
        <v>129</v>
      </c>
      <c r="U2487" t="str">
        <f t="shared" si="554"/>
        <v>Cardinal Medeiros Ave</v>
      </c>
      <c r="V2487" t="s">
        <v>3527</v>
      </c>
      <c r="W2487" t="str">
        <f t="shared" si="555"/>
        <v>Lilac Ct</v>
      </c>
      <c r="X2487" t="str">
        <f>IF(ISBLANK(S2487),"Intersection","Non-Intersection")</f>
        <v>Intersection</v>
      </c>
      <c r="Y2487" t="s">
        <v>3528</v>
      </c>
      <c r="Z2487" t="str">
        <f t="shared" si="556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57"/>
        <v>40544</v>
      </c>
      <c r="D2488" s="4">
        <f t="shared" si="558"/>
        <v>0.59178082191780823</v>
      </c>
      <c r="E2488" s="3">
        <f t="shared" si="559"/>
        <v>2011</v>
      </c>
      <c r="F2488" s="3">
        <f t="shared" si="560"/>
        <v>8</v>
      </c>
      <c r="G2488" s="3">
        <f t="shared" si="561"/>
        <v>5</v>
      </c>
      <c r="H2488" s="3">
        <f t="shared" si="562"/>
        <v>10</v>
      </c>
      <c r="I2488" s="3">
        <f t="shared" si="563"/>
        <v>12</v>
      </c>
      <c r="J2488" s="3">
        <f t="shared" si="564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565"/>
        <v>YES</v>
      </c>
      <c r="Q2488" t="str">
        <f t="shared" si="566"/>
        <v>NO</v>
      </c>
      <c r="R2488" t="str">
        <f t="shared" si="567"/>
        <v>NO</v>
      </c>
      <c r="S2488">
        <v>27</v>
      </c>
      <c r="T2488" t="s">
        <v>268</v>
      </c>
      <c r="U2488" t="str">
        <f t="shared" si="554"/>
        <v>White St</v>
      </c>
      <c r="W2488" t="str">
        <f t="shared" si="555"/>
        <v/>
      </c>
      <c r="X2488" t="str">
        <f>IF(ISBLANK(S2488),"Intersection","Non-Intersection")</f>
        <v>Non-Intersection</v>
      </c>
      <c r="Y2488" t="s">
        <v>3530</v>
      </c>
      <c r="Z2488" t="str">
        <f t="shared" si="556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57"/>
        <v>40544</v>
      </c>
      <c r="D2489" s="4">
        <f t="shared" si="558"/>
        <v>0.59178082191780823</v>
      </c>
      <c r="E2489" s="3">
        <f t="shared" si="559"/>
        <v>2011</v>
      </c>
      <c r="F2489" s="3">
        <f t="shared" si="560"/>
        <v>8</v>
      </c>
      <c r="G2489" s="3">
        <f t="shared" si="561"/>
        <v>5</v>
      </c>
      <c r="H2489" s="3">
        <f t="shared" si="562"/>
        <v>15</v>
      </c>
      <c r="I2489" s="3">
        <f t="shared" si="563"/>
        <v>30</v>
      </c>
      <c r="J2489" s="3">
        <f t="shared" si="564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565"/>
        <v>YES</v>
      </c>
      <c r="Q2489" t="str">
        <f t="shared" si="566"/>
        <v>NO</v>
      </c>
      <c r="R2489" t="str">
        <f t="shared" si="567"/>
        <v>NO</v>
      </c>
      <c r="S2489">
        <v>360</v>
      </c>
      <c r="T2489" t="s">
        <v>342</v>
      </c>
      <c r="U2489" t="str">
        <f t="shared" si="554"/>
        <v>Prospect St</v>
      </c>
      <c r="W2489" t="str">
        <f t="shared" si="555"/>
        <v/>
      </c>
      <c r="X2489" t="str">
        <f>IF(ISBLANK(S2489),"Intersection","Non-Intersection")</f>
        <v>Non-Intersection</v>
      </c>
      <c r="Y2489" t="s">
        <v>3532</v>
      </c>
      <c r="Z2489" t="str">
        <f t="shared" si="556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57"/>
        <v>40544</v>
      </c>
      <c r="D2490" s="4">
        <f t="shared" si="558"/>
        <v>0.59178082191780823</v>
      </c>
      <c r="E2490" s="3">
        <f t="shared" si="559"/>
        <v>2011</v>
      </c>
      <c r="F2490" s="3">
        <f t="shared" si="560"/>
        <v>8</v>
      </c>
      <c r="G2490" s="3">
        <f t="shared" si="561"/>
        <v>5</v>
      </c>
      <c r="H2490" s="3">
        <f t="shared" si="562"/>
        <v>13</v>
      </c>
      <c r="I2490" s="3">
        <f t="shared" si="563"/>
        <v>30</v>
      </c>
      <c r="J2490" s="3">
        <f t="shared" si="564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565"/>
        <v>YES</v>
      </c>
      <c r="Q2490" t="str">
        <f t="shared" si="566"/>
        <v>NO</v>
      </c>
      <c r="R2490" t="str">
        <f t="shared" si="567"/>
        <v>NO</v>
      </c>
      <c r="T2490" t="s">
        <v>186</v>
      </c>
      <c r="U2490" t="str">
        <f t="shared" si="554"/>
        <v>Concord Ave</v>
      </c>
      <c r="V2490" t="s">
        <v>1132</v>
      </c>
      <c r="W2490" t="str">
        <f t="shared" si="555"/>
        <v>Moulton St</v>
      </c>
      <c r="X2490" t="str">
        <f>IF(ISBLANK(S2490),"Intersection","Non-Intersection")</f>
        <v>Intersection</v>
      </c>
      <c r="Y2490" t="s">
        <v>1133</v>
      </c>
      <c r="Z2490" t="str">
        <f t="shared" si="556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57"/>
        <v>40544</v>
      </c>
      <c r="D2491" s="4">
        <f t="shared" si="558"/>
        <v>0.59452054794520548</v>
      </c>
      <c r="E2491" s="3">
        <f t="shared" si="559"/>
        <v>2011</v>
      </c>
      <c r="F2491" s="3">
        <f t="shared" si="560"/>
        <v>8</v>
      </c>
      <c r="G2491" s="3">
        <f t="shared" si="561"/>
        <v>6</v>
      </c>
      <c r="H2491" s="3">
        <f t="shared" si="562"/>
        <v>12</v>
      </c>
      <c r="I2491" s="3">
        <f t="shared" si="563"/>
        <v>14</v>
      </c>
      <c r="J2491" s="3">
        <f t="shared" si="564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565"/>
        <v>YES</v>
      </c>
      <c r="Q2491" t="str">
        <f t="shared" si="566"/>
        <v>NO</v>
      </c>
      <c r="R2491" t="str">
        <f t="shared" si="567"/>
        <v>NO</v>
      </c>
      <c r="S2491">
        <v>575</v>
      </c>
      <c r="T2491" t="s">
        <v>203</v>
      </c>
      <c r="U2491" t="str">
        <f t="shared" si="554"/>
        <v>Memorial Dr</v>
      </c>
      <c r="W2491" t="str">
        <f t="shared" si="555"/>
        <v/>
      </c>
      <c r="X2491" t="str">
        <f>IF(ISBLANK(S2491),"Intersection","Non-Intersection")</f>
        <v>Non-Intersection</v>
      </c>
      <c r="Y2491" t="s">
        <v>347</v>
      </c>
      <c r="Z2491" t="str">
        <f t="shared" si="556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57"/>
        <v>40544</v>
      </c>
      <c r="D2492" s="4">
        <f t="shared" si="558"/>
        <v>0.59452054794520548</v>
      </c>
      <c r="E2492" s="3">
        <f t="shared" si="559"/>
        <v>2011</v>
      </c>
      <c r="F2492" s="3">
        <f t="shared" si="560"/>
        <v>8</v>
      </c>
      <c r="G2492" s="3">
        <f t="shared" si="561"/>
        <v>6</v>
      </c>
      <c r="H2492" s="3">
        <f t="shared" si="562"/>
        <v>13</v>
      </c>
      <c r="I2492" s="3">
        <f t="shared" si="563"/>
        <v>9</v>
      </c>
      <c r="J2492" s="3">
        <f t="shared" si="564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565"/>
        <v>YES</v>
      </c>
      <c r="Q2492" t="str">
        <f t="shared" si="566"/>
        <v>NO</v>
      </c>
      <c r="R2492" t="str">
        <f t="shared" si="567"/>
        <v>NO</v>
      </c>
      <c r="S2492">
        <v>815</v>
      </c>
      <c r="T2492" t="s">
        <v>126</v>
      </c>
      <c r="U2492" t="str">
        <f t="shared" si="554"/>
        <v>Somerville Ave</v>
      </c>
      <c r="W2492" t="str">
        <f t="shared" si="555"/>
        <v/>
      </c>
      <c r="X2492" t="str">
        <f>IF(ISBLANK(S2492),"Intersection","Non-Intersection")</f>
        <v>Non-Intersection</v>
      </c>
      <c r="Y2492" t="s">
        <v>3534</v>
      </c>
      <c r="Z2492" t="str">
        <f t="shared" si="556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57"/>
        <v>40544</v>
      </c>
      <c r="D2493" s="4">
        <f t="shared" si="558"/>
        <v>0.59726027397260273</v>
      </c>
      <c r="E2493" s="3">
        <f t="shared" si="559"/>
        <v>2011</v>
      </c>
      <c r="F2493" s="3">
        <f t="shared" si="560"/>
        <v>8</v>
      </c>
      <c r="G2493" s="3">
        <f t="shared" si="561"/>
        <v>7</v>
      </c>
      <c r="H2493" s="3">
        <f t="shared" si="562"/>
        <v>7</v>
      </c>
      <c r="I2493" s="3">
        <f t="shared" si="563"/>
        <v>15</v>
      </c>
      <c r="J2493" s="3">
        <f t="shared" si="564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565"/>
        <v>YES</v>
      </c>
      <c r="Q2493" t="str">
        <f t="shared" si="566"/>
        <v>NO</v>
      </c>
      <c r="R2493" t="str">
        <f t="shared" si="567"/>
        <v>NO</v>
      </c>
      <c r="T2493" t="s">
        <v>19</v>
      </c>
      <c r="U2493" t="str">
        <f t="shared" si="554"/>
        <v>Cambridge St</v>
      </c>
      <c r="V2493" t="s">
        <v>406</v>
      </c>
      <c r="W2493" t="str">
        <f t="shared" si="555"/>
        <v>Marion St</v>
      </c>
      <c r="X2493" t="str">
        <f>IF(ISBLANK(S2493),"Intersection","Non-Intersection")</f>
        <v>Intersection</v>
      </c>
      <c r="Y2493" t="s">
        <v>3536</v>
      </c>
      <c r="Z2493" t="str">
        <f t="shared" si="556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57"/>
        <v>40544</v>
      </c>
      <c r="D2494" s="4">
        <f t="shared" si="558"/>
        <v>0.59726027397260273</v>
      </c>
      <c r="E2494" s="3">
        <f t="shared" si="559"/>
        <v>2011</v>
      </c>
      <c r="F2494" s="3">
        <f t="shared" si="560"/>
        <v>8</v>
      </c>
      <c r="G2494" s="3">
        <f t="shared" si="561"/>
        <v>7</v>
      </c>
      <c r="H2494" s="3">
        <f t="shared" si="562"/>
        <v>13</v>
      </c>
      <c r="I2494" s="3">
        <f t="shared" si="563"/>
        <v>19</v>
      </c>
      <c r="J2494" s="3">
        <f t="shared" si="564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565"/>
        <v>YES</v>
      </c>
      <c r="Q2494" t="str">
        <f t="shared" si="566"/>
        <v>NO</v>
      </c>
      <c r="R2494" t="str">
        <f t="shared" si="567"/>
        <v>NO</v>
      </c>
      <c r="T2494" t="s">
        <v>45</v>
      </c>
      <c r="U2494" t="str">
        <f t="shared" si="554"/>
        <v>Sherman St</v>
      </c>
      <c r="V2494" t="s">
        <v>1624</v>
      </c>
      <c r="W2494" t="str">
        <f t="shared" si="555"/>
        <v>Bellis Cir</v>
      </c>
      <c r="X2494" t="str">
        <f>IF(ISBLANK(S2494),"Intersection","Non-Intersection")</f>
        <v>Intersection</v>
      </c>
      <c r="Y2494" t="s">
        <v>3538</v>
      </c>
      <c r="Z2494" t="str">
        <f t="shared" si="556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57"/>
        <v>40544</v>
      </c>
      <c r="D2495" s="4">
        <f t="shared" si="558"/>
        <v>0.59726027397260273</v>
      </c>
      <c r="E2495" s="3">
        <f t="shared" si="559"/>
        <v>2011</v>
      </c>
      <c r="F2495" s="3">
        <f t="shared" si="560"/>
        <v>8</v>
      </c>
      <c r="G2495" s="3">
        <f t="shared" si="561"/>
        <v>7</v>
      </c>
      <c r="H2495" s="3">
        <f t="shared" si="562"/>
        <v>15</v>
      </c>
      <c r="I2495" s="3">
        <f t="shared" si="563"/>
        <v>20</v>
      </c>
      <c r="J2495" s="3">
        <f t="shared" si="564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565"/>
        <v>YES</v>
      </c>
      <c r="Q2495" t="str">
        <f t="shared" si="566"/>
        <v>YES</v>
      </c>
      <c r="R2495" t="str">
        <f t="shared" si="567"/>
        <v>NO</v>
      </c>
      <c r="S2495">
        <v>20</v>
      </c>
      <c r="T2495" t="s">
        <v>166</v>
      </c>
      <c r="U2495" t="str">
        <f t="shared" si="554"/>
        <v>Oxford Ave</v>
      </c>
      <c r="W2495" t="str">
        <f t="shared" si="555"/>
        <v/>
      </c>
      <c r="X2495" t="str">
        <f>IF(ISBLANK(S2495),"Intersection","Non-Intersection")</f>
        <v>Non-Intersection</v>
      </c>
      <c r="Y2495" t="s">
        <v>3540</v>
      </c>
      <c r="Z2495" t="str">
        <f t="shared" si="556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57"/>
        <v>40544</v>
      </c>
      <c r="D2496" s="4">
        <f t="shared" si="558"/>
        <v>0.59726027397260273</v>
      </c>
      <c r="E2496" s="3">
        <f t="shared" si="559"/>
        <v>2011</v>
      </c>
      <c r="F2496" s="3">
        <f t="shared" si="560"/>
        <v>8</v>
      </c>
      <c r="G2496" s="3">
        <f t="shared" si="561"/>
        <v>7</v>
      </c>
      <c r="H2496" s="3">
        <f t="shared" si="562"/>
        <v>16</v>
      </c>
      <c r="I2496" s="3">
        <f t="shared" si="563"/>
        <v>57</v>
      </c>
      <c r="J2496" s="3">
        <f t="shared" si="564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565"/>
        <v>YES</v>
      </c>
      <c r="Q2496" t="str">
        <f t="shared" si="566"/>
        <v>YES</v>
      </c>
      <c r="R2496" t="str">
        <f t="shared" si="567"/>
        <v>NO</v>
      </c>
      <c r="T2496" t="s">
        <v>958</v>
      </c>
      <c r="U2496" t="str">
        <f t="shared" si="554"/>
        <v>Pacific St</v>
      </c>
      <c r="W2496" t="str">
        <f t="shared" si="555"/>
        <v/>
      </c>
      <c r="X2496" t="str">
        <f>IF(ISBLANK(S2496),"Intersection","Non-Intersection")</f>
        <v>Intersection</v>
      </c>
      <c r="Y2496" t="s">
        <v>3542</v>
      </c>
      <c r="Z2496" t="str">
        <f t="shared" si="556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57"/>
        <v>40544</v>
      </c>
      <c r="D2497" s="4">
        <f t="shared" si="558"/>
        <v>0.59726027397260273</v>
      </c>
      <c r="E2497" s="3">
        <f t="shared" si="559"/>
        <v>2011</v>
      </c>
      <c r="F2497" s="3">
        <f t="shared" si="560"/>
        <v>8</v>
      </c>
      <c r="G2497" s="3">
        <f t="shared" si="561"/>
        <v>7</v>
      </c>
      <c r="H2497" s="3">
        <f t="shared" si="562"/>
        <v>19</v>
      </c>
      <c r="I2497" s="3">
        <f t="shared" si="563"/>
        <v>30</v>
      </c>
      <c r="J2497" s="3">
        <f t="shared" si="564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565"/>
        <v>YES</v>
      </c>
      <c r="Q2497" t="str">
        <f t="shared" si="566"/>
        <v>NO</v>
      </c>
      <c r="R2497" t="str">
        <f t="shared" si="567"/>
        <v>NO</v>
      </c>
      <c r="S2497">
        <v>70</v>
      </c>
      <c r="T2497" t="s">
        <v>2975</v>
      </c>
      <c r="U2497" t="str">
        <f t="shared" si="554"/>
        <v>Eustis St</v>
      </c>
      <c r="W2497" t="str">
        <f t="shared" si="555"/>
        <v/>
      </c>
      <c r="X2497" t="str">
        <f>IF(ISBLANK(S2497),"Intersection","Non-Intersection")</f>
        <v>Non-Intersection</v>
      </c>
      <c r="Y2497" t="s">
        <v>3543</v>
      </c>
      <c r="Z2497" t="str">
        <f t="shared" si="556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568">EOMONTH(B2498,MONTH(B2498)*-1)+1</f>
        <v>40544</v>
      </c>
      <c r="D2498" s="4">
        <f t="shared" ref="D2498:D2558" si="569">YEARFRAC(C2498,B2498,1)</f>
        <v>0.59726027397260273</v>
      </c>
      <c r="E2498" s="3">
        <f t="shared" ref="E2498:E2558" si="570">YEAR(B2498)</f>
        <v>2011</v>
      </c>
      <c r="F2498" s="3">
        <f t="shared" ref="F2498:F2558" si="571">MONTH(B2498)</f>
        <v>8</v>
      </c>
      <c r="G2498" s="3">
        <f t="shared" ref="G2498:G2558" si="572">DAY(B2498)</f>
        <v>7</v>
      </c>
      <c r="H2498" s="3">
        <f t="shared" ref="H2498:H2558" si="573">HOUR(B2498)</f>
        <v>20</v>
      </c>
      <c r="I2498" s="3">
        <f t="shared" ref="I2498:I2558" si="574">MINUTE(B2498)</f>
        <v>19</v>
      </c>
      <c r="J2498" s="3">
        <f t="shared" ref="J2498:J2558" si="575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576">IF(OR(N2498="Auto",O2498="Auto"),"YES",IF(OR(N2498="Taxi",O2498="Taxi"),"YES",IF(OR(N2498="Van",O2498="Van"),"YES",IF(OR(N2498="Truck",O2498="Truck"),"YES","NO"))))</f>
        <v>YES</v>
      </c>
      <c r="Q2498" t="str">
        <f t="shared" ref="Q2498:Q2558" si="577">IF(OR(N2498="Bicycle",O2498="Bicycle"),"YES","NO")</f>
        <v>NO</v>
      </c>
      <c r="R2498" t="str">
        <f t="shared" ref="R2498:R2558" si="578">IF(OR(N2498="Pedestrian",O2498="Pedestrian"),"YES","NO")</f>
        <v>NO</v>
      </c>
      <c r="S2498">
        <v>1515</v>
      </c>
      <c r="T2498" t="s">
        <v>14</v>
      </c>
      <c r="U2498" t="str">
        <f t="shared" si="554"/>
        <v>Massachusetts Ave</v>
      </c>
      <c r="W2498" t="str">
        <f t="shared" si="555"/>
        <v/>
      </c>
      <c r="X2498" t="str">
        <f>IF(ISBLANK(S2498),"Intersection","Non-Intersection")</f>
        <v>Non-Intersection</v>
      </c>
      <c r="Y2498" t="s">
        <v>2766</v>
      </c>
      <c r="Z2498" t="str">
        <f t="shared" si="556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568"/>
        <v>40544</v>
      </c>
      <c r="D2499" s="4">
        <f t="shared" si="569"/>
        <v>0.6</v>
      </c>
      <c r="E2499" s="3">
        <f t="shared" si="570"/>
        <v>2011</v>
      </c>
      <c r="F2499" s="3">
        <f t="shared" si="571"/>
        <v>8</v>
      </c>
      <c r="G2499" s="3">
        <f t="shared" si="572"/>
        <v>8</v>
      </c>
      <c r="H2499" s="3">
        <f t="shared" si="573"/>
        <v>16</v>
      </c>
      <c r="I2499" s="3">
        <f t="shared" si="574"/>
        <v>34</v>
      </c>
      <c r="J2499" s="3">
        <f t="shared" si="575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576"/>
        <v>YES</v>
      </c>
      <c r="Q2499" t="str">
        <f t="shared" si="577"/>
        <v>NO</v>
      </c>
      <c r="R2499" t="str">
        <f t="shared" si="578"/>
        <v>NO</v>
      </c>
      <c r="T2499" t="s">
        <v>14</v>
      </c>
      <c r="U2499" t="str">
        <f t="shared" ref="U2499:U2562" si="579">TRIM(PROPER(T2499))</f>
        <v>Massachusetts Ave</v>
      </c>
      <c r="V2499" t="s">
        <v>189</v>
      </c>
      <c r="W2499" t="str">
        <f t="shared" ref="W2499:W2562" si="580">TRIM(PROPER(V2499))</f>
        <v>Windsor St</v>
      </c>
      <c r="X2499" t="str">
        <f>IF(ISBLANK(S2499),"Intersection","Non-Intersection")</f>
        <v>Intersection</v>
      </c>
      <c r="Y2499" t="s">
        <v>595</v>
      </c>
      <c r="Z2499" t="str">
        <f t="shared" ref="Z2499:Z2562" si="58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568"/>
        <v>40544</v>
      </c>
      <c r="D2500" s="4">
        <f t="shared" si="569"/>
        <v>0.6</v>
      </c>
      <c r="E2500" s="3">
        <f t="shared" si="570"/>
        <v>2011</v>
      </c>
      <c r="F2500" s="3">
        <f t="shared" si="571"/>
        <v>8</v>
      </c>
      <c r="G2500" s="3">
        <f t="shared" si="572"/>
        <v>8</v>
      </c>
      <c r="H2500" s="3">
        <f t="shared" si="573"/>
        <v>13</v>
      </c>
      <c r="I2500" s="3">
        <f t="shared" si="574"/>
        <v>9</v>
      </c>
      <c r="J2500" s="3">
        <f t="shared" si="575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576"/>
        <v>YES</v>
      </c>
      <c r="Q2500" t="str">
        <f t="shared" si="577"/>
        <v>NO</v>
      </c>
      <c r="R2500" t="str">
        <f t="shared" si="578"/>
        <v>NO</v>
      </c>
      <c r="S2500">
        <v>651</v>
      </c>
      <c r="T2500" t="s">
        <v>186</v>
      </c>
      <c r="U2500" t="str">
        <f t="shared" si="579"/>
        <v>Concord Ave</v>
      </c>
      <c r="W2500" t="str">
        <f t="shared" si="580"/>
        <v/>
      </c>
      <c r="X2500" t="str">
        <f>IF(ISBLANK(S2500),"Intersection","Non-Intersection")</f>
        <v>Non-Intersection</v>
      </c>
      <c r="Y2500" t="s">
        <v>3545</v>
      </c>
      <c r="Z2500" t="str">
        <f t="shared" si="58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568"/>
        <v>40544</v>
      </c>
      <c r="D2501" s="4">
        <f t="shared" si="569"/>
        <v>0.60273972602739723</v>
      </c>
      <c r="E2501" s="3">
        <f t="shared" si="570"/>
        <v>2011</v>
      </c>
      <c r="F2501" s="3">
        <f t="shared" si="571"/>
        <v>8</v>
      </c>
      <c r="G2501" s="3">
        <f t="shared" si="572"/>
        <v>9</v>
      </c>
      <c r="H2501" s="3">
        <f t="shared" si="573"/>
        <v>10</v>
      </c>
      <c r="I2501" s="3">
        <f t="shared" si="574"/>
        <v>3</v>
      </c>
      <c r="J2501" s="3">
        <f t="shared" si="575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576"/>
        <v>YES</v>
      </c>
      <c r="Q2501" t="str">
        <f t="shared" si="577"/>
        <v>NO</v>
      </c>
      <c r="R2501" t="str">
        <f t="shared" si="578"/>
        <v>YES</v>
      </c>
      <c r="S2501">
        <v>1701</v>
      </c>
      <c r="T2501" t="s">
        <v>14</v>
      </c>
      <c r="U2501" t="str">
        <f t="shared" si="579"/>
        <v>Massachusetts Ave</v>
      </c>
      <c r="W2501" t="str">
        <f t="shared" si="580"/>
        <v/>
      </c>
      <c r="X2501" t="str">
        <f>IF(ISBLANK(S2501),"Intersection","Non-Intersection")</f>
        <v>Non-Intersection</v>
      </c>
      <c r="Y2501" t="s">
        <v>3547</v>
      </c>
      <c r="Z2501" t="str">
        <f t="shared" si="58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568"/>
        <v>40544</v>
      </c>
      <c r="D2502" s="4">
        <f t="shared" si="569"/>
        <v>0.60273972602739723</v>
      </c>
      <c r="E2502" s="3">
        <f t="shared" si="570"/>
        <v>2011</v>
      </c>
      <c r="F2502" s="3">
        <f t="shared" si="571"/>
        <v>8</v>
      </c>
      <c r="G2502" s="3">
        <f t="shared" si="572"/>
        <v>9</v>
      </c>
      <c r="H2502" s="3">
        <f t="shared" si="573"/>
        <v>13</v>
      </c>
      <c r="I2502" s="3">
        <f t="shared" si="574"/>
        <v>30</v>
      </c>
      <c r="J2502" s="3">
        <f t="shared" si="575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576"/>
        <v>YES</v>
      </c>
      <c r="Q2502" t="str">
        <f t="shared" si="577"/>
        <v>NO</v>
      </c>
      <c r="R2502" t="str">
        <f t="shared" si="578"/>
        <v>YES</v>
      </c>
      <c r="T2502" t="s">
        <v>3548</v>
      </c>
      <c r="U2502" t="str">
        <f t="shared" si="579"/>
        <v>Francis Ave</v>
      </c>
      <c r="V2502" t="s">
        <v>41</v>
      </c>
      <c r="W2502" t="str">
        <f t="shared" si="580"/>
        <v>River St</v>
      </c>
      <c r="X2502" t="str">
        <f>IF(ISBLANK(S2502),"Intersection","Non-Intersection")</f>
        <v>Intersection</v>
      </c>
      <c r="Y2502" t="s">
        <v>3549</v>
      </c>
      <c r="Z2502" t="str">
        <f t="shared" si="58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568"/>
        <v>40544</v>
      </c>
      <c r="D2503" s="4">
        <f t="shared" si="569"/>
        <v>0.60273972602739723</v>
      </c>
      <c r="E2503" s="3">
        <f t="shared" si="570"/>
        <v>2011</v>
      </c>
      <c r="F2503" s="3">
        <f t="shared" si="571"/>
        <v>8</v>
      </c>
      <c r="G2503" s="3">
        <f t="shared" si="572"/>
        <v>9</v>
      </c>
      <c r="H2503" s="3">
        <f t="shared" si="573"/>
        <v>7</v>
      </c>
      <c r="I2503" s="3">
        <f t="shared" si="574"/>
        <v>50</v>
      </c>
      <c r="J2503" s="3">
        <f t="shared" si="575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576"/>
        <v>YES</v>
      </c>
      <c r="Q2503" t="str">
        <f t="shared" si="577"/>
        <v>NO</v>
      </c>
      <c r="R2503" t="str">
        <f t="shared" si="578"/>
        <v>NO</v>
      </c>
      <c r="T2503" t="s">
        <v>37</v>
      </c>
      <c r="U2503" t="str">
        <f t="shared" si="579"/>
        <v>Magazine St</v>
      </c>
      <c r="V2503" t="s">
        <v>203</v>
      </c>
      <c r="W2503" t="str">
        <f t="shared" si="580"/>
        <v>Memorial Dr</v>
      </c>
      <c r="X2503" t="str">
        <f>IF(ISBLANK(S2503),"Intersection","Non-Intersection")</f>
        <v>Intersection</v>
      </c>
      <c r="Y2503" t="s">
        <v>3551</v>
      </c>
      <c r="Z2503" t="str">
        <f t="shared" si="58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568"/>
        <v>40544</v>
      </c>
      <c r="D2504" s="4">
        <f t="shared" si="569"/>
        <v>0.60273972602739723</v>
      </c>
      <c r="E2504" s="3">
        <f t="shared" si="570"/>
        <v>2011</v>
      </c>
      <c r="F2504" s="3">
        <f t="shared" si="571"/>
        <v>8</v>
      </c>
      <c r="G2504" s="3">
        <f t="shared" si="572"/>
        <v>9</v>
      </c>
      <c r="H2504" s="3">
        <f t="shared" si="573"/>
        <v>16</v>
      </c>
      <c r="I2504" s="3">
        <f t="shared" si="574"/>
        <v>5</v>
      </c>
      <c r="J2504" s="3">
        <f t="shared" si="575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576"/>
        <v>YES</v>
      </c>
      <c r="Q2504" t="str">
        <f t="shared" si="577"/>
        <v>YES</v>
      </c>
      <c r="R2504" t="str">
        <f t="shared" si="578"/>
        <v>NO</v>
      </c>
      <c r="T2504" t="s">
        <v>74</v>
      </c>
      <c r="U2504" t="str">
        <f t="shared" si="579"/>
        <v>Hampshire St</v>
      </c>
      <c r="V2504" t="s">
        <v>75</v>
      </c>
      <c r="W2504" t="str">
        <f t="shared" si="580"/>
        <v>Elm St</v>
      </c>
      <c r="X2504" t="str">
        <f>IF(ISBLANK(S2504),"Intersection","Non-Intersection")</f>
        <v>Intersection</v>
      </c>
      <c r="Y2504" t="s">
        <v>76</v>
      </c>
      <c r="Z2504" t="str">
        <f t="shared" si="58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568"/>
        <v>40544</v>
      </c>
      <c r="D2505" s="4">
        <f t="shared" si="569"/>
        <v>0.60273972602739723</v>
      </c>
      <c r="E2505" s="3">
        <f t="shared" si="570"/>
        <v>2011</v>
      </c>
      <c r="F2505" s="3">
        <f t="shared" si="571"/>
        <v>8</v>
      </c>
      <c r="G2505" s="3">
        <f t="shared" si="572"/>
        <v>9</v>
      </c>
      <c r="H2505" s="3">
        <f t="shared" si="573"/>
        <v>19</v>
      </c>
      <c r="I2505" s="3">
        <f t="shared" si="574"/>
        <v>25</v>
      </c>
      <c r="J2505" s="3">
        <f t="shared" si="575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576"/>
        <v>YES</v>
      </c>
      <c r="Q2505" t="str">
        <f t="shared" si="577"/>
        <v>NO</v>
      </c>
      <c r="R2505" t="str">
        <f t="shared" si="578"/>
        <v>NO</v>
      </c>
      <c r="T2505" t="s">
        <v>199</v>
      </c>
      <c r="U2505" t="str">
        <f t="shared" si="579"/>
        <v>Brattle St</v>
      </c>
      <c r="V2505" t="s">
        <v>3553</v>
      </c>
      <c r="W2505" t="str">
        <f t="shared" si="580"/>
        <v>James St</v>
      </c>
      <c r="X2505" t="str">
        <f>IF(ISBLANK(S2505),"Intersection","Non-Intersection")</f>
        <v>Intersection</v>
      </c>
      <c r="Y2505" t="s">
        <v>3554</v>
      </c>
      <c r="Z2505" t="str">
        <f t="shared" si="58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568"/>
        <v>40544</v>
      </c>
      <c r="D2506" s="4">
        <f t="shared" si="569"/>
        <v>0.60273972602739723</v>
      </c>
      <c r="E2506" s="3">
        <f t="shared" si="570"/>
        <v>2011</v>
      </c>
      <c r="F2506" s="3">
        <f t="shared" si="571"/>
        <v>8</v>
      </c>
      <c r="G2506" s="3">
        <f t="shared" si="572"/>
        <v>9</v>
      </c>
      <c r="H2506" s="3">
        <f t="shared" si="573"/>
        <v>21</v>
      </c>
      <c r="I2506" s="3">
        <f t="shared" si="574"/>
        <v>46</v>
      </c>
      <c r="J2506" s="3">
        <f t="shared" si="575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576"/>
        <v>YES</v>
      </c>
      <c r="Q2506" t="str">
        <f t="shared" si="577"/>
        <v>NO</v>
      </c>
      <c r="R2506" t="str">
        <f t="shared" si="578"/>
        <v>NO</v>
      </c>
      <c r="S2506">
        <v>14</v>
      </c>
      <c r="T2506" t="s">
        <v>935</v>
      </c>
      <c r="U2506" t="str">
        <f t="shared" si="579"/>
        <v>Hawthorne St</v>
      </c>
      <c r="W2506" t="str">
        <f t="shared" si="580"/>
        <v/>
      </c>
      <c r="X2506" t="str">
        <f>IF(ISBLANK(S2506),"Intersection","Non-Intersection")</f>
        <v>Non-Intersection</v>
      </c>
      <c r="Y2506" t="s">
        <v>3556</v>
      </c>
      <c r="Z2506" t="str">
        <f t="shared" si="58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568"/>
        <v>40544</v>
      </c>
      <c r="D2507" s="4">
        <f t="shared" si="569"/>
        <v>0.60273972602739723</v>
      </c>
      <c r="E2507" s="3">
        <f t="shared" si="570"/>
        <v>2011</v>
      </c>
      <c r="F2507" s="3">
        <f t="shared" si="571"/>
        <v>8</v>
      </c>
      <c r="G2507" s="3">
        <f t="shared" si="572"/>
        <v>9</v>
      </c>
      <c r="H2507" s="3">
        <f t="shared" si="573"/>
        <v>11</v>
      </c>
      <c r="I2507" s="3">
        <f t="shared" si="574"/>
        <v>15</v>
      </c>
      <c r="J2507" s="3">
        <f t="shared" si="575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576"/>
        <v>YES</v>
      </c>
      <c r="Q2507" t="str">
        <f t="shared" si="577"/>
        <v>NO</v>
      </c>
      <c r="R2507" t="str">
        <f t="shared" si="578"/>
        <v>NO</v>
      </c>
      <c r="T2507" t="s">
        <v>14</v>
      </c>
      <c r="U2507" t="str">
        <f t="shared" si="579"/>
        <v>Massachusetts Ave</v>
      </c>
      <c r="V2507" t="s">
        <v>119</v>
      </c>
      <c r="W2507" t="str">
        <f t="shared" si="580"/>
        <v>Albany St</v>
      </c>
      <c r="X2507" t="str">
        <f>IF(ISBLANK(S2507),"Intersection","Non-Intersection")</f>
        <v>Intersection</v>
      </c>
      <c r="Y2507" t="s">
        <v>247</v>
      </c>
      <c r="Z2507" t="str">
        <f t="shared" si="58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568"/>
        <v>40544</v>
      </c>
      <c r="D2508" s="4">
        <f t="shared" si="569"/>
        <v>0.60547945205479448</v>
      </c>
      <c r="E2508" s="3">
        <f t="shared" si="570"/>
        <v>2011</v>
      </c>
      <c r="F2508" s="3">
        <f t="shared" si="571"/>
        <v>8</v>
      </c>
      <c r="G2508" s="3">
        <f t="shared" si="572"/>
        <v>10</v>
      </c>
      <c r="H2508" s="3">
        <f t="shared" si="573"/>
        <v>11</v>
      </c>
      <c r="I2508" s="3">
        <f t="shared" si="574"/>
        <v>12</v>
      </c>
      <c r="J2508" s="3">
        <f t="shared" si="575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576"/>
        <v>YES</v>
      </c>
      <c r="Q2508" t="str">
        <f t="shared" si="577"/>
        <v>NO</v>
      </c>
      <c r="R2508" t="str">
        <f t="shared" si="578"/>
        <v>YES</v>
      </c>
      <c r="T2508" t="s">
        <v>14</v>
      </c>
      <c r="U2508" t="str">
        <f t="shared" si="579"/>
        <v>Massachusetts Ave</v>
      </c>
      <c r="V2508" t="s">
        <v>315</v>
      </c>
      <c r="W2508" t="str">
        <f t="shared" si="580"/>
        <v>Essex St</v>
      </c>
      <c r="X2508" t="str">
        <f>IF(ISBLANK(S2508),"Intersection","Non-Intersection")</f>
        <v>Intersection</v>
      </c>
      <c r="Y2508" t="s">
        <v>1383</v>
      </c>
      <c r="Z2508" t="str">
        <f t="shared" si="58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568"/>
        <v>40544</v>
      </c>
      <c r="D2509" s="4">
        <f t="shared" si="569"/>
        <v>0.60547945205479448</v>
      </c>
      <c r="E2509" s="3">
        <f t="shared" si="570"/>
        <v>2011</v>
      </c>
      <c r="F2509" s="3">
        <f t="shared" si="571"/>
        <v>8</v>
      </c>
      <c r="G2509" s="3">
        <f t="shared" si="572"/>
        <v>10</v>
      </c>
      <c r="H2509" s="3">
        <f t="shared" si="573"/>
        <v>17</v>
      </c>
      <c r="I2509" s="3">
        <f t="shared" si="574"/>
        <v>45</v>
      </c>
      <c r="J2509" s="3">
        <f t="shared" si="575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576"/>
        <v>YES</v>
      </c>
      <c r="Q2509" t="str">
        <f t="shared" si="577"/>
        <v>NO</v>
      </c>
      <c r="R2509" t="str">
        <f t="shared" si="578"/>
        <v>NO</v>
      </c>
      <c r="T2509" t="s">
        <v>14</v>
      </c>
      <c r="U2509" t="str">
        <f t="shared" si="579"/>
        <v>Massachusetts Ave</v>
      </c>
      <c r="V2509" t="s">
        <v>1438</v>
      </c>
      <c r="W2509" t="str">
        <f t="shared" si="580"/>
        <v>Dunster St</v>
      </c>
      <c r="X2509" t="str">
        <f>IF(ISBLANK(S2509),"Intersection","Non-Intersection")</f>
        <v>Intersection</v>
      </c>
      <c r="Y2509" t="s">
        <v>2030</v>
      </c>
      <c r="Z2509" t="str">
        <f t="shared" si="58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568"/>
        <v>40544</v>
      </c>
      <c r="D2510" s="4">
        <f t="shared" si="569"/>
        <v>0.60821917808219184</v>
      </c>
      <c r="E2510" s="3">
        <f t="shared" si="570"/>
        <v>2011</v>
      </c>
      <c r="F2510" s="3">
        <f t="shared" si="571"/>
        <v>8</v>
      </c>
      <c r="G2510" s="3">
        <f t="shared" si="572"/>
        <v>11</v>
      </c>
      <c r="H2510" s="3">
        <f t="shared" si="573"/>
        <v>8</v>
      </c>
      <c r="I2510" s="3">
        <f t="shared" si="574"/>
        <v>20</v>
      </c>
      <c r="J2510" s="3">
        <f t="shared" si="575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576"/>
        <v>YES</v>
      </c>
      <c r="Q2510" t="str">
        <f t="shared" si="577"/>
        <v>NO</v>
      </c>
      <c r="R2510" t="str">
        <f t="shared" si="578"/>
        <v>NO</v>
      </c>
      <c r="T2510" t="s">
        <v>189</v>
      </c>
      <c r="U2510" t="str">
        <f t="shared" si="579"/>
        <v>Windsor St</v>
      </c>
      <c r="V2510" t="s">
        <v>105</v>
      </c>
      <c r="W2510" t="str">
        <f t="shared" si="580"/>
        <v>Broadway</v>
      </c>
      <c r="X2510" t="str">
        <f>IF(ISBLANK(S2510),"Intersection","Non-Intersection")</f>
        <v>Intersection</v>
      </c>
      <c r="Y2510" t="s">
        <v>877</v>
      </c>
      <c r="Z2510" t="str">
        <f t="shared" si="58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568"/>
        <v>40544</v>
      </c>
      <c r="D2511" s="4">
        <f t="shared" si="569"/>
        <v>0.60821917808219184</v>
      </c>
      <c r="E2511" s="3">
        <f t="shared" si="570"/>
        <v>2011</v>
      </c>
      <c r="F2511" s="3">
        <f t="shared" si="571"/>
        <v>8</v>
      </c>
      <c r="G2511" s="3">
        <f t="shared" si="572"/>
        <v>11</v>
      </c>
      <c r="H2511" s="3">
        <f t="shared" si="573"/>
        <v>9</v>
      </c>
      <c r="I2511" s="3">
        <f t="shared" si="574"/>
        <v>14</v>
      </c>
      <c r="J2511" s="3">
        <f t="shared" si="575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576"/>
        <v>YES</v>
      </c>
      <c r="Q2511" t="str">
        <f t="shared" si="577"/>
        <v>NO</v>
      </c>
      <c r="R2511" t="str">
        <f t="shared" si="578"/>
        <v>YES</v>
      </c>
      <c r="T2511" t="s">
        <v>19</v>
      </c>
      <c r="U2511" t="str">
        <f t="shared" si="579"/>
        <v>Cambridge St</v>
      </c>
      <c r="V2511" t="s">
        <v>74</v>
      </c>
      <c r="W2511" t="str">
        <f t="shared" si="580"/>
        <v>Hampshire St</v>
      </c>
      <c r="X2511" t="str">
        <f>IF(ISBLANK(S2511),"Intersection","Non-Intersection")</f>
        <v>Intersection</v>
      </c>
      <c r="Y2511" t="s">
        <v>111</v>
      </c>
      <c r="Z2511" t="str">
        <f t="shared" si="58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568"/>
        <v>40544</v>
      </c>
      <c r="D2512" s="4">
        <f t="shared" si="569"/>
        <v>0.60821917808219184</v>
      </c>
      <c r="E2512" s="3">
        <f t="shared" si="570"/>
        <v>2011</v>
      </c>
      <c r="F2512" s="3">
        <f t="shared" si="571"/>
        <v>8</v>
      </c>
      <c r="G2512" s="3">
        <f t="shared" si="572"/>
        <v>11</v>
      </c>
      <c r="H2512" s="3">
        <f t="shared" si="573"/>
        <v>9</v>
      </c>
      <c r="I2512" s="3">
        <f t="shared" si="574"/>
        <v>24</v>
      </c>
      <c r="J2512" s="3">
        <f t="shared" si="575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576"/>
        <v>YES</v>
      </c>
      <c r="Q2512" t="str">
        <f t="shared" si="577"/>
        <v>NO</v>
      </c>
      <c r="R2512" t="str">
        <f t="shared" si="578"/>
        <v>NO</v>
      </c>
      <c r="S2512">
        <v>42</v>
      </c>
      <c r="T2512" t="s">
        <v>1024</v>
      </c>
      <c r="U2512" t="str">
        <f t="shared" si="579"/>
        <v>Kinnaird St</v>
      </c>
      <c r="W2512" t="str">
        <f t="shared" si="580"/>
        <v/>
      </c>
      <c r="X2512" t="str">
        <f>IF(ISBLANK(S2512),"Intersection","Non-Intersection")</f>
        <v>Non-Intersection</v>
      </c>
      <c r="Y2512" t="s">
        <v>3558</v>
      </c>
      <c r="Z2512" t="str">
        <f t="shared" si="58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568"/>
        <v>40544</v>
      </c>
      <c r="D2513" s="4">
        <f t="shared" si="569"/>
        <v>0.60821917808219184</v>
      </c>
      <c r="E2513" s="3">
        <f t="shared" si="570"/>
        <v>2011</v>
      </c>
      <c r="F2513" s="3">
        <f t="shared" si="571"/>
        <v>8</v>
      </c>
      <c r="G2513" s="3">
        <f t="shared" si="572"/>
        <v>11</v>
      </c>
      <c r="H2513" s="3">
        <f t="shared" si="573"/>
        <v>9</v>
      </c>
      <c r="I2513" s="3">
        <f t="shared" si="574"/>
        <v>59</v>
      </c>
      <c r="J2513" s="3">
        <f t="shared" si="575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576"/>
        <v>YES</v>
      </c>
      <c r="Q2513" t="str">
        <f t="shared" si="577"/>
        <v>YES</v>
      </c>
      <c r="R2513" t="str">
        <f t="shared" si="578"/>
        <v>NO</v>
      </c>
      <c r="T2513" t="s">
        <v>19</v>
      </c>
      <c r="U2513" t="str">
        <f t="shared" si="579"/>
        <v>Cambridge St</v>
      </c>
      <c r="V2513" t="s">
        <v>189</v>
      </c>
      <c r="W2513" t="str">
        <f t="shared" si="580"/>
        <v>Windsor St</v>
      </c>
      <c r="X2513" t="str">
        <f>IF(ISBLANK(S2513),"Intersection","Non-Intersection")</f>
        <v>Intersection</v>
      </c>
      <c r="Y2513" t="s">
        <v>244</v>
      </c>
      <c r="Z2513" t="str">
        <f t="shared" si="58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568"/>
        <v>40544</v>
      </c>
      <c r="D2514" s="4">
        <f t="shared" si="569"/>
        <v>0.60821917808219184</v>
      </c>
      <c r="E2514" s="3">
        <f t="shared" si="570"/>
        <v>2011</v>
      </c>
      <c r="F2514" s="3">
        <f t="shared" si="571"/>
        <v>8</v>
      </c>
      <c r="G2514" s="3">
        <f t="shared" si="572"/>
        <v>11</v>
      </c>
      <c r="H2514" s="3">
        <f t="shared" si="573"/>
        <v>10</v>
      </c>
      <c r="I2514" s="3">
        <f t="shared" si="574"/>
        <v>44</v>
      </c>
      <c r="J2514" s="3">
        <f t="shared" si="575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576"/>
        <v>YES</v>
      </c>
      <c r="Q2514" t="str">
        <f t="shared" si="577"/>
        <v>NO</v>
      </c>
      <c r="R2514" t="str">
        <f t="shared" si="578"/>
        <v>NO</v>
      </c>
      <c r="S2514">
        <v>1</v>
      </c>
      <c r="T2514" t="s">
        <v>2716</v>
      </c>
      <c r="U2514" t="str">
        <f t="shared" si="579"/>
        <v>Gibson St</v>
      </c>
      <c r="W2514" t="str">
        <f t="shared" si="580"/>
        <v/>
      </c>
      <c r="X2514" t="str">
        <f>IF(ISBLANK(S2514),"Intersection","Non-Intersection")</f>
        <v>Non-Intersection</v>
      </c>
      <c r="Y2514" t="s">
        <v>3560</v>
      </c>
      <c r="Z2514" t="str">
        <f t="shared" si="58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568"/>
        <v>40544</v>
      </c>
      <c r="D2515" s="4">
        <f t="shared" si="569"/>
        <v>0.60821917808219184</v>
      </c>
      <c r="E2515" s="3">
        <f t="shared" si="570"/>
        <v>2011</v>
      </c>
      <c r="F2515" s="3">
        <f t="shared" si="571"/>
        <v>8</v>
      </c>
      <c r="G2515" s="3">
        <f t="shared" si="572"/>
        <v>11</v>
      </c>
      <c r="H2515" s="3">
        <f t="shared" si="573"/>
        <v>15</v>
      </c>
      <c r="I2515" s="3">
        <f t="shared" si="574"/>
        <v>59</v>
      </c>
      <c r="J2515" s="3">
        <f t="shared" si="575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576"/>
        <v>YES</v>
      </c>
      <c r="Q2515" t="str">
        <f t="shared" si="577"/>
        <v>NO</v>
      </c>
      <c r="R2515" t="str">
        <f t="shared" si="578"/>
        <v>NO</v>
      </c>
      <c r="T2515" t="s">
        <v>14</v>
      </c>
      <c r="U2515" t="str">
        <f t="shared" si="579"/>
        <v>Massachusetts Ave</v>
      </c>
      <c r="V2515" t="s">
        <v>170</v>
      </c>
      <c r="W2515" t="str">
        <f t="shared" si="580"/>
        <v>Alewife Brook Pky</v>
      </c>
      <c r="X2515" t="str">
        <f>IF(ISBLANK(S2515),"Intersection","Non-Intersection")</f>
        <v>Intersection</v>
      </c>
      <c r="Y2515" t="s">
        <v>2954</v>
      </c>
      <c r="Z2515" t="str">
        <f t="shared" si="58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568"/>
        <v>40544</v>
      </c>
      <c r="D2516" s="4">
        <f t="shared" si="569"/>
        <v>0.60821917808219184</v>
      </c>
      <c r="E2516" s="3">
        <f t="shared" si="570"/>
        <v>2011</v>
      </c>
      <c r="F2516" s="3">
        <f t="shared" si="571"/>
        <v>8</v>
      </c>
      <c r="G2516" s="3">
        <f t="shared" si="572"/>
        <v>11</v>
      </c>
      <c r="H2516" s="3">
        <f t="shared" si="573"/>
        <v>7</v>
      </c>
      <c r="I2516" s="3">
        <f t="shared" si="574"/>
        <v>44</v>
      </c>
      <c r="J2516" s="3">
        <f t="shared" si="575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576"/>
        <v>YES</v>
      </c>
      <c r="Q2516" t="str">
        <f t="shared" si="577"/>
        <v>YES</v>
      </c>
      <c r="R2516" t="str">
        <f t="shared" si="578"/>
        <v>NO</v>
      </c>
      <c r="T2516" t="s">
        <v>14</v>
      </c>
      <c r="U2516" t="str">
        <f t="shared" si="579"/>
        <v>Massachusetts Ave</v>
      </c>
      <c r="V2516" t="s">
        <v>524</v>
      </c>
      <c r="W2516" t="str">
        <f t="shared" si="580"/>
        <v>Blake St</v>
      </c>
      <c r="X2516" t="str">
        <f>IF(ISBLANK(S2516),"Intersection","Non-Intersection")</f>
        <v>Intersection</v>
      </c>
      <c r="Y2516" t="s">
        <v>3291</v>
      </c>
      <c r="Z2516" t="str">
        <f t="shared" si="58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568"/>
        <v>40544</v>
      </c>
      <c r="D2517" s="4">
        <f t="shared" si="569"/>
        <v>0.60821917808219184</v>
      </c>
      <c r="E2517" s="3">
        <f t="shared" si="570"/>
        <v>2011</v>
      </c>
      <c r="F2517" s="3">
        <f t="shared" si="571"/>
        <v>8</v>
      </c>
      <c r="G2517" s="3">
        <f t="shared" si="572"/>
        <v>11</v>
      </c>
      <c r="H2517" s="3">
        <f t="shared" si="573"/>
        <v>18</v>
      </c>
      <c r="I2517" s="3">
        <f t="shared" si="574"/>
        <v>59</v>
      </c>
      <c r="J2517" s="3">
        <f t="shared" si="575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576"/>
        <v>YES</v>
      </c>
      <c r="Q2517" t="str">
        <f t="shared" si="577"/>
        <v>NO</v>
      </c>
      <c r="R2517" t="str">
        <f t="shared" si="578"/>
        <v>NO</v>
      </c>
      <c r="S2517">
        <v>6</v>
      </c>
      <c r="T2517" t="s">
        <v>3564</v>
      </c>
      <c r="U2517" t="str">
        <f t="shared" si="579"/>
        <v>Arlington St</v>
      </c>
      <c r="W2517" t="str">
        <f t="shared" si="580"/>
        <v/>
      </c>
      <c r="X2517" t="str">
        <f>IF(ISBLANK(S2517),"Intersection","Non-Intersection")</f>
        <v>Non-Intersection</v>
      </c>
      <c r="Y2517" t="s">
        <v>3565</v>
      </c>
      <c r="Z2517" t="str">
        <f t="shared" si="58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568"/>
        <v>40544</v>
      </c>
      <c r="D2518" s="4">
        <f t="shared" si="569"/>
        <v>0.61095890410958908</v>
      </c>
      <c r="E2518" s="3">
        <f t="shared" si="570"/>
        <v>2011</v>
      </c>
      <c r="F2518" s="3">
        <f t="shared" si="571"/>
        <v>8</v>
      </c>
      <c r="G2518" s="3">
        <f t="shared" si="572"/>
        <v>12</v>
      </c>
      <c r="H2518" s="3">
        <f t="shared" si="573"/>
        <v>20</v>
      </c>
      <c r="I2518" s="3">
        <f t="shared" si="574"/>
        <v>48</v>
      </c>
      <c r="J2518" s="3">
        <f t="shared" si="575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576"/>
        <v>YES</v>
      </c>
      <c r="Q2518" t="str">
        <f t="shared" si="577"/>
        <v>NO</v>
      </c>
      <c r="R2518" t="str">
        <f t="shared" si="578"/>
        <v>NO</v>
      </c>
      <c r="S2518">
        <v>480</v>
      </c>
      <c r="T2518" t="s">
        <v>101</v>
      </c>
      <c r="U2518" t="str">
        <f t="shared" si="579"/>
        <v>Columbia St</v>
      </c>
      <c r="W2518" t="str">
        <f t="shared" si="580"/>
        <v/>
      </c>
      <c r="X2518" t="str">
        <f>IF(ISBLANK(S2518),"Intersection","Non-Intersection")</f>
        <v>Non-Intersection</v>
      </c>
      <c r="Y2518" t="s">
        <v>3567</v>
      </c>
      <c r="Z2518" t="str">
        <f t="shared" si="58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568"/>
        <v>40544</v>
      </c>
      <c r="D2519" s="4">
        <f t="shared" si="569"/>
        <v>0.61095890410958908</v>
      </c>
      <c r="E2519" s="3">
        <f t="shared" si="570"/>
        <v>2011</v>
      </c>
      <c r="F2519" s="3">
        <f t="shared" si="571"/>
        <v>8</v>
      </c>
      <c r="G2519" s="3">
        <f t="shared" si="572"/>
        <v>12</v>
      </c>
      <c r="H2519" s="3">
        <f t="shared" si="573"/>
        <v>9</v>
      </c>
      <c r="I2519" s="3">
        <f t="shared" si="574"/>
        <v>40</v>
      </c>
      <c r="J2519" s="3">
        <f t="shared" si="575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576"/>
        <v>YES</v>
      </c>
      <c r="Q2519" t="str">
        <f t="shared" si="577"/>
        <v>YES</v>
      </c>
      <c r="R2519" t="str">
        <f t="shared" si="578"/>
        <v>NO</v>
      </c>
      <c r="T2519" t="s">
        <v>108</v>
      </c>
      <c r="U2519" t="str">
        <f t="shared" si="579"/>
        <v>Franklin St</v>
      </c>
      <c r="V2519" t="s">
        <v>27</v>
      </c>
      <c r="W2519" t="str">
        <f t="shared" si="580"/>
        <v>Western Ave</v>
      </c>
      <c r="X2519" t="str">
        <f>IF(ISBLANK(S2519),"Intersection","Non-Intersection")</f>
        <v>Intersection</v>
      </c>
      <c r="Y2519" t="s">
        <v>3569</v>
      </c>
      <c r="Z2519" t="str">
        <f t="shared" si="58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568"/>
        <v>40544</v>
      </c>
      <c r="D2520" s="4">
        <f t="shared" si="569"/>
        <v>0.61095890410958908</v>
      </c>
      <c r="E2520" s="3">
        <f t="shared" si="570"/>
        <v>2011</v>
      </c>
      <c r="F2520" s="3">
        <f t="shared" si="571"/>
        <v>8</v>
      </c>
      <c r="G2520" s="3">
        <f t="shared" si="572"/>
        <v>12</v>
      </c>
      <c r="H2520" s="3">
        <f t="shared" si="573"/>
        <v>13</v>
      </c>
      <c r="I2520" s="3">
        <f t="shared" si="574"/>
        <v>9</v>
      </c>
      <c r="J2520" s="3">
        <f t="shared" si="575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576"/>
        <v>YES</v>
      </c>
      <c r="Q2520" t="str">
        <f t="shared" si="577"/>
        <v>NO</v>
      </c>
      <c r="R2520" t="str">
        <f t="shared" si="578"/>
        <v>NO</v>
      </c>
      <c r="T2520" t="s">
        <v>189</v>
      </c>
      <c r="U2520" t="str">
        <f t="shared" si="579"/>
        <v>Windsor St</v>
      </c>
      <c r="V2520" t="s">
        <v>74</v>
      </c>
      <c r="W2520" t="str">
        <f t="shared" si="580"/>
        <v>Hampshire St</v>
      </c>
      <c r="X2520" t="str">
        <f>IF(ISBLANK(S2520),"Intersection","Non-Intersection")</f>
        <v>Intersection</v>
      </c>
      <c r="Y2520" t="s">
        <v>2424</v>
      </c>
      <c r="Z2520" t="str">
        <f t="shared" si="58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568"/>
        <v>40544</v>
      </c>
      <c r="D2521" s="4">
        <f t="shared" si="569"/>
        <v>0.61095890410958908</v>
      </c>
      <c r="E2521" s="3">
        <f t="shared" si="570"/>
        <v>2011</v>
      </c>
      <c r="F2521" s="3">
        <f t="shared" si="571"/>
        <v>8</v>
      </c>
      <c r="G2521" s="3">
        <f t="shared" si="572"/>
        <v>12</v>
      </c>
      <c r="H2521" s="3">
        <f t="shared" si="573"/>
        <v>16</v>
      </c>
      <c r="I2521" s="3">
        <f t="shared" si="574"/>
        <v>37</v>
      </c>
      <c r="J2521" s="3">
        <f t="shared" si="575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576"/>
        <v>YES</v>
      </c>
      <c r="Q2521" t="str">
        <f t="shared" si="577"/>
        <v>YES</v>
      </c>
      <c r="R2521" t="str">
        <f t="shared" si="578"/>
        <v>NO</v>
      </c>
      <c r="S2521">
        <v>193</v>
      </c>
      <c r="T2521" t="s">
        <v>74</v>
      </c>
      <c r="U2521" t="str">
        <f t="shared" si="579"/>
        <v>Hampshire St</v>
      </c>
      <c r="V2521" t="s">
        <v>19</v>
      </c>
      <c r="W2521" t="str">
        <f t="shared" si="580"/>
        <v>Cambridge St</v>
      </c>
      <c r="X2521" t="str">
        <f>IF(ISBLANK(S2521),"Intersection","Non-Intersection")</f>
        <v>Non-Intersection</v>
      </c>
      <c r="Y2521" t="s">
        <v>3023</v>
      </c>
      <c r="Z2521" t="str">
        <f t="shared" si="58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568"/>
        <v>40544</v>
      </c>
      <c r="D2522" s="4">
        <f t="shared" si="569"/>
        <v>0.61095890410958908</v>
      </c>
      <c r="E2522" s="3">
        <f t="shared" si="570"/>
        <v>2011</v>
      </c>
      <c r="F2522" s="3">
        <f t="shared" si="571"/>
        <v>8</v>
      </c>
      <c r="G2522" s="3">
        <f t="shared" si="572"/>
        <v>12</v>
      </c>
      <c r="H2522" s="3">
        <f t="shared" si="573"/>
        <v>23</v>
      </c>
      <c r="I2522" s="3">
        <f t="shared" si="574"/>
        <v>0</v>
      </c>
      <c r="J2522" s="3">
        <f t="shared" si="575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576"/>
        <v>YES</v>
      </c>
      <c r="Q2522" t="str">
        <f t="shared" si="577"/>
        <v>NO</v>
      </c>
      <c r="R2522" t="str">
        <f t="shared" si="578"/>
        <v>NO</v>
      </c>
      <c r="S2522">
        <v>268</v>
      </c>
      <c r="T2522" t="s">
        <v>105</v>
      </c>
      <c r="U2522" t="str">
        <f t="shared" si="579"/>
        <v>Broadway</v>
      </c>
      <c r="W2522" t="str">
        <f t="shared" si="580"/>
        <v/>
      </c>
      <c r="X2522" t="str">
        <f>IF(ISBLANK(S2522),"Intersection","Non-Intersection")</f>
        <v>Non-Intersection</v>
      </c>
      <c r="Y2522" t="s">
        <v>3570</v>
      </c>
      <c r="Z2522" t="str">
        <f t="shared" si="58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568"/>
        <v>40544</v>
      </c>
      <c r="D2523" s="4">
        <f t="shared" si="569"/>
        <v>0.61369863013698633</v>
      </c>
      <c r="E2523" s="3">
        <f t="shared" si="570"/>
        <v>2011</v>
      </c>
      <c r="F2523" s="3">
        <f t="shared" si="571"/>
        <v>8</v>
      </c>
      <c r="G2523" s="3">
        <f t="shared" si="572"/>
        <v>13</v>
      </c>
      <c r="H2523" s="3">
        <f t="shared" si="573"/>
        <v>18</v>
      </c>
      <c r="I2523" s="3">
        <f t="shared" si="574"/>
        <v>40</v>
      </c>
      <c r="J2523" s="3">
        <f t="shared" si="575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576"/>
        <v>YES</v>
      </c>
      <c r="Q2523" t="str">
        <f t="shared" si="577"/>
        <v>YES</v>
      </c>
      <c r="R2523" t="str">
        <f t="shared" si="578"/>
        <v>NO</v>
      </c>
      <c r="S2523">
        <v>1933</v>
      </c>
      <c r="T2523" t="s">
        <v>14</v>
      </c>
      <c r="U2523" t="str">
        <f t="shared" si="579"/>
        <v>Massachusetts Ave</v>
      </c>
      <c r="W2523" t="str">
        <f t="shared" si="580"/>
        <v/>
      </c>
      <c r="X2523" t="str">
        <f>IF(ISBLANK(S2523),"Intersection","Non-Intersection")</f>
        <v>Non-Intersection</v>
      </c>
      <c r="Y2523" t="s">
        <v>3572</v>
      </c>
      <c r="Z2523" t="str">
        <f t="shared" si="58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568"/>
        <v>40544</v>
      </c>
      <c r="D2524" s="4">
        <f t="shared" si="569"/>
        <v>0.61369863013698633</v>
      </c>
      <c r="E2524" s="3">
        <f t="shared" si="570"/>
        <v>2011</v>
      </c>
      <c r="F2524" s="3">
        <f t="shared" si="571"/>
        <v>8</v>
      </c>
      <c r="G2524" s="3">
        <f t="shared" si="572"/>
        <v>13</v>
      </c>
      <c r="H2524" s="3">
        <f t="shared" si="573"/>
        <v>18</v>
      </c>
      <c r="I2524" s="3">
        <f t="shared" si="574"/>
        <v>59</v>
      </c>
      <c r="J2524" s="3">
        <f t="shared" si="575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576"/>
        <v>YES</v>
      </c>
      <c r="Q2524" t="str">
        <f t="shared" si="577"/>
        <v>YES</v>
      </c>
      <c r="R2524" t="str">
        <f t="shared" si="578"/>
        <v>NO</v>
      </c>
      <c r="T2524" t="s">
        <v>2848</v>
      </c>
      <c r="U2524" t="str">
        <f t="shared" si="579"/>
        <v>Norris St</v>
      </c>
      <c r="V2524" t="s">
        <v>14</v>
      </c>
      <c r="W2524" t="str">
        <f t="shared" si="580"/>
        <v>Massachusetts Ave</v>
      </c>
      <c r="X2524" t="str">
        <f>IF(ISBLANK(S2524),"Intersection","Non-Intersection")</f>
        <v>Intersection</v>
      </c>
      <c r="Y2524" t="s">
        <v>3574</v>
      </c>
      <c r="Z2524" t="str">
        <f t="shared" si="58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568"/>
        <v>40544</v>
      </c>
      <c r="D2525" s="4">
        <f t="shared" si="569"/>
        <v>0.61369863013698633</v>
      </c>
      <c r="E2525" s="3">
        <f t="shared" si="570"/>
        <v>2011</v>
      </c>
      <c r="F2525" s="3">
        <f t="shared" si="571"/>
        <v>8</v>
      </c>
      <c r="G2525" s="3">
        <f t="shared" si="572"/>
        <v>13</v>
      </c>
      <c r="H2525" s="3">
        <f t="shared" si="573"/>
        <v>12</v>
      </c>
      <c r="I2525" s="3">
        <f t="shared" si="574"/>
        <v>49</v>
      </c>
      <c r="J2525" s="3">
        <f t="shared" si="575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576"/>
        <v>YES</v>
      </c>
      <c r="Q2525" t="str">
        <f t="shared" si="577"/>
        <v>NO</v>
      </c>
      <c r="R2525" t="str">
        <f t="shared" si="578"/>
        <v>NO</v>
      </c>
      <c r="S2525">
        <v>6</v>
      </c>
      <c r="T2525" t="s">
        <v>230</v>
      </c>
      <c r="U2525" t="str">
        <f t="shared" si="579"/>
        <v>Grant St</v>
      </c>
      <c r="W2525" t="str">
        <f t="shared" si="580"/>
        <v/>
      </c>
      <c r="X2525" t="str">
        <f>IF(ISBLANK(S2525),"Intersection","Non-Intersection")</f>
        <v>Non-Intersection</v>
      </c>
      <c r="Y2525" t="s">
        <v>3576</v>
      </c>
      <c r="Z2525" t="str">
        <f t="shared" si="58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568"/>
        <v>40544</v>
      </c>
      <c r="D2526" s="4">
        <f t="shared" si="569"/>
        <v>0.61643835616438358</v>
      </c>
      <c r="E2526" s="3">
        <f t="shared" si="570"/>
        <v>2011</v>
      </c>
      <c r="F2526" s="3">
        <f t="shared" si="571"/>
        <v>8</v>
      </c>
      <c r="G2526" s="3">
        <f t="shared" si="572"/>
        <v>14</v>
      </c>
      <c r="H2526" s="3">
        <f t="shared" si="573"/>
        <v>14</v>
      </c>
      <c r="I2526" s="3">
        <f t="shared" si="574"/>
        <v>13</v>
      </c>
      <c r="J2526" s="3">
        <f t="shared" si="575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576"/>
        <v>YES</v>
      </c>
      <c r="Q2526" t="str">
        <f t="shared" si="577"/>
        <v>NO</v>
      </c>
      <c r="R2526" t="str">
        <f t="shared" si="578"/>
        <v>NO</v>
      </c>
      <c r="S2526">
        <v>727</v>
      </c>
      <c r="T2526" t="s">
        <v>203</v>
      </c>
      <c r="U2526" t="str">
        <f t="shared" si="579"/>
        <v>Memorial Dr</v>
      </c>
      <c r="W2526" t="str">
        <f t="shared" si="580"/>
        <v/>
      </c>
      <c r="X2526" t="str">
        <f>IF(ISBLANK(S2526),"Intersection","Non-Intersection")</f>
        <v>Non-Intersection</v>
      </c>
      <c r="Y2526" t="s">
        <v>1649</v>
      </c>
      <c r="Z2526" t="str">
        <f t="shared" si="58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568"/>
        <v>40544</v>
      </c>
      <c r="D2527" s="4">
        <f t="shared" si="569"/>
        <v>0.61643835616438358</v>
      </c>
      <c r="E2527" s="3">
        <f t="shared" si="570"/>
        <v>2011</v>
      </c>
      <c r="F2527" s="3">
        <f t="shared" si="571"/>
        <v>8</v>
      </c>
      <c r="G2527" s="3">
        <f t="shared" si="572"/>
        <v>14</v>
      </c>
      <c r="H2527" s="3">
        <f t="shared" si="573"/>
        <v>15</v>
      </c>
      <c r="I2527" s="3">
        <f t="shared" si="574"/>
        <v>0</v>
      </c>
      <c r="J2527" s="3">
        <f t="shared" si="575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576"/>
        <v>YES</v>
      </c>
      <c r="Q2527" t="str">
        <f t="shared" si="577"/>
        <v>NO</v>
      </c>
      <c r="R2527" t="str">
        <f t="shared" si="578"/>
        <v>NO</v>
      </c>
      <c r="T2527" t="s">
        <v>19</v>
      </c>
      <c r="U2527" t="str">
        <f t="shared" si="579"/>
        <v>Cambridge St</v>
      </c>
      <c r="V2527" t="s">
        <v>75</v>
      </c>
      <c r="W2527" t="str">
        <f t="shared" si="580"/>
        <v>Elm St</v>
      </c>
      <c r="X2527" t="str">
        <f>IF(ISBLANK(S2527),"Intersection","Non-Intersection")</f>
        <v>Intersection</v>
      </c>
      <c r="Y2527" t="s">
        <v>321</v>
      </c>
      <c r="Z2527" t="str">
        <f t="shared" si="58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568"/>
        <v>40544</v>
      </c>
      <c r="D2528" s="4">
        <f t="shared" si="569"/>
        <v>0.61643835616438358</v>
      </c>
      <c r="E2528" s="3">
        <f t="shared" si="570"/>
        <v>2011</v>
      </c>
      <c r="F2528" s="3">
        <f t="shared" si="571"/>
        <v>8</v>
      </c>
      <c r="G2528" s="3">
        <f t="shared" si="572"/>
        <v>14</v>
      </c>
      <c r="H2528" s="3">
        <f t="shared" si="573"/>
        <v>20</v>
      </c>
      <c r="I2528" s="3">
        <f t="shared" si="574"/>
        <v>0</v>
      </c>
      <c r="J2528" s="3">
        <f t="shared" si="575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576"/>
        <v>YES</v>
      </c>
      <c r="Q2528" t="str">
        <f t="shared" si="577"/>
        <v>NO</v>
      </c>
      <c r="R2528" t="str">
        <f t="shared" si="578"/>
        <v>NO</v>
      </c>
      <c r="S2528">
        <v>85</v>
      </c>
      <c r="T2528" t="s">
        <v>45</v>
      </c>
      <c r="U2528" t="str">
        <f t="shared" si="579"/>
        <v>Sherman St</v>
      </c>
      <c r="W2528" t="str">
        <f t="shared" si="580"/>
        <v/>
      </c>
      <c r="X2528" t="str">
        <f>IF(ISBLANK(S2528),"Intersection","Non-Intersection")</f>
        <v>Non-Intersection</v>
      </c>
      <c r="Y2528" t="s">
        <v>1559</v>
      </c>
      <c r="Z2528" t="str">
        <f t="shared" si="58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568"/>
        <v>40544</v>
      </c>
      <c r="D2529" s="4">
        <f t="shared" si="569"/>
        <v>0.61917808219178083</v>
      </c>
      <c r="E2529" s="3">
        <f t="shared" si="570"/>
        <v>2011</v>
      </c>
      <c r="F2529" s="3">
        <f t="shared" si="571"/>
        <v>8</v>
      </c>
      <c r="G2529" s="3">
        <f t="shared" si="572"/>
        <v>15</v>
      </c>
      <c r="H2529" s="3">
        <f t="shared" si="573"/>
        <v>6</v>
      </c>
      <c r="I2529" s="3">
        <f t="shared" si="574"/>
        <v>30</v>
      </c>
      <c r="J2529" s="3">
        <f t="shared" si="575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576"/>
        <v>YES</v>
      </c>
      <c r="Q2529" t="str">
        <f t="shared" si="577"/>
        <v>NO</v>
      </c>
      <c r="R2529" t="str">
        <f t="shared" si="578"/>
        <v>NO</v>
      </c>
      <c r="T2529" t="s">
        <v>105</v>
      </c>
      <c r="U2529" t="str">
        <f t="shared" si="579"/>
        <v>Broadway</v>
      </c>
      <c r="V2529" t="s">
        <v>74</v>
      </c>
      <c r="W2529" t="str">
        <f t="shared" si="580"/>
        <v>Hampshire St</v>
      </c>
      <c r="X2529" t="str">
        <f>IF(ISBLANK(S2529),"Intersection","Non-Intersection")</f>
        <v>Intersection</v>
      </c>
      <c r="Y2529" t="s">
        <v>878</v>
      </c>
      <c r="Z2529" t="str">
        <f t="shared" si="58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568"/>
        <v>40544</v>
      </c>
      <c r="D2530" s="4">
        <f t="shared" si="569"/>
        <v>0.61917808219178083</v>
      </c>
      <c r="E2530" s="3">
        <f t="shared" si="570"/>
        <v>2011</v>
      </c>
      <c r="F2530" s="3">
        <f t="shared" si="571"/>
        <v>8</v>
      </c>
      <c r="G2530" s="3">
        <f t="shared" si="572"/>
        <v>15</v>
      </c>
      <c r="H2530" s="3">
        <f t="shared" si="573"/>
        <v>9</v>
      </c>
      <c r="I2530" s="3">
        <f t="shared" si="574"/>
        <v>20</v>
      </c>
      <c r="J2530" s="3">
        <f t="shared" si="575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576"/>
        <v>YES</v>
      </c>
      <c r="Q2530" t="str">
        <f t="shared" si="577"/>
        <v>NO</v>
      </c>
      <c r="R2530" t="str">
        <f t="shared" si="578"/>
        <v>NO</v>
      </c>
      <c r="T2530" t="s">
        <v>186</v>
      </c>
      <c r="U2530" t="str">
        <f t="shared" si="579"/>
        <v>Concord Ave</v>
      </c>
      <c r="V2530" t="s">
        <v>1065</v>
      </c>
      <c r="W2530" t="str">
        <f t="shared" si="580"/>
        <v>Fern St</v>
      </c>
      <c r="X2530" t="str">
        <f>IF(ISBLANK(S2530),"Intersection","Non-Intersection")</f>
        <v>Intersection</v>
      </c>
      <c r="Y2530" t="s">
        <v>1066</v>
      </c>
      <c r="Z2530" t="str">
        <f t="shared" si="58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568"/>
        <v>40544</v>
      </c>
      <c r="D2531" s="4">
        <f t="shared" si="569"/>
        <v>0.61917808219178083</v>
      </c>
      <c r="E2531" s="3">
        <f t="shared" si="570"/>
        <v>2011</v>
      </c>
      <c r="F2531" s="3">
        <f t="shared" si="571"/>
        <v>8</v>
      </c>
      <c r="G2531" s="3">
        <f t="shared" si="572"/>
        <v>15</v>
      </c>
      <c r="H2531" s="3">
        <f t="shared" si="573"/>
        <v>9</v>
      </c>
      <c r="I2531" s="3">
        <f t="shared" si="574"/>
        <v>45</v>
      </c>
      <c r="J2531" s="3">
        <f t="shared" si="575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576"/>
        <v>YES</v>
      </c>
      <c r="Q2531" t="str">
        <f t="shared" si="577"/>
        <v>NO</v>
      </c>
      <c r="R2531" t="str">
        <f t="shared" si="578"/>
        <v>NO</v>
      </c>
      <c r="T2531" t="s">
        <v>198</v>
      </c>
      <c r="U2531" t="str">
        <f t="shared" si="579"/>
        <v>Mount Auburn St</v>
      </c>
      <c r="W2531" t="str">
        <f t="shared" si="580"/>
        <v/>
      </c>
      <c r="X2531" t="str">
        <f>IF(ISBLANK(S2531),"Intersection","Non-Intersection")</f>
        <v>Intersection</v>
      </c>
      <c r="Y2531" t="s">
        <v>441</v>
      </c>
      <c r="Z2531" t="str">
        <f t="shared" si="58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568"/>
        <v>40544</v>
      </c>
      <c r="D2532" s="4">
        <f t="shared" si="569"/>
        <v>0.61917808219178083</v>
      </c>
      <c r="E2532" s="3">
        <f t="shared" si="570"/>
        <v>2011</v>
      </c>
      <c r="F2532" s="3">
        <f t="shared" si="571"/>
        <v>8</v>
      </c>
      <c r="G2532" s="3">
        <f t="shared" si="572"/>
        <v>15</v>
      </c>
      <c r="H2532" s="3">
        <f t="shared" si="573"/>
        <v>15</v>
      </c>
      <c r="I2532" s="3">
        <f t="shared" si="574"/>
        <v>59</v>
      </c>
      <c r="J2532" s="3">
        <f t="shared" si="575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576"/>
        <v>YES</v>
      </c>
      <c r="Q2532" t="str">
        <f t="shared" si="577"/>
        <v>NO</v>
      </c>
      <c r="R2532" t="str">
        <f t="shared" si="578"/>
        <v>NO</v>
      </c>
      <c r="S2532">
        <v>587</v>
      </c>
      <c r="T2532" t="s">
        <v>198</v>
      </c>
      <c r="U2532" t="str">
        <f t="shared" si="579"/>
        <v>Mount Auburn St</v>
      </c>
      <c r="W2532" t="str">
        <f t="shared" si="580"/>
        <v/>
      </c>
      <c r="X2532" t="str">
        <f>IF(ISBLANK(S2532),"Intersection","Non-Intersection")</f>
        <v>Non-Intersection</v>
      </c>
      <c r="Y2532" t="s">
        <v>3578</v>
      </c>
      <c r="Z2532" t="str">
        <f t="shared" si="58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568"/>
        <v>40544</v>
      </c>
      <c r="D2533" s="4">
        <f t="shared" si="569"/>
        <v>0.61917808219178083</v>
      </c>
      <c r="E2533" s="3">
        <f t="shared" si="570"/>
        <v>2011</v>
      </c>
      <c r="F2533" s="3">
        <f t="shared" si="571"/>
        <v>8</v>
      </c>
      <c r="G2533" s="3">
        <f t="shared" si="572"/>
        <v>15</v>
      </c>
      <c r="H2533" s="3">
        <f t="shared" si="573"/>
        <v>16</v>
      </c>
      <c r="I2533" s="3">
        <f t="shared" si="574"/>
        <v>9</v>
      </c>
      <c r="J2533" s="3">
        <f t="shared" si="575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576"/>
        <v>YES</v>
      </c>
      <c r="Q2533" t="str">
        <f t="shared" si="577"/>
        <v>NO</v>
      </c>
      <c r="R2533" t="str">
        <f t="shared" si="578"/>
        <v>NO</v>
      </c>
      <c r="T2533" t="s">
        <v>105</v>
      </c>
      <c r="U2533" t="str">
        <f t="shared" si="579"/>
        <v>Broadway</v>
      </c>
      <c r="W2533" t="str">
        <f t="shared" si="580"/>
        <v/>
      </c>
      <c r="X2533" t="str">
        <f>IF(ISBLANK(S2533),"Intersection","Non-Intersection")</f>
        <v>Intersection</v>
      </c>
      <c r="Y2533" t="s">
        <v>974</v>
      </c>
      <c r="Z2533" t="str">
        <f t="shared" si="58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568"/>
        <v>40544</v>
      </c>
      <c r="D2534" s="4">
        <f t="shared" si="569"/>
        <v>0.61917808219178083</v>
      </c>
      <c r="E2534" s="3">
        <f t="shared" si="570"/>
        <v>2011</v>
      </c>
      <c r="F2534" s="3">
        <f t="shared" si="571"/>
        <v>8</v>
      </c>
      <c r="G2534" s="3">
        <f t="shared" si="572"/>
        <v>15</v>
      </c>
      <c r="H2534" s="3">
        <f t="shared" si="573"/>
        <v>10</v>
      </c>
      <c r="I2534" s="3">
        <f t="shared" si="574"/>
        <v>22</v>
      </c>
      <c r="J2534" s="3">
        <f t="shared" si="575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576"/>
        <v>YES</v>
      </c>
      <c r="Q2534" t="str">
        <f t="shared" si="577"/>
        <v>NO</v>
      </c>
      <c r="R2534" t="str">
        <f t="shared" si="578"/>
        <v>NO</v>
      </c>
      <c r="T2534" t="s">
        <v>19</v>
      </c>
      <c r="U2534" t="str">
        <f t="shared" si="579"/>
        <v>Cambridge St</v>
      </c>
      <c r="V2534" t="s">
        <v>260</v>
      </c>
      <c r="W2534" t="str">
        <f t="shared" si="580"/>
        <v>Third St</v>
      </c>
      <c r="X2534" t="str">
        <f>IF(ISBLANK(S2534),"Intersection","Non-Intersection")</f>
        <v>Intersection</v>
      </c>
      <c r="Y2534" t="s">
        <v>640</v>
      </c>
      <c r="Z2534" t="str">
        <f t="shared" si="58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568"/>
        <v>40544</v>
      </c>
      <c r="D2535" s="4">
        <f t="shared" si="569"/>
        <v>0.62191780821917808</v>
      </c>
      <c r="E2535" s="3">
        <f t="shared" si="570"/>
        <v>2011</v>
      </c>
      <c r="F2535" s="3">
        <f t="shared" si="571"/>
        <v>8</v>
      </c>
      <c r="G2535" s="3">
        <f t="shared" si="572"/>
        <v>16</v>
      </c>
      <c r="H2535" s="3">
        <f t="shared" si="573"/>
        <v>8</v>
      </c>
      <c r="I2535" s="3">
        <f t="shared" si="574"/>
        <v>29</v>
      </c>
      <c r="J2535" s="3">
        <f t="shared" si="575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576"/>
        <v>YES</v>
      </c>
      <c r="Q2535" t="str">
        <f t="shared" si="577"/>
        <v>NO</v>
      </c>
      <c r="R2535" t="str">
        <f t="shared" si="578"/>
        <v>NO</v>
      </c>
      <c r="T2535" t="s">
        <v>105</v>
      </c>
      <c r="U2535" t="str">
        <f t="shared" si="579"/>
        <v>Broadway</v>
      </c>
      <c r="V2535" t="s">
        <v>342</v>
      </c>
      <c r="W2535" t="str">
        <f t="shared" si="580"/>
        <v>Prospect St</v>
      </c>
      <c r="X2535" t="str">
        <f>IF(ISBLANK(S2535),"Intersection","Non-Intersection")</f>
        <v>Intersection</v>
      </c>
      <c r="Y2535" t="s">
        <v>343</v>
      </c>
      <c r="Z2535" t="str">
        <f t="shared" si="58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568"/>
        <v>40544</v>
      </c>
      <c r="D2536" s="4">
        <f t="shared" si="569"/>
        <v>0.62191780821917808</v>
      </c>
      <c r="E2536" s="3">
        <f t="shared" si="570"/>
        <v>2011</v>
      </c>
      <c r="F2536" s="3">
        <f t="shared" si="571"/>
        <v>8</v>
      </c>
      <c r="G2536" s="3">
        <f t="shared" si="572"/>
        <v>16</v>
      </c>
      <c r="H2536" s="3">
        <f t="shared" si="573"/>
        <v>3</v>
      </c>
      <c r="I2536" s="3">
        <f t="shared" si="574"/>
        <v>0</v>
      </c>
      <c r="J2536" s="3">
        <f t="shared" si="575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576"/>
        <v>YES</v>
      </c>
      <c r="Q2536" t="str">
        <f t="shared" si="577"/>
        <v>NO</v>
      </c>
      <c r="R2536" t="str">
        <f t="shared" si="578"/>
        <v>NO</v>
      </c>
      <c r="S2536">
        <v>20</v>
      </c>
      <c r="T2536" t="s">
        <v>2325</v>
      </c>
      <c r="U2536" t="str">
        <f t="shared" si="579"/>
        <v>Marcella St</v>
      </c>
      <c r="W2536" t="str">
        <f t="shared" si="580"/>
        <v/>
      </c>
      <c r="X2536" t="str">
        <f>IF(ISBLANK(S2536),"Intersection","Non-Intersection")</f>
        <v>Non-Intersection</v>
      </c>
      <c r="Y2536" t="s">
        <v>3580</v>
      </c>
      <c r="Z2536" t="str">
        <f t="shared" si="58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568"/>
        <v>40544</v>
      </c>
      <c r="D2537" s="4">
        <f t="shared" si="569"/>
        <v>0.62191780821917808</v>
      </c>
      <c r="E2537" s="3">
        <f t="shared" si="570"/>
        <v>2011</v>
      </c>
      <c r="F2537" s="3">
        <f t="shared" si="571"/>
        <v>8</v>
      </c>
      <c r="G2537" s="3">
        <f t="shared" si="572"/>
        <v>16</v>
      </c>
      <c r="H2537" s="3">
        <f t="shared" si="573"/>
        <v>12</v>
      </c>
      <c r="I2537" s="3">
        <f t="shared" si="574"/>
        <v>59</v>
      </c>
      <c r="J2537" s="3">
        <f t="shared" si="575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576"/>
        <v>YES</v>
      </c>
      <c r="Q2537" t="str">
        <f t="shared" si="577"/>
        <v>YES</v>
      </c>
      <c r="R2537" t="str">
        <f t="shared" si="578"/>
        <v>NO</v>
      </c>
      <c r="T2537" t="s">
        <v>74</v>
      </c>
      <c r="U2537" t="str">
        <f t="shared" si="579"/>
        <v>Hampshire St</v>
      </c>
      <c r="V2537" t="s">
        <v>342</v>
      </c>
      <c r="W2537" t="str">
        <f t="shared" si="580"/>
        <v>Prospect St</v>
      </c>
      <c r="X2537" t="str">
        <f>IF(ISBLANK(S2537),"Intersection","Non-Intersection")</f>
        <v>Intersection</v>
      </c>
      <c r="Y2537" t="s">
        <v>462</v>
      </c>
      <c r="Z2537" t="str">
        <f t="shared" si="58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568"/>
        <v>40544</v>
      </c>
      <c r="D2538" s="4">
        <f t="shared" si="569"/>
        <v>0.62191780821917808</v>
      </c>
      <c r="E2538" s="3">
        <f t="shared" si="570"/>
        <v>2011</v>
      </c>
      <c r="F2538" s="3">
        <f t="shared" si="571"/>
        <v>8</v>
      </c>
      <c r="G2538" s="3">
        <f t="shared" si="572"/>
        <v>16</v>
      </c>
      <c r="H2538" s="3">
        <f t="shared" si="573"/>
        <v>21</v>
      </c>
      <c r="I2538" s="3">
        <f t="shared" si="574"/>
        <v>43</v>
      </c>
      <c r="J2538" s="3">
        <f t="shared" si="575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576"/>
        <v>YES</v>
      </c>
      <c r="Q2538" t="str">
        <f t="shared" si="577"/>
        <v>NO</v>
      </c>
      <c r="R2538" t="str">
        <f t="shared" si="578"/>
        <v>NO</v>
      </c>
      <c r="T2538" t="s">
        <v>252</v>
      </c>
      <c r="U2538" t="str">
        <f t="shared" si="579"/>
        <v>Walden St</v>
      </c>
      <c r="V2538" t="s">
        <v>45</v>
      </c>
      <c r="W2538" t="str">
        <f t="shared" si="580"/>
        <v>Sherman St</v>
      </c>
      <c r="X2538" t="str">
        <f>IF(ISBLANK(S2538),"Intersection","Non-Intersection")</f>
        <v>Intersection</v>
      </c>
      <c r="Y2538" t="s">
        <v>810</v>
      </c>
      <c r="Z2538" t="str">
        <f t="shared" si="58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568"/>
        <v>40544</v>
      </c>
      <c r="D2539" s="4">
        <f t="shared" si="569"/>
        <v>0.62465753424657533</v>
      </c>
      <c r="E2539" s="3">
        <f t="shared" si="570"/>
        <v>2011</v>
      </c>
      <c r="F2539" s="3">
        <f t="shared" si="571"/>
        <v>8</v>
      </c>
      <c r="G2539" s="3">
        <f t="shared" si="572"/>
        <v>17</v>
      </c>
      <c r="H2539" s="3">
        <f t="shared" si="573"/>
        <v>12</v>
      </c>
      <c r="I2539" s="3">
        <f t="shared" si="574"/>
        <v>30</v>
      </c>
      <c r="J2539" s="3">
        <f t="shared" si="575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576"/>
        <v>YES</v>
      </c>
      <c r="Q2539" t="str">
        <f t="shared" si="577"/>
        <v>NO</v>
      </c>
      <c r="R2539" t="str">
        <f t="shared" si="578"/>
        <v>YES</v>
      </c>
      <c r="T2539" t="s">
        <v>19</v>
      </c>
      <c r="U2539" t="str">
        <f t="shared" si="579"/>
        <v>Cambridge St</v>
      </c>
      <c r="V2539" t="s">
        <v>2820</v>
      </c>
      <c r="W2539" t="str">
        <f t="shared" si="580"/>
        <v>Hunting St</v>
      </c>
      <c r="X2539" t="str">
        <f>IF(ISBLANK(S2539),"Intersection","Non-Intersection")</f>
        <v>Intersection</v>
      </c>
      <c r="Y2539" t="s">
        <v>3582</v>
      </c>
      <c r="Z2539" t="str">
        <f t="shared" si="58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568"/>
        <v>40544</v>
      </c>
      <c r="D2540" s="4">
        <f t="shared" si="569"/>
        <v>0.62739726027397258</v>
      </c>
      <c r="E2540" s="3">
        <f t="shared" si="570"/>
        <v>2011</v>
      </c>
      <c r="F2540" s="3">
        <f t="shared" si="571"/>
        <v>8</v>
      </c>
      <c r="G2540" s="3">
        <f t="shared" si="572"/>
        <v>18</v>
      </c>
      <c r="H2540" s="3">
        <f t="shared" si="573"/>
        <v>15</v>
      </c>
      <c r="I2540" s="3">
        <f t="shared" si="574"/>
        <v>45</v>
      </c>
      <c r="J2540" s="3">
        <f t="shared" si="575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576"/>
        <v>YES</v>
      </c>
      <c r="Q2540" t="str">
        <f t="shared" si="577"/>
        <v>YES</v>
      </c>
      <c r="R2540" t="str">
        <f t="shared" si="578"/>
        <v>NO</v>
      </c>
      <c r="S2540">
        <v>1809</v>
      </c>
      <c r="T2540" t="s">
        <v>14</v>
      </c>
      <c r="U2540" t="str">
        <f t="shared" si="579"/>
        <v>Massachusetts Ave</v>
      </c>
      <c r="W2540" t="str">
        <f t="shared" si="580"/>
        <v/>
      </c>
      <c r="X2540" t="str">
        <f>IF(ISBLANK(S2540),"Intersection","Non-Intersection")</f>
        <v>Non-Intersection</v>
      </c>
      <c r="Y2540" t="s">
        <v>3583</v>
      </c>
      <c r="Z2540" t="str">
        <f t="shared" si="58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568"/>
        <v>40544</v>
      </c>
      <c r="D2541" s="4">
        <f t="shared" si="569"/>
        <v>0.63013698630136983</v>
      </c>
      <c r="E2541" s="3">
        <f t="shared" si="570"/>
        <v>2011</v>
      </c>
      <c r="F2541" s="3">
        <f t="shared" si="571"/>
        <v>8</v>
      </c>
      <c r="G2541" s="3">
        <f t="shared" si="572"/>
        <v>19</v>
      </c>
      <c r="H2541" s="3">
        <f t="shared" si="573"/>
        <v>0</v>
      </c>
      <c r="I2541" s="3">
        <f t="shared" si="574"/>
        <v>24</v>
      </c>
      <c r="J2541" s="3">
        <f t="shared" si="575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576"/>
        <v>YES</v>
      </c>
      <c r="Q2541" t="str">
        <f t="shared" si="577"/>
        <v>NO</v>
      </c>
      <c r="R2541" t="str">
        <f t="shared" si="578"/>
        <v>NO</v>
      </c>
      <c r="S2541">
        <v>4</v>
      </c>
      <c r="T2541" t="s">
        <v>1492</v>
      </c>
      <c r="U2541" t="str">
        <f t="shared" si="579"/>
        <v>Exeter Park</v>
      </c>
      <c r="W2541" t="str">
        <f t="shared" si="580"/>
        <v/>
      </c>
      <c r="X2541" t="str">
        <f>IF(ISBLANK(S2541),"Intersection","Non-Intersection")</f>
        <v>Non-Intersection</v>
      </c>
      <c r="Y2541" t="s">
        <v>3584</v>
      </c>
      <c r="Z2541" t="str">
        <f t="shared" si="58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568"/>
        <v>40544</v>
      </c>
      <c r="D2542" s="4">
        <f t="shared" si="569"/>
        <v>0.63013698630136983</v>
      </c>
      <c r="E2542" s="3">
        <f t="shared" si="570"/>
        <v>2011</v>
      </c>
      <c r="F2542" s="3">
        <f t="shared" si="571"/>
        <v>8</v>
      </c>
      <c r="G2542" s="3">
        <f t="shared" si="572"/>
        <v>19</v>
      </c>
      <c r="H2542" s="3">
        <f t="shared" si="573"/>
        <v>0</v>
      </c>
      <c r="I2542" s="3">
        <f t="shared" si="574"/>
        <v>45</v>
      </c>
      <c r="J2542" s="3">
        <f t="shared" si="575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576"/>
        <v>YES</v>
      </c>
      <c r="Q2542" t="str">
        <f t="shared" si="577"/>
        <v>NO</v>
      </c>
      <c r="R2542" t="str">
        <f t="shared" si="578"/>
        <v>NO</v>
      </c>
      <c r="S2542">
        <v>102</v>
      </c>
      <c r="T2542" t="s">
        <v>74</v>
      </c>
      <c r="U2542" t="str">
        <f t="shared" si="579"/>
        <v>Hampshire St</v>
      </c>
      <c r="W2542" t="str">
        <f t="shared" si="580"/>
        <v/>
      </c>
      <c r="X2542" t="str">
        <f>IF(ISBLANK(S2542),"Intersection","Non-Intersection")</f>
        <v>Non-Intersection</v>
      </c>
      <c r="Y2542" t="s">
        <v>3586</v>
      </c>
      <c r="Z2542" t="str">
        <f t="shared" si="58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568"/>
        <v>40544</v>
      </c>
      <c r="D2543" s="4">
        <f t="shared" si="569"/>
        <v>0.63013698630136983</v>
      </c>
      <c r="E2543" s="3">
        <f t="shared" si="570"/>
        <v>2011</v>
      </c>
      <c r="F2543" s="3">
        <f t="shared" si="571"/>
        <v>8</v>
      </c>
      <c r="G2543" s="3">
        <f t="shared" si="572"/>
        <v>19</v>
      </c>
      <c r="H2543" s="3">
        <f t="shared" si="573"/>
        <v>18</v>
      </c>
      <c r="I2543" s="3">
        <f t="shared" si="574"/>
        <v>1</v>
      </c>
      <c r="J2543" s="3">
        <f t="shared" si="575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576"/>
        <v>YES</v>
      </c>
      <c r="Q2543" t="str">
        <f t="shared" si="577"/>
        <v>NO</v>
      </c>
      <c r="R2543" t="str">
        <f t="shared" si="578"/>
        <v>YES</v>
      </c>
      <c r="T2543" t="s">
        <v>101</v>
      </c>
      <c r="U2543" t="str">
        <f t="shared" si="579"/>
        <v>Columbia St</v>
      </c>
      <c r="V2543" t="s">
        <v>316</v>
      </c>
      <c r="W2543" t="str">
        <f t="shared" si="580"/>
        <v>Bishop Allen Dr</v>
      </c>
      <c r="X2543" t="str">
        <f>IF(ISBLANK(S2543),"Intersection","Non-Intersection")</f>
        <v>Intersection</v>
      </c>
      <c r="Y2543" t="s">
        <v>2065</v>
      </c>
      <c r="Z2543" t="str">
        <f t="shared" si="58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568"/>
        <v>40544</v>
      </c>
      <c r="D2544" s="4">
        <f t="shared" si="569"/>
        <v>0.63013698630136983</v>
      </c>
      <c r="E2544" s="3">
        <f t="shared" si="570"/>
        <v>2011</v>
      </c>
      <c r="F2544" s="3">
        <f t="shared" si="571"/>
        <v>8</v>
      </c>
      <c r="G2544" s="3">
        <f t="shared" si="572"/>
        <v>19</v>
      </c>
      <c r="H2544" s="3">
        <f t="shared" si="573"/>
        <v>6</v>
      </c>
      <c r="I2544" s="3">
        <f t="shared" si="574"/>
        <v>27</v>
      </c>
      <c r="J2544" s="3">
        <f t="shared" si="575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576"/>
        <v>YES</v>
      </c>
      <c r="Q2544" t="str">
        <f t="shared" si="577"/>
        <v>NO</v>
      </c>
      <c r="R2544" t="str">
        <f t="shared" si="578"/>
        <v>YES</v>
      </c>
      <c r="T2544" t="s">
        <v>14</v>
      </c>
      <c r="U2544" t="str">
        <f t="shared" si="579"/>
        <v>Massachusetts Ave</v>
      </c>
      <c r="W2544" t="str">
        <f t="shared" si="580"/>
        <v/>
      </c>
      <c r="X2544" t="str">
        <f>IF(ISBLANK(S2544),"Intersection","Non-Intersection")</f>
        <v>Intersection</v>
      </c>
      <c r="Y2544" t="s">
        <v>137</v>
      </c>
      <c r="Z2544" t="str">
        <f t="shared" si="58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568"/>
        <v>40544</v>
      </c>
      <c r="D2545" s="4">
        <f t="shared" si="569"/>
        <v>0.63013698630136983</v>
      </c>
      <c r="E2545" s="3">
        <f t="shared" si="570"/>
        <v>2011</v>
      </c>
      <c r="F2545" s="3">
        <f t="shared" si="571"/>
        <v>8</v>
      </c>
      <c r="G2545" s="3">
        <f t="shared" si="572"/>
        <v>19</v>
      </c>
      <c r="H2545" s="3">
        <f t="shared" si="573"/>
        <v>16</v>
      </c>
      <c r="I2545" s="3">
        <f t="shared" si="574"/>
        <v>30</v>
      </c>
      <c r="J2545" s="3">
        <f t="shared" si="575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576"/>
        <v>YES</v>
      </c>
      <c r="Q2545" t="str">
        <f t="shared" si="577"/>
        <v>NO</v>
      </c>
      <c r="R2545" t="str">
        <f t="shared" si="578"/>
        <v>NO</v>
      </c>
      <c r="T2545" t="s">
        <v>3588</v>
      </c>
      <c r="U2545" t="str">
        <f t="shared" si="579"/>
        <v>Kirkland Rd</v>
      </c>
      <c r="V2545" t="s">
        <v>1174</v>
      </c>
      <c r="W2545" t="str">
        <f t="shared" si="580"/>
        <v>Roberts Rd</v>
      </c>
      <c r="X2545" t="str">
        <f>IF(ISBLANK(S2545),"Intersection","Non-Intersection")</f>
        <v>Intersection</v>
      </c>
      <c r="Y2545" t="s">
        <v>3589</v>
      </c>
      <c r="Z2545" t="str">
        <f t="shared" si="58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568"/>
        <v>40544</v>
      </c>
      <c r="D2546" s="4">
        <f t="shared" si="569"/>
        <v>0.63013698630136983</v>
      </c>
      <c r="E2546" s="3">
        <f t="shared" si="570"/>
        <v>2011</v>
      </c>
      <c r="F2546" s="3">
        <f t="shared" si="571"/>
        <v>8</v>
      </c>
      <c r="G2546" s="3">
        <f t="shared" si="572"/>
        <v>19</v>
      </c>
      <c r="H2546" s="3">
        <f t="shared" si="573"/>
        <v>17</v>
      </c>
      <c r="I2546" s="3">
        <f t="shared" si="574"/>
        <v>30</v>
      </c>
      <c r="J2546" s="3">
        <f t="shared" si="575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576"/>
        <v>YES</v>
      </c>
      <c r="Q2546" t="str">
        <f t="shared" si="577"/>
        <v>NO</v>
      </c>
      <c r="R2546" t="str">
        <f t="shared" si="578"/>
        <v>NO</v>
      </c>
      <c r="S2546">
        <v>17</v>
      </c>
      <c r="T2546" t="s">
        <v>42</v>
      </c>
      <c r="U2546" t="str">
        <f t="shared" si="579"/>
        <v>Putnam Ave</v>
      </c>
      <c r="W2546" t="str">
        <f t="shared" si="580"/>
        <v/>
      </c>
      <c r="X2546" t="str">
        <f>IF(ISBLANK(S2546),"Intersection","Non-Intersection")</f>
        <v>Non-Intersection</v>
      </c>
      <c r="Y2546" t="s">
        <v>3591</v>
      </c>
      <c r="Z2546" t="str">
        <f t="shared" si="58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568"/>
        <v>40544</v>
      </c>
      <c r="D2547" s="4">
        <f t="shared" si="569"/>
        <v>0.63013698630136983</v>
      </c>
      <c r="E2547" s="3">
        <f t="shared" si="570"/>
        <v>2011</v>
      </c>
      <c r="F2547" s="3">
        <f t="shared" si="571"/>
        <v>8</v>
      </c>
      <c r="G2547" s="3">
        <f t="shared" si="572"/>
        <v>19</v>
      </c>
      <c r="H2547" s="3">
        <f t="shared" si="573"/>
        <v>19</v>
      </c>
      <c r="I2547" s="3">
        <f t="shared" si="574"/>
        <v>43</v>
      </c>
      <c r="J2547" s="3">
        <f t="shared" si="575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576"/>
        <v>YES</v>
      </c>
      <c r="Q2547" t="str">
        <f t="shared" si="577"/>
        <v>YES</v>
      </c>
      <c r="R2547" t="str">
        <f t="shared" si="578"/>
        <v>NO</v>
      </c>
      <c r="T2547" t="s">
        <v>14</v>
      </c>
      <c r="U2547" t="str">
        <f t="shared" si="579"/>
        <v>Massachusetts Ave</v>
      </c>
      <c r="V2547" t="s">
        <v>524</v>
      </c>
      <c r="W2547" t="str">
        <f t="shared" si="580"/>
        <v>Blake St</v>
      </c>
      <c r="X2547" t="str">
        <f>IF(ISBLANK(S2547),"Intersection","Non-Intersection")</f>
        <v>Intersection</v>
      </c>
      <c r="Y2547" t="s">
        <v>3291</v>
      </c>
      <c r="Z2547" t="str">
        <f t="shared" si="58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568"/>
        <v>40544</v>
      </c>
      <c r="D2548" s="4">
        <f t="shared" si="569"/>
        <v>0.63013698630136983</v>
      </c>
      <c r="E2548" s="3">
        <f t="shared" si="570"/>
        <v>2011</v>
      </c>
      <c r="F2548" s="3">
        <f t="shared" si="571"/>
        <v>8</v>
      </c>
      <c r="G2548" s="3">
        <f t="shared" si="572"/>
        <v>19</v>
      </c>
      <c r="H2548" s="3">
        <f t="shared" si="573"/>
        <v>19</v>
      </c>
      <c r="I2548" s="3">
        <f t="shared" si="574"/>
        <v>30</v>
      </c>
      <c r="J2548" s="3">
        <f t="shared" si="575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576"/>
        <v>YES</v>
      </c>
      <c r="Q2548" t="str">
        <f t="shared" si="577"/>
        <v>NO</v>
      </c>
      <c r="R2548" t="str">
        <f t="shared" si="578"/>
        <v>NO</v>
      </c>
      <c r="S2548">
        <v>200</v>
      </c>
      <c r="T2548" t="s">
        <v>170</v>
      </c>
      <c r="U2548" t="str">
        <f t="shared" si="579"/>
        <v>Alewife Brook Pky</v>
      </c>
      <c r="W2548" t="str">
        <f t="shared" si="580"/>
        <v/>
      </c>
      <c r="X2548" t="str">
        <f>IF(ISBLANK(S2548),"Intersection","Non-Intersection")</f>
        <v>Non-Intersection</v>
      </c>
      <c r="Y2548" t="s">
        <v>2274</v>
      </c>
      <c r="Z2548" t="str">
        <f t="shared" si="58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568"/>
        <v>40544</v>
      </c>
      <c r="D2549" s="4">
        <f t="shared" si="569"/>
        <v>0.63013698630136983</v>
      </c>
      <c r="E2549" s="3">
        <f t="shared" si="570"/>
        <v>2011</v>
      </c>
      <c r="F2549" s="3">
        <f t="shared" si="571"/>
        <v>8</v>
      </c>
      <c r="G2549" s="3">
        <f t="shared" si="572"/>
        <v>19</v>
      </c>
      <c r="H2549" s="3">
        <f t="shared" si="573"/>
        <v>15</v>
      </c>
      <c r="I2549" s="3">
        <f t="shared" si="574"/>
        <v>20</v>
      </c>
      <c r="J2549" s="3">
        <f t="shared" si="575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576"/>
        <v>YES</v>
      </c>
      <c r="Q2549" t="str">
        <f t="shared" si="577"/>
        <v>NO</v>
      </c>
      <c r="R2549" t="str">
        <f t="shared" si="578"/>
        <v>NO</v>
      </c>
      <c r="T2549" t="s">
        <v>105</v>
      </c>
      <c r="U2549" t="str">
        <f t="shared" si="579"/>
        <v>Broadway</v>
      </c>
      <c r="V2549" t="s">
        <v>260</v>
      </c>
      <c r="W2549" t="str">
        <f t="shared" si="580"/>
        <v>Third St</v>
      </c>
      <c r="X2549" t="str">
        <f>IF(ISBLANK(S2549),"Intersection","Non-Intersection")</f>
        <v>Intersection</v>
      </c>
      <c r="Y2549" t="s">
        <v>2506</v>
      </c>
      <c r="Z2549" t="str">
        <f t="shared" si="58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568"/>
        <v>40544</v>
      </c>
      <c r="D2550" s="4">
        <f t="shared" si="569"/>
        <v>0.63013698630136983</v>
      </c>
      <c r="E2550" s="3">
        <f t="shared" si="570"/>
        <v>2011</v>
      </c>
      <c r="F2550" s="3">
        <f t="shared" si="571"/>
        <v>8</v>
      </c>
      <c r="G2550" s="3">
        <f t="shared" si="572"/>
        <v>19</v>
      </c>
      <c r="H2550" s="3">
        <f t="shared" si="573"/>
        <v>12</v>
      </c>
      <c r="I2550" s="3">
        <f t="shared" si="574"/>
        <v>0</v>
      </c>
      <c r="J2550" s="3">
        <f t="shared" si="575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576"/>
        <v>YES</v>
      </c>
      <c r="Q2550" t="str">
        <f t="shared" si="577"/>
        <v>YES</v>
      </c>
      <c r="R2550" t="str">
        <f t="shared" si="578"/>
        <v>NO</v>
      </c>
      <c r="T2550" t="s">
        <v>74</v>
      </c>
      <c r="U2550" t="str">
        <f t="shared" si="579"/>
        <v>Hampshire St</v>
      </c>
      <c r="V2550" t="s">
        <v>104</v>
      </c>
      <c r="W2550" t="str">
        <f t="shared" si="580"/>
        <v>Inman St</v>
      </c>
      <c r="X2550" t="str">
        <f>IF(ISBLANK(S2550),"Intersection","Non-Intersection")</f>
        <v>Intersection</v>
      </c>
      <c r="Y2550" t="s">
        <v>3593</v>
      </c>
      <c r="Z2550" t="str">
        <f t="shared" si="58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568"/>
        <v>40544</v>
      </c>
      <c r="D2551" s="4">
        <f t="shared" si="569"/>
        <v>0.63287671232876708</v>
      </c>
      <c r="E2551" s="3">
        <f t="shared" si="570"/>
        <v>2011</v>
      </c>
      <c r="F2551" s="3">
        <f t="shared" si="571"/>
        <v>8</v>
      </c>
      <c r="G2551" s="3">
        <f t="shared" si="572"/>
        <v>20</v>
      </c>
      <c r="H2551" s="3">
        <f t="shared" si="573"/>
        <v>10</v>
      </c>
      <c r="I2551" s="3">
        <f t="shared" si="574"/>
        <v>12</v>
      </c>
      <c r="J2551" s="3">
        <f t="shared" si="575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576"/>
        <v>YES</v>
      </c>
      <c r="Q2551" t="str">
        <f t="shared" si="577"/>
        <v>NO</v>
      </c>
      <c r="R2551" t="str">
        <f t="shared" si="578"/>
        <v>NO</v>
      </c>
      <c r="T2551" t="s">
        <v>37</v>
      </c>
      <c r="U2551" t="str">
        <f t="shared" si="579"/>
        <v>Magazine St</v>
      </c>
      <c r="V2551" t="s">
        <v>832</v>
      </c>
      <c r="W2551" t="str">
        <f t="shared" si="580"/>
        <v>Fairmont Ave</v>
      </c>
      <c r="X2551" t="str">
        <f>IF(ISBLANK(S2551),"Intersection","Non-Intersection")</f>
        <v>Intersection</v>
      </c>
      <c r="Y2551" t="s">
        <v>3594</v>
      </c>
      <c r="Z2551" t="str">
        <f t="shared" si="58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568"/>
        <v>40544</v>
      </c>
      <c r="D2552" s="4">
        <f t="shared" si="569"/>
        <v>0.63287671232876708</v>
      </c>
      <c r="E2552" s="3">
        <f t="shared" si="570"/>
        <v>2011</v>
      </c>
      <c r="F2552" s="3">
        <f t="shared" si="571"/>
        <v>8</v>
      </c>
      <c r="G2552" s="3">
        <f t="shared" si="572"/>
        <v>20</v>
      </c>
      <c r="H2552" s="3">
        <f t="shared" si="573"/>
        <v>18</v>
      </c>
      <c r="I2552" s="3">
        <f t="shared" si="574"/>
        <v>0</v>
      </c>
      <c r="J2552" s="3">
        <f t="shared" si="575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576"/>
        <v>YES</v>
      </c>
      <c r="Q2552" t="str">
        <f t="shared" si="577"/>
        <v>NO</v>
      </c>
      <c r="R2552" t="str">
        <f t="shared" si="578"/>
        <v>NO</v>
      </c>
      <c r="S2552">
        <v>515</v>
      </c>
      <c r="T2552" t="s">
        <v>186</v>
      </c>
      <c r="U2552" t="str">
        <f t="shared" si="579"/>
        <v>Concord Ave</v>
      </c>
      <c r="W2552" t="str">
        <f t="shared" si="580"/>
        <v/>
      </c>
      <c r="X2552" t="str">
        <f>IF(ISBLANK(S2552),"Intersection","Non-Intersection")</f>
        <v>Non-Intersection</v>
      </c>
      <c r="Y2552" t="s">
        <v>2901</v>
      </c>
      <c r="Z2552" t="str">
        <f t="shared" si="58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568"/>
        <v>40544</v>
      </c>
      <c r="D2553" s="4">
        <f t="shared" si="569"/>
        <v>0.63561643835616444</v>
      </c>
      <c r="E2553" s="3">
        <f t="shared" si="570"/>
        <v>2011</v>
      </c>
      <c r="F2553" s="3">
        <f t="shared" si="571"/>
        <v>8</v>
      </c>
      <c r="G2553" s="3">
        <f t="shared" si="572"/>
        <v>21</v>
      </c>
      <c r="H2553" s="3">
        <f t="shared" si="573"/>
        <v>17</v>
      </c>
      <c r="I2553" s="3">
        <f t="shared" si="574"/>
        <v>25</v>
      </c>
      <c r="J2553" s="3">
        <f t="shared" si="575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576"/>
        <v>YES</v>
      </c>
      <c r="Q2553" t="str">
        <f t="shared" si="577"/>
        <v>NO</v>
      </c>
      <c r="R2553" t="str">
        <f t="shared" si="578"/>
        <v>NO</v>
      </c>
      <c r="T2553" t="s">
        <v>97</v>
      </c>
      <c r="U2553" t="str">
        <f t="shared" si="579"/>
        <v>Peabody St</v>
      </c>
      <c r="V2553" t="s">
        <v>19</v>
      </c>
      <c r="W2553" t="str">
        <f t="shared" si="580"/>
        <v>Cambridge St</v>
      </c>
      <c r="X2553" t="str">
        <f>IF(ISBLANK(S2553),"Intersection","Non-Intersection")</f>
        <v>Intersection</v>
      </c>
      <c r="Y2553" t="s">
        <v>3596</v>
      </c>
      <c r="Z2553" t="str">
        <f t="shared" si="58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568"/>
        <v>40544</v>
      </c>
      <c r="D2554" s="4">
        <f t="shared" si="569"/>
        <v>0.63561643835616444</v>
      </c>
      <c r="E2554" s="3">
        <f t="shared" si="570"/>
        <v>2011</v>
      </c>
      <c r="F2554" s="3">
        <f t="shared" si="571"/>
        <v>8</v>
      </c>
      <c r="G2554" s="3">
        <f t="shared" si="572"/>
        <v>21</v>
      </c>
      <c r="H2554" s="3">
        <f t="shared" si="573"/>
        <v>2</v>
      </c>
      <c r="I2554" s="3">
        <f t="shared" si="574"/>
        <v>29</v>
      </c>
      <c r="J2554" s="3">
        <f t="shared" si="575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576"/>
        <v>YES</v>
      </c>
      <c r="Q2554" t="str">
        <f t="shared" si="577"/>
        <v>NO</v>
      </c>
      <c r="R2554" t="str">
        <f t="shared" si="578"/>
        <v>NO</v>
      </c>
      <c r="S2554">
        <v>99</v>
      </c>
      <c r="T2554" t="s">
        <v>198</v>
      </c>
      <c r="U2554" t="str">
        <f t="shared" si="579"/>
        <v>Mount Auburn St</v>
      </c>
      <c r="W2554" t="str">
        <f t="shared" si="580"/>
        <v/>
      </c>
      <c r="X2554" t="str">
        <f>IF(ISBLANK(S2554),"Intersection","Non-Intersection")</f>
        <v>Non-Intersection</v>
      </c>
      <c r="Y2554" t="s">
        <v>2145</v>
      </c>
      <c r="Z2554" t="str">
        <f t="shared" si="58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568"/>
        <v>40544</v>
      </c>
      <c r="D2555" s="4">
        <f t="shared" si="569"/>
        <v>0.63835616438356169</v>
      </c>
      <c r="E2555" s="3">
        <f t="shared" si="570"/>
        <v>2011</v>
      </c>
      <c r="F2555" s="3">
        <f t="shared" si="571"/>
        <v>8</v>
      </c>
      <c r="G2555" s="3">
        <f t="shared" si="572"/>
        <v>22</v>
      </c>
      <c r="H2555" s="3">
        <f t="shared" si="573"/>
        <v>13</v>
      </c>
      <c r="I2555" s="3">
        <f t="shared" si="574"/>
        <v>44</v>
      </c>
      <c r="J2555" s="3">
        <f t="shared" si="575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576"/>
        <v>YES</v>
      </c>
      <c r="Q2555" t="str">
        <f t="shared" si="577"/>
        <v>YES</v>
      </c>
      <c r="R2555" t="str">
        <f t="shared" si="578"/>
        <v>NO</v>
      </c>
      <c r="T2555" t="s">
        <v>1182</v>
      </c>
      <c r="U2555" t="str">
        <f t="shared" si="579"/>
        <v>Amherst St</v>
      </c>
      <c r="V2555" t="s">
        <v>14</v>
      </c>
      <c r="W2555" t="str">
        <f t="shared" si="580"/>
        <v>Massachusetts Ave</v>
      </c>
      <c r="X2555" t="str">
        <f>IF(ISBLANK(S2555),"Intersection","Non-Intersection")</f>
        <v>Intersection</v>
      </c>
      <c r="Y2555" t="s">
        <v>3598</v>
      </c>
      <c r="Z2555" t="str">
        <f t="shared" si="58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568"/>
        <v>40544</v>
      </c>
      <c r="D2556" s="4">
        <f t="shared" si="569"/>
        <v>0.63835616438356169</v>
      </c>
      <c r="E2556" s="3">
        <f t="shared" si="570"/>
        <v>2011</v>
      </c>
      <c r="F2556" s="3">
        <f t="shared" si="571"/>
        <v>8</v>
      </c>
      <c r="G2556" s="3">
        <f t="shared" si="572"/>
        <v>22</v>
      </c>
      <c r="H2556" s="3">
        <f t="shared" si="573"/>
        <v>14</v>
      </c>
      <c r="I2556" s="3">
        <f t="shared" si="574"/>
        <v>19</v>
      </c>
      <c r="J2556" s="3">
        <f t="shared" si="575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576"/>
        <v>YES</v>
      </c>
      <c r="Q2556" t="str">
        <f t="shared" si="577"/>
        <v>NO</v>
      </c>
      <c r="R2556" t="str">
        <f t="shared" si="578"/>
        <v>NO</v>
      </c>
      <c r="S2556">
        <v>50</v>
      </c>
      <c r="T2556" t="s">
        <v>238</v>
      </c>
      <c r="U2556" t="str">
        <f t="shared" si="579"/>
        <v>Kirkland St</v>
      </c>
      <c r="W2556" t="str">
        <f t="shared" si="580"/>
        <v/>
      </c>
      <c r="X2556" t="str">
        <f>IF(ISBLANK(S2556),"Intersection","Non-Intersection")</f>
        <v>Non-Intersection</v>
      </c>
      <c r="Y2556" t="s">
        <v>3599</v>
      </c>
      <c r="Z2556" t="str">
        <f t="shared" si="58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568"/>
        <v>40544</v>
      </c>
      <c r="D2557" s="4">
        <f t="shared" si="569"/>
        <v>0.63835616438356169</v>
      </c>
      <c r="E2557" s="3">
        <f t="shared" si="570"/>
        <v>2011</v>
      </c>
      <c r="F2557" s="3">
        <f t="shared" si="571"/>
        <v>8</v>
      </c>
      <c r="G2557" s="3">
        <f t="shared" si="572"/>
        <v>22</v>
      </c>
      <c r="H2557" s="3">
        <f t="shared" si="573"/>
        <v>16</v>
      </c>
      <c r="I2557" s="3">
        <f t="shared" si="574"/>
        <v>47</v>
      </c>
      <c r="J2557" s="3">
        <f t="shared" si="575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576"/>
        <v>YES</v>
      </c>
      <c r="Q2557" t="str">
        <f t="shared" si="577"/>
        <v>NO</v>
      </c>
      <c r="R2557" t="str">
        <f t="shared" si="578"/>
        <v>NO</v>
      </c>
      <c r="T2557" t="s">
        <v>993</v>
      </c>
      <c r="U2557" t="str">
        <f t="shared" si="579"/>
        <v>Fifth St</v>
      </c>
      <c r="V2557" t="s">
        <v>261</v>
      </c>
      <c r="W2557" t="str">
        <f t="shared" si="580"/>
        <v>Otis St</v>
      </c>
      <c r="X2557" t="str">
        <f>IF(ISBLANK(S2557),"Intersection","Non-Intersection")</f>
        <v>Intersection</v>
      </c>
      <c r="Y2557" t="s">
        <v>2179</v>
      </c>
      <c r="Z2557" t="str">
        <f t="shared" si="58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568"/>
        <v>40544</v>
      </c>
      <c r="D2558" s="4">
        <f t="shared" si="569"/>
        <v>0.64109589041095894</v>
      </c>
      <c r="E2558" s="3">
        <f t="shared" si="570"/>
        <v>2011</v>
      </c>
      <c r="F2558" s="3">
        <f t="shared" si="571"/>
        <v>8</v>
      </c>
      <c r="G2558" s="3">
        <f t="shared" si="572"/>
        <v>23</v>
      </c>
      <c r="H2558" s="3">
        <f t="shared" si="573"/>
        <v>6</v>
      </c>
      <c r="I2558" s="3">
        <f t="shared" si="574"/>
        <v>24</v>
      </c>
      <c r="J2558" s="3">
        <f t="shared" si="575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576"/>
        <v>YES</v>
      </c>
      <c r="Q2558" t="str">
        <f t="shared" si="577"/>
        <v>NO</v>
      </c>
      <c r="R2558" t="str">
        <f t="shared" si="578"/>
        <v>NO</v>
      </c>
      <c r="T2558" t="s">
        <v>192</v>
      </c>
      <c r="U2558" t="str">
        <f t="shared" si="579"/>
        <v>Hancock St</v>
      </c>
      <c r="V2558" t="s">
        <v>105</v>
      </c>
      <c r="W2558" t="str">
        <f t="shared" si="580"/>
        <v>Broadway</v>
      </c>
      <c r="X2558" t="str">
        <f>IF(ISBLANK(S2558),"Intersection","Non-Intersection")</f>
        <v>Intersection</v>
      </c>
      <c r="Y2558" t="s">
        <v>3601</v>
      </c>
      <c r="Z2558" t="str">
        <f t="shared" si="58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582">EOMONTH(B2559,MONTH(B2559)*-1)+1</f>
        <v>40544</v>
      </c>
      <c r="D2559" s="4">
        <f t="shared" ref="D2559:D2619" si="583">YEARFRAC(C2559,B2559,1)</f>
        <v>0.64109589041095894</v>
      </c>
      <c r="E2559" s="3">
        <f t="shared" ref="E2559:E2619" si="584">YEAR(B2559)</f>
        <v>2011</v>
      </c>
      <c r="F2559" s="3">
        <f t="shared" ref="F2559:F2619" si="585">MONTH(B2559)</f>
        <v>8</v>
      </c>
      <c r="G2559" s="3">
        <f t="shared" ref="G2559:G2619" si="586">DAY(B2559)</f>
        <v>23</v>
      </c>
      <c r="H2559" s="3">
        <f t="shared" ref="H2559:H2619" si="587">HOUR(B2559)</f>
        <v>8</v>
      </c>
      <c r="I2559" s="3">
        <f t="shared" ref="I2559:I2619" si="588">MINUTE(B2559)</f>
        <v>3</v>
      </c>
      <c r="J2559" s="3">
        <f t="shared" ref="J2559:J2619" si="58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590">IF(OR(N2559="Auto",O2559="Auto"),"YES",IF(OR(N2559="Taxi",O2559="Taxi"),"YES",IF(OR(N2559="Van",O2559="Van"),"YES",IF(OR(N2559="Truck",O2559="Truck"),"YES","NO"))))</f>
        <v>YES</v>
      </c>
      <c r="Q2559" t="str">
        <f t="shared" ref="Q2559:Q2619" si="591">IF(OR(N2559="Bicycle",O2559="Bicycle"),"YES","NO")</f>
        <v>YES</v>
      </c>
      <c r="R2559" t="str">
        <f t="shared" ref="R2559:R2619" si="592">IF(OR(N2559="Pedestrian",O2559="Pedestrian"),"YES","NO")</f>
        <v>NO</v>
      </c>
      <c r="T2559" t="s">
        <v>1032</v>
      </c>
      <c r="U2559" t="str">
        <f t="shared" si="579"/>
        <v>Meacham Rd</v>
      </c>
      <c r="V2559" t="s">
        <v>14</v>
      </c>
      <c r="W2559" t="str">
        <f t="shared" si="580"/>
        <v>Massachusetts Ave</v>
      </c>
      <c r="X2559" t="str">
        <f>IF(ISBLANK(S2559),"Intersection","Non-Intersection")</f>
        <v>Intersection</v>
      </c>
      <c r="Y2559" t="s">
        <v>3602</v>
      </c>
      <c r="Z2559" t="str">
        <f t="shared" si="58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582"/>
        <v>40544</v>
      </c>
      <c r="D2560" s="4">
        <f t="shared" si="583"/>
        <v>0.64109589041095894</v>
      </c>
      <c r="E2560" s="3">
        <f t="shared" si="584"/>
        <v>2011</v>
      </c>
      <c r="F2560" s="3">
        <f t="shared" si="585"/>
        <v>8</v>
      </c>
      <c r="G2560" s="3">
        <f t="shared" si="586"/>
        <v>23</v>
      </c>
      <c r="H2560" s="3">
        <f t="shared" si="587"/>
        <v>8</v>
      </c>
      <c r="I2560" s="3">
        <f t="shared" si="588"/>
        <v>29</v>
      </c>
      <c r="J2560" s="3">
        <f t="shared" si="58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590"/>
        <v>YES</v>
      </c>
      <c r="Q2560" t="str">
        <f t="shared" si="591"/>
        <v>NO</v>
      </c>
      <c r="R2560" t="str">
        <f t="shared" si="592"/>
        <v>NO</v>
      </c>
      <c r="S2560">
        <v>95</v>
      </c>
      <c r="T2560" t="s">
        <v>238</v>
      </c>
      <c r="U2560" t="str">
        <f t="shared" si="579"/>
        <v>Kirkland St</v>
      </c>
      <c r="W2560" t="str">
        <f t="shared" si="580"/>
        <v/>
      </c>
      <c r="X2560" t="str">
        <f>IF(ISBLANK(S2560),"Intersection","Non-Intersection")</f>
        <v>Non-Intersection</v>
      </c>
      <c r="Y2560" t="s">
        <v>3603</v>
      </c>
      <c r="Z2560" t="str">
        <f t="shared" si="58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582"/>
        <v>40544</v>
      </c>
      <c r="D2561" s="4">
        <f t="shared" si="583"/>
        <v>0.64109589041095894</v>
      </c>
      <c r="E2561" s="3">
        <f t="shared" si="584"/>
        <v>2011</v>
      </c>
      <c r="F2561" s="3">
        <f t="shared" si="585"/>
        <v>8</v>
      </c>
      <c r="G2561" s="3">
        <f t="shared" si="586"/>
        <v>23</v>
      </c>
      <c r="H2561" s="3">
        <f t="shared" si="587"/>
        <v>9</v>
      </c>
      <c r="I2561" s="3">
        <f t="shared" si="588"/>
        <v>20</v>
      </c>
      <c r="J2561" s="3">
        <f t="shared" si="58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590"/>
        <v>YES</v>
      </c>
      <c r="Q2561" t="str">
        <f t="shared" si="591"/>
        <v>NO</v>
      </c>
      <c r="R2561" t="str">
        <f t="shared" si="592"/>
        <v>NO</v>
      </c>
      <c r="T2561" t="s">
        <v>198</v>
      </c>
      <c r="U2561" t="str">
        <f t="shared" si="579"/>
        <v>Mount Auburn St</v>
      </c>
      <c r="V2561" t="s">
        <v>464</v>
      </c>
      <c r="W2561" t="str">
        <f t="shared" si="580"/>
        <v>Aberdeen Way</v>
      </c>
      <c r="X2561" t="str">
        <f>IF(ISBLANK(S2561),"Intersection","Non-Intersection")</f>
        <v>Intersection</v>
      </c>
      <c r="Y2561" t="s">
        <v>1666</v>
      </c>
      <c r="Z2561" t="str">
        <f t="shared" si="58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582"/>
        <v>40544</v>
      </c>
      <c r="D2562" s="4">
        <f t="shared" si="583"/>
        <v>0.64109589041095894</v>
      </c>
      <c r="E2562" s="3">
        <f t="shared" si="584"/>
        <v>2011</v>
      </c>
      <c r="F2562" s="3">
        <f t="shared" si="585"/>
        <v>8</v>
      </c>
      <c r="G2562" s="3">
        <f t="shared" si="586"/>
        <v>23</v>
      </c>
      <c r="H2562" s="3">
        <f t="shared" si="587"/>
        <v>17</v>
      </c>
      <c r="I2562" s="3">
        <f t="shared" si="588"/>
        <v>1</v>
      </c>
      <c r="J2562" s="3">
        <f t="shared" si="58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590"/>
        <v>YES</v>
      </c>
      <c r="Q2562" t="str">
        <f t="shared" si="591"/>
        <v>YES</v>
      </c>
      <c r="R2562" t="str">
        <f t="shared" si="592"/>
        <v>NO</v>
      </c>
      <c r="S2562">
        <v>92</v>
      </c>
      <c r="T2562" t="s">
        <v>199</v>
      </c>
      <c r="U2562" t="str">
        <f t="shared" si="579"/>
        <v>Brattle St</v>
      </c>
      <c r="W2562" t="str">
        <f t="shared" si="580"/>
        <v/>
      </c>
      <c r="X2562" t="str">
        <f>IF(ISBLANK(S2562),"Intersection","Non-Intersection")</f>
        <v>Non-Intersection</v>
      </c>
      <c r="Y2562" t="s">
        <v>3605</v>
      </c>
      <c r="Z2562" t="str">
        <f t="shared" si="58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582"/>
        <v>40544</v>
      </c>
      <c r="D2563" s="4">
        <f t="shared" si="583"/>
        <v>0.64383561643835618</v>
      </c>
      <c r="E2563" s="3">
        <f t="shared" si="584"/>
        <v>2011</v>
      </c>
      <c r="F2563" s="3">
        <f t="shared" si="585"/>
        <v>8</v>
      </c>
      <c r="G2563" s="3">
        <f t="shared" si="586"/>
        <v>24</v>
      </c>
      <c r="H2563" s="3">
        <f t="shared" si="587"/>
        <v>10</v>
      </c>
      <c r="I2563" s="3">
        <f t="shared" si="588"/>
        <v>12</v>
      </c>
      <c r="J2563" s="3">
        <f t="shared" si="58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590"/>
        <v>YES</v>
      </c>
      <c r="Q2563" t="str">
        <f t="shared" si="591"/>
        <v>NO</v>
      </c>
      <c r="R2563" t="str">
        <f t="shared" si="592"/>
        <v>NO</v>
      </c>
      <c r="S2563">
        <v>1730</v>
      </c>
      <c r="T2563" t="s">
        <v>19</v>
      </c>
      <c r="U2563" t="str">
        <f t="shared" ref="U2563:U2626" si="593">TRIM(PROPER(T2563))</f>
        <v>Cambridge St</v>
      </c>
      <c r="V2563" t="s">
        <v>396</v>
      </c>
      <c r="W2563" t="str">
        <f t="shared" ref="W2563:W2626" si="594">TRIM(PROPER(V2563))</f>
        <v>Prescott St</v>
      </c>
      <c r="X2563" t="str">
        <f>IF(ISBLANK(S2563),"Intersection","Non-Intersection")</f>
        <v>Non-Intersection</v>
      </c>
      <c r="Y2563" t="s">
        <v>3607</v>
      </c>
      <c r="Z2563" t="str">
        <f t="shared" ref="Z2563:Z2626" si="595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582"/>
        <v>40544</v>
      </c>
      <c r="D2564" s="4">
        <f t="shared" si="583"/>
        <v>0.64383561643835618</v>
      </c>
      <c r="E2564" s="3">
        <f t="shared" si="584"/>
        <v>2011</v>
      </c>
      <c r="F2564" s="3">
        <f t="shared" si="585"/>
        <v>8</v>
      </c>
      <c r="G2564" s="3">
        <f t="shared" si="586"/>
        <v>24</v>
      </c>
      <c r="H2564" s="3">
        <f t="shared" si="587"/>
        <v>11</v>
      </c>
      <c r="I2564" s="3">
        <f t="shared" si="588"/>
        <v>29</v>
      </c>
      <c r="J2564" s="3">
        <f t="shared" si="58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590"/>
        <v>YES</v>
      </c>
      <c r="Q2564" t="str">
        <f t="shared" si="591"/>
        <v>NO</v>
      </c>
      <c r="R2564" t="str">
        <f t="shared" si="592"/>
        <v>NO</v>
      </c>
      <c r="S2564">
        <v>167</v>
      </c>
      <c r="T2564" t="s">
        <v>189</v>
      </c>
      <c r="U2564" t="str">
        <f t="shared" si="593"/>
        <v>Windsor St</v>
      </c>
      <c r="W2564" t="str">
        <f t="shared" si="594"/>
        <v/>
      </c>
      <c r="X2564" t="str">
        <f>IF(ISBLANK(S2564),"Intersection","Non-Intersection")</f>
        <v>Non-Intersection</v>
      </c>
      <c r="Y2564" t="s">
        <v>3609</v>
      </c>
      <c r="Z2564" t="str">
        <f t="shared" si="595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582"/>
        <v>40544</v>
      </c>
      <c r="D2565" s="4">
        <f t="shared" si="583"/>
        <v>0.64383561643835618</v>
      </c>
      <c r="E2565" s="3">
        <f t="shared" si="584"/>
        <v>2011</v>
      </c>
      <c r="F2565" s="3">
        <f t="shared" si="585"/>
        <v>8</v>
      </c>
      <c r="G2565" s="3">
        <f t="shared" si="586"/>
        <v>24</v>
      </c>
      <c r="H2565" s="3">
        <f t="shared" si="587"/>
        <v>13</v>
      </c>
      <c r="I2565" s="3">
        <f t="shared" si="588"/>
        <v>9</v>
      </c>
      <c r="J2565" s="3">
        <f t="shared" si="58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590"/>
        <v>YES</v>
      </c>
      <c r="Q2565" t="str">
        <f t="shared" si="591"/>
        <v>YES</v>
      </c>
      <c r="R2565" t="str">
        <f t="shared" si="592"/>
        <v>NO</v>
      </c>
      <c r="T2565" t="s">
        <v>1182</v>
      </c>
      <c r="U2565" t="str">
        <f t="shared" si="593"/>
        <v>Amherst St</v>
      </c>
      <c r="V2565" t="s">
        <v>79</v>
      </c>
      <c r="W2565" t="str">
        <f t="shared" si="594"/>
        <v>Ames St</v>
      </c>
      <c r="X2565" t="str">
        <f>IF(ISBLANK(S2565),"Intersection","Non-Intersection")</f>
        <v>Intersection</v>
      </c>
      <c r="Y2565" t="s">
        <v>3611</v>
      </c>
      <c r="Z2565" t="str">
        <f t="shared" si="595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582"/>
        <v>40544</v>
      </c>
      <c r="D2566" s="4">
        <f t="shared" si="583"/>
        <v>0.64383561643835618</v>
      </c>
      <c r="E2566" s="3">
        <f t="shared" si="584"/>
        <v>2011</v>
      </c>
      <c r="F2566" s="3">
        <f t="shared" si="585"/>
        <v>8</v>
      </c>
      <c r="G2566" s="3">
        <f t="shared" si="586"/>
        <v>24</v>
      </c>
      <c r="H2566" s="3">
        <f t="shared" si="587"/>
        <v>13</v>
      </c>
      <c r="I2566" s="3">
        <f t="shared" si="588"/>
        <v>44</v>
      </c>
      <c r="J2566" s="3">
        <f t="shared" si="58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590"/>
        <v>YES</v>
      </c>
      <c r="Q2566" t="str">
        <f t="shared" si="591"/>
        <v>NO</v>
      </c>
      <c r="R2566" t="str">
        <f t="shared" si="592"/>
        <v>NO</v>
      </c>
      <c r="T2566" t="s">
        <v>269</v>
      </c>
      <c r="U2566" t="str">
        <f t="shared" si="593"/>
        <v>Porter Sq</v>
      </c>
      <c r="W2566" t="str">
        <f t="shared" si="594"/>
        <v/>
      </c>
      <c r="X2566" t="str">
        <f>IF(ISBLANK(S2566),"Intersection","Non-Intersection")</f>
        <v>Intersection</v>
      </c>
      <c r="Y2566" t="s">
        <v>923</v>
      </c>
      <c r="Z2566" t="str">
        <f t="shared" si="595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582"/>
        <v>40544</v>
      </c>
      <c r="D2567" s="4">
        <f t="shared" si="583"/>
        <v>0.64383561643835618</v>
      </c>
      <c r="E2567" s="3">
        <f t="shared" si="584"/>
        <v>2011</v>
      </c>
      <c r="F2567" s="3">
        <f t="shared" si="585"/>
        <v>8</v>
      </c>
      <c r="G2567" s="3">
        <f t="shared" si="586"/>
        <v>24</v>
      </c>
      <c r="H2567" s="3">
        <f t="shared" si="587"/>
        <v>17</v>
      </c>
      <c r="I2567" s="3">
        <f t="shared" si="588"/>
        <v>15</v>
      </c>
      <c r="J2567" s="3">
        <f t="shared" si="58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590"/>
        <v>YES</v>
      </c>
      <c r="Q2567" t="str">
        <f t="shared" si="591"/>
        <v>NO</v>
      </c>
      <c r="R2567" t="str">
        <f t="shared" si="592"/>
        <v>NO</v>
      </c>
      <c r="T2567" t="s">
        <v>61</v>
      </c>
      <c r="U2567" t="str">
        <f t="shared" si="593"/>
        <v>First St</v>
      </c>
      <c r="V2567" t="s">
        <v>261</v>
      </c>
      <c r="W2567" t="str">
        <f t="shared" si="594"/>
        <v>Otis St</v>
      </c>
      <c r="X2567" t="str">
        <f>IF(ISBLANK(S2567),"Intersection","Non-Intersection")</f>
        <v>Intersection</v>
      </c>
      <c r="Y2567" t="s">
        <v>3612</v>
      </c>
      <c r="Z2567" t="str">
        <f t="shared" si="595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582"/>
        <v>40544</v>
      </c>
      <c r="D2568" s="4">
        <f t="shared" si="583"/>
        <v>0.64657534246575343</v>
      </c>
      <c r="E2568" s="3">
        <f t="shared" si="584"/>
        <v>2011</v>
      </c>
      <c r="F2568" s="3">
        <f t="shared" si="585"/>
        <v>8</v>
      </c>
      <c r="G2568" s="3">
        <f t="shared" si="586"/>
        <v>25</v>
      </c>
      <c r="H2568" s="3">
        <f t="shared" si="587"/>
        <v>11</v>
      </c>
      <c r="I2568" s="3">
        <f t="shared" si="588"/>
        <v>25</v>
      </c>
      <c r="J2568" s="3">
        <f t="shared" si="58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590"/>
        <v>YES</v>
      </c>
      <c r="Q2568" t="str">
        <f t="shared" si="591"/>
        <v>NO</v>
      </c>
      <c r="R2568" t="str">
        <f t="shared" si="592"/>
        <v>NO</v>
      </c>
      <c r="S2568">
        <v>725</v>
      </c>
      <c r="T2568" t="s">
        <v>186</v>
      </c>
      <c r="U2568" t="str">
        <f t="shared" si="593"/>
        <v>Concord Ave</v>
      </c>
      <c r="W2568" t="str">
        <f t="shared" si="594"/>
        <v/>
      </c>
      <c r="X2568" t="str">
        <f>IF(ISBLANK(S2568),"Intersection","Non-Intersection")</f>
        <v>Non-Intersection</v>
      </c>
      <c r="Y2568" t="s">
        <v>617</v>
      </c>
      <c r="Z2568" t="str">
        <f t="shared" si="595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582"/>
        <v>40544</v>
      </c>
      <c r="D2569" s="4">
        <f t="shared" si="583"/>
        <v>0.64657534246575343</v>
      </c>
      <c r="E2569" s="3">
        <f t="shared" si="584"/>
        <v>2011</v>
      </c>
      <c r="F2569" s="3">
        <f t="shared" si="585"/>
        <v>8</v>
      </c>
      <c r="G2569" s="3">
        <f t="shared" si="586"/>
        <v>25</v>
      </c>
      <c r="H2569" s="3">
        <f t="shared" si="587"/>
        <v>11</v>
      </c>
      <c r="I2569" s="3">
        <f t="shared" si="588"/>
        <v>45</v>
      </c>
      <c r="J2569" s="3">
        <f t="shared" si="58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590"/>
        <v>YES</v>
      </c>
      <c r="Q2569" t="str">
        <f t="shared" si="591"/>
        <v>NO</v>
      </c>
      <c r="R2569" t="str">
        <f t="shared" si="592"/>
        <v>NO</v>
      </c>
      <c r="S2569">
        <v>18</v>
      </c>
      <c r="T2569" t="s">
        <v>199</v>
      </c>
      <c r="U2569" t="str">
        <f t="shared" si="593"/>
        <v>Brattle St</v>
      </c>
      <c r="W2569" t="str">
        <f t="shared" si="594"/>
        <v/>
      </c>
      <c r="X2569" t="str">
        <f>IF(ISBLANK(S2569),"Intersection","Non-Intersection")</f>
        <v>Non-Intersection</v>
      </c>
      <c r="Y2569" t="s">
        <v>1443</v>
      </c>
      <c r="Z2569" t="str">
        <f t="shared" si="595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582"/>
        <v>40544</v>
      </c>
      <c r="D2570" s="4">
        <f t="shared" si="583"/>
        <v>0.64657534246575343</v>
      </c>
      <c r="E2570" s="3">
        <f t="shared" si="584"/>
        <v>2011</v>
      </c>
      <c r="F2570" s="3">
        <f t="shared" si="585"/>
        <v>8</v>
      </c>
      <c r="G2570" s="3">
        <f t="shared" si="586"/>
        <v>25</v>
      </c>
      <c r="H2570" s="3">
        <f t="shared" si="587"/>
        <v>13</v>
      </c>
      <c r="I2570" s="3">
        <f t="shared" si="588"/>
        <v>32</v>
      </c>
      <c r="J2570" s="3">
        <f t="shared" si="58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590"/>
        <v>YES</v>
      </c>
      <c r="Q2570" t="str">
        <f t="shared" si="591"/>
        <v>YES</v>
      </c>
      <c r="R2570" t="str">
        <f t="shared" si="592"/>
        <v>NO</v>
      </c>
      <c r="T2570" t="s">
        <v>1389</v>
      </c>
      <c r="U2570" t="str">
        <f t="shared" si="593"/>
        <v>Dover St</v>
      </c>
      <c r="V2570" t="s">
        <v>14</v>
      </c>
      <c r="W2570" t="str">
        <f t="shared" si="594"/>
        <v>Massachusetts Ave</v>
      </c>
      <c r="X2570" t="str">
        <f>IF(ISBLANK(S2570),"Intersection","Non-Intersection")</f>
        <v>Intersection</v>
      </c>
      <c r="Y2570" t="s">
        <v>2455</v>
      </c>
      <c r="Z2570" t="str">
        <f t="shared" si="595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582"/>
        <v>40544</v>
      </c>
      <c r="D2571" s="4">
        <f t="shared" si="583"/>
        <v>0.64657534246575343</v>
      </c>
      <c r="E2571" s="3">
        <f t="shared" si="584"/>
        <v>2011</v>
      </c>
      <c r="F2571" s="3">
        <f t="shared" si="585"/>
        <v>8</v>
      </c>
      <c r="G2571" s="3">
        <f t="shared" si="586"/>
        <v>25</v>
      </c>
      <c r="H2571" s="3">
        <f t="shared" si="587"/>
        <v>21</v>
      </c>
      <c r="I2571" s="3">
        <f t="shared" si="588"/>
        <v>30</v>
      </c>
      <c r="J2571" s="3">
        <f t="shared" si="58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590"/>
        <v>YES</v>
      </c>
      <c r="Q2571" t="str">
        <f t="shared" si="591"/>
        <v>NO</v>
      </c>
      <c r="R2571" t="str">
        <f t="shared" si="592"/>
        <v>NO</v>
      </c>
      <c r="S2571">
        <v>36</v>
      </c>
      <c r="T2571" t="s">
        <v>326</v>
      </c>
      <c r="U2571" t="str">
        <f t="shared" si="593"/>
        <v>Jfk St</v>
      </c>
      <c r="W2571" t="str">
        <f t="shared" si="594"/>
        <v/>
      </c>
      <c r="X2571" t="str">
        <f>IF(ISBLANK(S2571),"Intersection","Non-Intersection")</f>
        <v>Non-Intersection</v>
      </c>
      <c r="Y2571" t="s">
        <v>2697</v>
      </c>
      <c r="Z2571" t="str">
        <f t="shared" si="595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582"/>
        <v>40544</v>
      </c>
      <c r="D2572" s="4">
        <f t="shared" si="583"/>
        <v>0.64657534246575343</v>
      </c>
      <c r="E2572" s="3">
        <f t="shared" si="584"/>
        <v>2011</v>
      </c>
      <c r="F2572" s="3">
        <f t="shared" si="585"/>
        <v>8</v>
      </c>
      <c r="G2572" s="3">
        <f t="shared" si="586"/>
        <v>25</v>
      </c>
      <c r="H2572" s="3">
        <f t="shared" si="587"/>
        <v>17</v>
      </c>
      <c r="I2572" s="3">
        <f t="shared" si="588"/>
        <v>0</v>
      </c>
      <c r="J2572" s="3">
        <f t="shared" si="58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590"/>
        <v>YES</v>
      </c>
      <c r="Q2572" t="str">
        <f t="shared" si="591"/>
        <v>NO</v>
      </c>
      <c r="R2572" t="str">
        <f t="shared" si="592"/>
        <v>NO</v>
      </c>
      <c r="S2572">
        <v>12</v>
      </c>
      <c r="T2572" t="s">
        <v>219</v>
      </c>
      <c r="U2572" t="str">
        <f t="shared" si="593"/>
        <v>Sacramento St</v>
      </c>
      <c r="W2572" t="str">
        <f t="shared" si="594"/>
        <v/>
      </c>
      <c r="X2572" t="str">
        <f>IF(ISBLANK(S2572),"Intersection","Non-Intersection")</f>
        <v>Non-Intersection</v>
      </c>
      <c r="Y2572" t="s">
        <v>3614</v>
      </c>
      <c r="Z2572" t="str">
        <f t="shared" si="595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582"/>
        <v>40544</v>
      </c>
      <c r="D2573" s="4">
        <f t="shared" si="583"/>
        <v>0.64657534246575343</v>
      </c>
      <c r="E2573" s="3">
        <f t="shared" si="584"/>
        <v>2011</v>
      </c>
      <c r="F2573" s="3">
        <f t="shared" si="585"/>
        <v>8</v>
      </c>
      <c r="G2573" s="3">
        <f t="shared" si="586"/>
        <v>25</v>
      </c>
      <c r="H2573" s="3">
        <f t="shared" si="587"/>
        <v>13</v>
      </c>
      <c r="I2573" s="3">
        <f t="shared" si="588"/>
        <v>30</v>
      </c>
      <c r="J2573" s="3">
        <f t="shared" si="58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590"/>
        <v>YES</v>
      </c>
      <c r="Q2573" t="str">
        <f t="shared" si="591"/>
        <v>NO</v>
      </c>
      <c r="R2573" t="str">
        <f t="shared" si="592"/>
        <v>NO</v>
      </c>
      <c r="S2573">
        <v>59</v>
      </c>
      <c r="T2573" t="s">
        <v>147</v>
      </c>
      <c r="U2573" t="str">
        <f t="shared" si="593"/>
        <v>Sixth St</v>
      </c>
      <c r="W2573" t="str">
        <f t="shared" si="594"/>
        <v/>
      </c>
      <c r="X2573" t="str">
        <f>IF(ISBLANK(S2573),"Intersection","Non-Intersection")</f>
        <v>Non-Intersection</v>
      </c>
      <c r="Y2573" t="s">
        <v>3616</v>
      </c>
      <c r="Z2573" t="str">
        <f t="shared" si="595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582"/>
        <v>40544</v>
      </c>
      <c r="D2574" s="4">
        <f t="shared" si="583"/>
        <v>0.64931506849315068</v>
      </c>
      <c r="E2574" s="3">
        <f t="shared" si="584"/>
        <v>2011</v>
      </c>
      <c r="F2574" s="3">
        <f t="shared" si="585"/>
        <v>8</v>
      </c>
      <c r="G2574" s="3">
        <f t="shared" si="586"/>
        <v>26</v>
      </c>
      <c r="H2574" s="3">
        <f t="shared" si="587"/>
        <v>0</v>
      </c>
      <c r="I2574" s="3">
        <f t="shared" si="588"/>
        <v>59</v>
      </c>
      <c r="J2574" s="3">
        <f t="shared" si="58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590"/>
        <v>YES</v>
      </c>
      <c r="Q2574" t="str">
        <f t="shared" si="591"/>
        <v>NO</v>
      </c>
      <c r="R2574" t="str">
        <f t="shared" si="592"/>
        <v>NO</v>
      </c>
      <c r="T2574" t="s">
        <v>498</v>
      </c>
      <c r="U2574" t="str">
        <f t="shared" si="593"/>
        <v>Ellery St</v>
      </c>
      <c r="V2574" t="s">
        <v>14</v>
      </c>
      <c r="W2574" t="str">
        <f t="shared" si="594"/>
        <v>Massachusetts Ave</v>
      </c>
      <c r="X2574" t="str">
        <f>IF(ISBLANK(S2574),"Intersection","Non-Intersection")</f>
        <v>Intersection</v>
      </c>
      <c r="Y2574" t="s">
        <v>3618</v>
      </c>
      <c r="Z2574" t="str">
        <f t="shared" si="595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582"/>
        <v>40544</v>
      </c>
      <c r="D2575" s="4">
        <f t="shared" si="583"/>
        <v>0.64931506849315068</v>
      </c>
      <c r="E2575" s="3">
        <f t="shared" si="584"/>
        <v>2011</v>
      </c>
      <c r="F2575" s="3">
        <f t="shared" si="585"/>
        <v>8</v>
      </c>
      <c r="G2575" s="3">
        <f t="shared" si="586"/>
        <v>26</v>
      </c>
      <c r="H2575" s="3">
        <f t="shared" si="587"/>
        <v>11</v>
      </c>
      <c r="I2575" s="3">
        <f t="shared" si="588"/>
        <v>29</v>
      </c>
      <c r="J2575" s="3">
        <f t="shared" si="58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590"/>
        <v>YES</v>
      </c>
      <c r="Q2575" t="str">
        <f t="shared" si="591"/>
        <v>NO</v>
      </c>
      <c r="R2575" t="str">
        <f t="shared" si="592"/>
        <v>NO</v>
      </c>
      <c r="S2575">
        <v>77</v>
      </c>
      <c r="T2575" t="s">
        <v>79</v>
      </c>
      <c r="U2575" t="str">
        <f t="shared" si="593"/>
        <v>Ames St</v>
      </c>
      <c r="W2575" t="str">
        <f t="shared" si="594"/>
        <v/>
      </c>
      <c r="X2575" t="str">
        <f>IF(ISBLANK(S2575),"Intersection","Non-Intersection")</f>
        <v>Non-Intersection</v>
      </c>
      <c r="Y2575" t="s">
        <v>3324</v>
      </c>
      <c r="Z2575" t="str">
        <f t="shared" si="595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582"/>
        <v>40544</v>
      </c>
      <c r="D2576" s="4">
        <f t="shared" si="583"/>
        <v>0.64931506849315068</v>
      </c>
      <c r="E2576" s="3">
        <f t="shared" si="584"/>
        <v>2011</v>
      </c>
      <c r="F2576" s="3">
        <f t="shared" si="585"/>
        <v>8</v>
      </c>
      <c r="G2576" s="3">
        <f t="shared" si="586"/>
        <v>26</v>
      </c>
      <c r="H2576" s="3">
        <f t="shared" si="587"/>
        <v>15</v>
      </c>
      <c r="I2576" s="3">
        <f t="shared" si="588"/>
        <v>30</v>
      </c>
      <c r="J2576" s="3">
        <f t="shared" si="58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590"/>
        <v>YES</v>
      </c>
      <c r="Q2576" t="str">
        <f t="shared" si="591"/>
        <v>NO</v>
      </c>
      <c r="R2576" t="str">
        <f t="shared" si="592"/>
        <v>NO</v>
      </c>
      <c r="T2576" t="s">
        <v>14</v>
      </c>
      <c r="U2576" t="str">
        <f t="shared" si="593"/>
        <v>Massachusetts Ave</v>
      </c>
      <c r="V2576" t="s">
        <v>202</v>
      </c>
      <c r="W2576" t="str">
        <f t="shared" si="594"/>
        <v>Vassar St</v>
      </c>
      <c r="X2576" t="str">
        <f>IF(ISBLANK(S2576),"Intersection","Non-Intersection")</f>
        <v>Intersection</v>
      </c>
      <c r="Y2576" t="s">
        <v>361</v>
      </c>
      <c r="Z2576" t="str">
        <f t="shared" si="595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582"/>
        <v>40544</v>
      </c>
      <c r="D2577" s="4">
        <f t="shared" si="583"/>
        <v>0.64931506849315068</v>
      </c>
      <c r="E2577" s="3">
        <f t="shared" si="584"/>
        <v>2011</v>
      </c>
      <c r="F2577" s="3">
        <f t="shared" si="585"/>
        <v>8</v>
      </c>
      <c r="G2577" s="3">
        <f t="shared" si="586"/>
        <v>26</v>
      </c>
      <c r="H2577" s="3">
        <f t="shared" si="587"/>
        <v>16</v>
      </c>
      <c r="I2577" s="3">
        <f t="shared" si="588"/>
        <v>15</v>
      </c>
      <c r="J2577" s="3">
        <f t="shared" si="58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590"/>
        <v>YES</v>
      </c>
      <c r="Q2577" t="str">
        <f t="shared" si="591"/>
        <v>NO</v>
      </c>
      <c r="R2577" t="str">
        <f t="shared" si="592"/>
        <v>NO</v>
      </c>
      <c r="T2577" t="s">
        <v>41</v>
      </c>
      <c r="U2577" t="str">
        <f t="shared" si="593"/>
        <v>River St</v>
      </c>
      <c r="V2577" t="s">
        <v>14</v>
      </c>
      <c r="W2577" t="str">
        <f t="shared" si="594"/>
        <v>Massachusetts Ave</v>
      </c>
      <c r="X2577" t="str">
        <f>IF(ISBLANK(S2577),"Intersection","Non-Intersection")</f>
        <v>Intersection</v>
      </c>
      <c r="Y2577" t="s">
        <v>3619</v>
      </c>
      <c r="Z2577" t="str">
        <f t="shared" si="595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582"/>
        <v>40544</v>
      </c>
      <c r="D2578" s="4">
        <f t="shared" si="583"/>
        <v>0.64931506849315068</v>
      </c>
      <c r="E2578" s="3">
        <f t="shared" si="584"/>
        <v>2011</v>
      </c>
      <c r="F2578" s="3">
        <f t="shared" si="585"/>
        <v>8</v>
      </c>
      <c r="G2578" s="3">
        <f t="shared" si="586"/>
        <v>26</v>
      </c>
      <c r="H2578" s="3">
        <f t="shared" si="587"/>
        <v>18</v>
      </c>
      <c r="I2578" s="3">
        <f t="shared" si="588"/>
        <v>30</v>
      </c>
      <c r="J2578" s="3">
        <f t="shared" si="58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590"/>
        <v>YES</v>
      </c>
      <c r="Q2578" t="str">
        <f t="shared" si="591"/>
        <v>NO</v>
      </c>
      <c r="R2578" t="str">
        <f t="shared" si="592"/>
        <v>NO</v>
      </c>
      <c r="T2578" t="s">
        <v>142</v>
      </c>
      <c r="U2578" t="str">
        <f t="shared" si="593"/>
        <v>Huron Ave</v>
      </c>
      <c r="V2578" t="s">
        <v>185</v>
      </c>
      <c r="W2578" t="str">
        <f t="shared" si="594"/>
        <v>Garden St</v>
      </c>
      <c r="X2578" t="str">
        <f>IF(ISBLANK(S2578),"Intersection","Non-Intersection")</f>
        <v>Intersection</v>
      </c>
      <c r="Y2578" t="s">
        <v>3621</v>
      </c>
      <c r="Z2578" t="str">
        <f t="shared" si="595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582"/>
        <v>40544</v>
      </c>
      <c r="D2579" s="4">
        <f t="shared" si="583"/>
        <v>0.65205479452054793</v>
      </c>
      <c r="E2579" s="3">
        <f t="shared" si="584"/>
        <v>2011</v>
      </c>
      <c r="F2579" s="3">
        <f t="shared" si="585"/>
        <v>8</v>
      </c>
      <c r="G2579" s="3">
        <f t="shared" si="586"/>
        <v>27</v>
      </c>
      <c r="H2579" s="3">
        <f t="shared" si="587"/>
        <v>9</v>
      </c>
      <c r="I2579" s="3">
        <f t="shared" si="588"/>
        <v>59</v>
      </c>
      <c r="J2579" s="3">
        <f t="shared" si="58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590"/>
        <v>YES</v>
      </c>
      <c r="Q2579" t="str">
        <f t="shared" si="591"/>
        <v>NO</v>
      </c>
      <c r="R2579" t="str">
        <f t="shared" si="592"/>
        <v>NO</v>
      </c>
      <c r="T2579" t="s">
        <v>667</v>
      </c>
      <c r="U2579" t="str">
        <f t="shared" si="593"/>
        <v>Tremont St</v>
      </c>
      <c r="V2579" t="s">
        <v>19</v>
      </c>
      <c r="W2579" t="str">
        <f t="shared" si="594"/>
        <v>Cambridge St</v>
      </c>
      <c r="X2579" t="str">
        <f>IF(ISBLANK(S2579),"Intersection","Non-Intersection")</f>
        <v>Intersection</v>
      </c>
      <c r="Y2579" t="s">
        <v>2283</v>
      </c>
      <c r="Z2579" t="str">
        <f t="shared" si="595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582"/>
        <v>40544</v>
      </c>
      <c r="D2580" s="4">
        <f t="shared" si="583"/>
        <v>0.65205479452054793</v>
      </c>
      <c r="E2580" s="3">
        <f t="shared" si="584"/>
        <v>2011</v>
      </c>
      <c r="F2580" s="3">
        <f t="shared" si="585"/>
        <v>8</v>
      </c>
      <c r="G2580" s="3">
        <f t="shared" si="586"/>
        <v>27</v>
      </c>
      <c r="H2580" s="3">
        <f t="shared" si="587"/>
        <v>18</v>
      </c>
      <c r="I2580" s="3">
        <f t="shared" si="588"/>
        <v>0</v>
      </c>
      <c r="J2580" s="3">
        <f t="shared" si="58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590"/>
        <v>YES</v>
      </c>
      <c r="Q2580" t="str">
        <f t="shared" si="591"/>
        <v>NO</v>
      </c>
      <c r="R2580" t="str">
        <f t="shared" si="592"/>
        <v>NO</v>
      </c>
      <c r="S2580">
        <v>55</v>
      </c>
      <c r="T2580" t="s">
        <v>37</v>
      </c>
      <c r="U2580" t="str">
        <f t="shared" si="593"/>
        <v>Magazine St</v>
      </c>
      <c r="W2580" t="str">
        <f t="shared" si="594"/>
        <v/>
      </c>
      <c r="X2580" t="str">
        <f>IF(ISBLANK(S2580),"Intersection","Non-Intersection")</f>
        <v>Non-Intersection</v>
      </c>
      <c r="Y2580" t="s">
        <v>3623</v>
      </c>
      <c r="Z2580" t="str">
        <f t="shared" si="595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582"/>
        <v>40544</v>
      </c>
      <c r="D2581" s="4">
        <f t="shared" si="583"/>
        <v>0.65205479452054793</v>
      </c>
      <c r="E2581" s="3">
        <f t="shared" si="584"/>
        <v>2011</v>
      </c>
      <c r="F2581" s="3">
        <f t="shared" si="585"/>
        <v>8</v>
      </c>
      <c r="G2581" s="3">
        <f t="shared" si="586"/>
        <v>27</v>
      </c>
      <c r="H2581" s="3">
        <f t="shared" si="587"/>
        <v>22</v>
      </c>
      <c r="I2581" s="3">
        <f t="shared" si="588"/>
        <v>30</v>
      </c>
      <c r="J2581" s="3">
        <f t="shared" si="58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590"/>
        <v>YES</v>
      </c>
      <c r="Q2581" t="str">
        <f t="shared" si="591"/>
        <v>NO</v>
      </c>
      <c r="R2581" t="str">
        <f t="shared" si="592"/>
        <v>NO</v>
      </c>
      <c r="S2581">
        <v>1967</v>
      </c>
      <c r="T2581" t="s">
        <v>14</v>
      </c>
      <c r="U2581" t="str">
        <f t="shared" si="593"/>
        <v>Massachusetts Ave</v>
      </c>
      <c r="W2581" t="str">
        <f t="shared" si="594"/>
        <v/>
      </c>
      <c r="X2581" t="str">
        <f>IF(ISBLANK(S2581),"Intersection","Non-Intersection")</f>
        <v>Non-Intersection</v>
      </c>
      <c r="Y2581" t="s">
        <v>3496</v>
      </c>
      <c r="Z2581" t="str">
        <f t="shared" si="595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582"/>
        <v>40544</v>
      </c>
      <c r="D2582" s="4">
        <f t="shared" si="583"/>
        <v>0.65479452054794518</v>
      </c>
      <c r="E2582" s="3">
        <f t="shared" si="584"/>
        <v>2011</v>
      </c>
      <c r="F2582" s="3">
        <f t="shared" si="585"/>
        <v>8</v>
      </c>
      <c r="G2582" s="3">
        <f t="shared" si="586"/>
        <v>28</v>
      </c>
      <c r="H2582" s="3">
        <f t="shared" si="587"/>
        <v>14</v>
      </c>
      <c r="I2582" s="3">
        <f t="shared" si="588"/>
        <v>23</v>
      </c>
      <c r="J2582" s="3">
        <f t="shared" si="58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590"/>
        <v>YES</v>
      </c>
      <c r="Q2582" t="str">
        <f t="shared" si="591"/>
        <v>NO</v>
      </c>
      <c r="R2582" t="str">
        <f t="shared" si="592"/>
        <v>NO</v>
      </c>
      <c r="T2582" t="s">
        <v>14</v>
      </c>
      <c r="U2582" t="str">
        <f t="shared" si="593"/>
        <v>Massachusetts Ave</v>
      </c>
      <c r="V2582" t="s">
        <v>553</v>
      </c>
      <c r="W2582" t="str">
        <f t="shared" si="594"/>
        <v>Cameron Ave</v>
      </c>
      <c r="X2582" t="str">
        <f>IF(ISBLANK(S2582),"Intersection","Non-Intersection")</f>
        <v>Intersection</v>
      </c>
      <c r="Y2582" t="s">
        <v>554</v>
      </c>
      <c r="Z2582" t="str">
        <f t="shared" si="595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582"/>
        <v>40544</v>
      </c>
      <c r="D2583" s="4">
        <f t="shared" si="583"/>
        <v>0.65479452054794518</v>
      </c>
      <c r="E2583" s="3">
        <f t="shared" si="584"/>
        <v>2011</v>
      </c>
      <c r="F2583" s="3">
        <f t="shared" si="585"/>
        <v>8</v>
      </c>
      <c r="G2583" s="3">
        <f t="shared" si="586"/>
        <v>28</v>
      </c>
      <c r="H2583" s="3">
        <f t="shared" si="587"/>
        <v>15</v>
      </c>
      <c r="I2583" s="3">
        <f t="shared" si="588"/>
        <v>59</v>
      </c>
      <c r="J2583" s="3">
        <f t="shared" si="58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590"/>
        <v>YES</v>
      </c>
      <c r="Q2583" t="str">
        <f t="shared" si="591"/>
        <v>NO</v>
      </c>
      <c r="R2583" t="str">
        <f t="shared" si="592"/>
        <v>NO</v>
      </c>
      <c r="T2583" t="s">
        <v>1024</v>
      </c>
      <c r="U2583" t="str">
        <f t="shared" si="593"/>
        <v>Kinnaird St</v>
      </c>
      <c r="W2583" t="str">
        <f t="shared" si="594"/>
        <v/>
      </c>
      <c r="X2583" t="str">
        <f>IF(ISBLANK(S2583),"Intersection","Non-Intersection")</f>
        <v>Intersection</v>
      </c>
      <c r="Y2583" t="s">
        <v>3625</v>
      </c>
      <c r="Z2583" t="str">
        <f t="shared" si="595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582"/>
        <v>40544</v>
      </c>
      <c r="D2584" s="4">
        <f t="shared" si="583"/>
        <v>0.65479452054794518</v>
      </c>
      <c r="E2584" s="3">
        <f t="shared" si="584"/>
        <v>2011</v>
      </c>
      <c r="F2584" s="3">
        <f t="shared" si="585"/>
        <v>8</v>
      </c>
      <c r="G2584" s="3">
        <f t="shared" si="586"/>
        <v>28</v>
      </c>
      <c r="H2584" s="3">
        <f t="shared" si="587"/>
        <v>21</v>
      </c>
      <c r="I2584" s="3">
        <f t="shared" si="588"/>
        <v>0</v>
      </c>
      <c r="J2584" s="3">
        <f t="shared" si="58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590"/>
        <v>YES</v>
      </c>
      <c r="Q2584" t="str">
        <f t="shared" si="591"/>
        <v>NO</v>
      </c>
      <c r="R2584" t="str">
        <f t="shared" si="592"/>
        <v>NO</v>
      </c>
      <c r="T2584" t="s">
        <v>14</v>
      </c>
      <c r="U2584" t="str">
        <f t="shared" si="593"/>
        <v>Massachusetts Ave</v>
      </c>
      <c r="W2584" t="str">
        <f t="shared" si="594"/>
        <v/>
      </c>
      <c r="X2584" t="str">
        <f>IF(ISBLANK(S2584),"Intersection","Non-Intersection")</f>
        <v>Intersection</v>
      </c>
      <c r="Y2584" t="s">
        <v>137</v>
      </c>
      <c r="Z2584" t="str">
        <f t="shared" si="595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582"/>
        <v>40544</v>
      </c>
      <c r="D2585" s="4">
        <f t="shared" si="583"/>
        <v>0.65753424657534243</v>
      </c>
      <c r="E2585" s="3">
        <f t="shared" si="584"/>
        <v>2011</v>
      </c>
      <c r="F2585" s="3">
        <f t="shared" si="585"/>
        <v>8</v>
      </c>
      <c r="G2585" s="3">
        <f t="shared" si="586"/>
        <v>29</v>
      </c>
      <c r="H2585" s="3">
        <f t="shared" si="587"/>
        <v>9</v>
      </c>
      <c r="I2585" s="3">
        <f t="shared" si="588"/>
        <v>0</v>
      </c>
      <c r="J2585" s="3">
        <f t="shared" si="58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590"/>
        <v>YES</v>
      </c>
      <c r="Q2585" t="str">
        <f t="shared" si="591"/>
        <v>YES</v>
      </c>
      <c r="R2585" t="str">
        <f t="shared" si="592"/>
        <v>NO</v>
      </c>
      <c r="T2585" t="s">
        <v>74</v>
      </c>
      <c r="U2585" t="str">
        <f t="shared" si="593"/>
        <v>Hampshire St</v>
      </c>
      <c r="V2585" t="s">
        <v>342</v>
      </c>
      <c r="W2585" t="str">
        <f t="shared" si="594"/>
        <v>Prospect St</v>
      </c>
      <c r="X2585" t="str">
        <f>IF(ISBLANK(S2585),"Intersection","Non-Intersection")</f>
        <v>Intersection</v>
      </c>
      <c r="Y2585" t="s">
        <v>462</v>
      </c>
      <c r="Z2585" t="str">
        <f t="shared" si="595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582"/>
        <v>40544</v>
      </c>
      <c r="D2586" s="4">
        <f t="shared" si="583"/>
        <v>0.65753424657534243</v>
      </c>
      <c r="E2586" s="3">
        <f t="shared" si="584"/>
        <v>2011</v>
      </c>
      <c r="F2586" s="3">
        <f t="shared" si="585"/>
        <v>8</v>
      </c>
      <c r="G2586" s="3">
        <f t="shared" si="586"/>
        <v>29</v>
      </c>
      <c r="H2586" s="3">
        <f t="shared" si="587"/>
        <v>12</v>
      </c>
      <c r="I2586" s="3">
        <f t="shared" si="588"/>
        <v>0</v>
      </c>
      <c r="J2586" s="3">
        <f t="shared" si="58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590"/>
        <v>YES</v>
      </c>
      <c r="Q2586" t="str">
        <f t="shared" si="591"/>
        <v>NO</v>
      </c>
      <c r="R2586" t="str">
        <f t="shared" si="592"/>
        <v>NO</v>
      </c>
      <c r="T2586" t="s">
        <v>61</v>
      </c>
      <c r="U2586" t="str">
        <f t="shared" si="593"/>
        <v>First St</v>
      </c>
      <c r="W2586" t="str">
        <f t="shared" si="594"/>
        <v/>
      </c>
      <c r="X2586" t="str">
        <f>IF(ISBLANK(S2586),"Intersection","Non-Intersection")</f>
        <v>Intersection</v>
      </c>
      <c r="Y2586" t="s">
        <v>3626</v>
      </c>
      <c r="Z2586" t="str">
        <f t="shared" si="595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582"/>
        <v>40544</v>
      </c>
      <c r="D2587" s="4">
        <f t="shared" si="583"/>
        <v>0.65753424657534243</v>
      </c>
      <c r="E2587" s="3">
        <f t="shared" si="584"/>
        <v>2011</v>
      </c>
      <c r="F2587" s="3">
        <f t="shared" si="585"/>
        <v>8</v>
      </c>
      <c r="G2587" s="3">
        <f t="shared" si="586"/>
        <v>29</v>
      </c>
      <c r="H2587" s="3">
        <f t="shared" si="587"/>
        <v>14</v>
      </c>
      <c r="I2587" s="3">
        <f t="shared" si="588"/>
        <v>28</v>
      </c>
      <c r="J2587" s="3">
        <f t="shared" si="58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590"/>
        <v>YES</v>
      </c>
      <c r="Q2587" t="str">
        <f t="shared" si="591"/>
        <v>NO</v>
      </c>
      <c r="R2587" t="str">
        <f t="shared" si="592"/>
        <v>NO</v>
      </c>
      <c r="S2587">
        <v>1369</v>
      </c>
      <c r="T2587" t="s">
        <v>19</v>
      </c>
      <c r="U2587" t="str">
        <f t="shared" si="593"/>
        <v>Cambridge St</v>
      </c>
      <c r="V2587" t="s">
        <v>526</v>
      </c>
      <c r="W2587" t="str">
        <f t="shared" si="594"/>
        <v>Springfield St</v>
      </c>
      <c r="X2587" t="str">
        <f>IF(ISBLANK(S2587),"Intersection","Non-Intersection")</f>
        <v>Non-Intersection</v>
      </c>
      <c r="Y2587" t="s">
        <v>3627</v>
      </c>
      <c r="Z2587" t="str">
        <f t="shared" si="595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582"/>
        <v>40544</v>
      </c>
      <c r="D2588" s="4">
        <f t="shared" si="583"/>
        <v>0.65753424657534243</v>
      </c>
      <c r="E2588" s="3">
        <f t="shared" si="584"/>
        <v>2011</v>
      </c>
      <c r="F2588" s="3">
        <f t="shared" si="585"/>
        <v>8</v>
      </c>
      <c r="G2588" s="3">
        <f t="shared" si="586"/>
        <v>29</v>
      </c>
      <c r="H2588" s="3">
        <f t="shared" si="587"/>
        <v>17</v>
      </c>
      <c r="I2588" s="3">
        <f t="shared" si="588"/>
        <v>0</v>
      </c>
      <c r="J2588" s="3">
        <f t="shared" si="58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590"/>
        <v>YES</v>
      </c>
      <c r="Q2588" t="str">
        <f t="shared" si="591"/>
        <v>NO</v>
      </c>
      <c r="R2588" t="str">
        <f t="shared" si="592"/>
        <v>YES</v>
      </c>
      <c r="T2588" t="s">
        <v>104</v>
      </c>
      <c r="U2588" t="str">
        <f t="shared" si="593"/>
        <v>Inman St</v>
      </c>
      <c r="V2588" t="s">
        <v>316</v>
      </c>
      <c r="W2588" t="str">
        <f t="shared" si="594"/>
        <v>Bishop Allen Dr</v>
      </c>
      <c r="X2588" t="str">
        <f>IF(ISBLANK(S2588),"Intersection","Non-Intersection")</f>
        <v>Intersection</v>
      </c>
      <c r="Y2588" t="s">
        <v>1839</v>
      </c>
      <c r="Z2588" t="str">
        <f t="shared" si="595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582"/>
        <v>40544</v>
      </c>
      <c r="D2589" s="4">
        <f t="shared" si="583"/>
        <v>0.65753424657534243</v>
      </c>
      <c r="E2589" s="3">
        <f t="shared" si="584"/>
        <v>2011</v>
      </c>
      <c r="F2589" s="3">
        <f t="shared" si="585"/>
        <v>8</v>
      </c>
      <c r="G2589" s="3">
        <f t="shared" si="586"/>
        <v>29</v>
      </c>
      <c r="H2589" s="3">
        <f t="shared" si="587"/>
        <v>20</v>
      </c>
      <c r="I2589" s="3">
        <f t="shared" si="588"/>
        <v>0</v>
      </c>
      <c r="J2589" s="3">
        <f t="shared" si="58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590"/>
        <v>YES</v>
      </c>
      <c r="Q2589" t="str">
        <f t="shared" si="591"/>
        <v>NO</v>
      </c>
      <c r="R2589" t="str">
        <f t="shared" si="592"/>
        <v>NO</v>
      </c>
      <c r="S2589">
        <v>160</v>
      </c>
      <c r="T2589" t="s">
        <v>170</v>
      </c>
      <c r="U2589" t="str">
        <f t="shared" si="593"/>
        <v>Alewife Brook Pky</v>
      </c>
      <c r="W2589" t="str">
        <f t="shared" si="594"/>
        <v/>
      </c>
      <c r="X2589" t="str">
        <f>IF(ISBLANK(S2589),"Intersection","Non-Intersection")</f>
        <v>Non-Intersection</v>
      </c>
      <c r="Y2589" t="s">
        <v>3629</v>
      </c>
      <c r="Z2589" t="str">
        <f t="shared" si="595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582"/>
        <v>40544</v>
      </c>
      <c r="D2590" s="4">
        <f t="shared" si="583"/>
        <v>0.65753424657534243</v>
      </c>
      <c r="E2590" s="3">
        <f t="shared" si="584"/>
        <v>2011</v>
      </c>
      <c r="F2590" s="3">
        <f t="shared" si="585"/>
        <v>8</v>
      </c>
      <c r="G2590" s="3">
        <f t="shared" si="586"/>
        <v>29</v>
      </c>
      <c r="H2590" s="3">
        <f t="shared" si="587"/>
        <v>18</v>
      </c>
      <c r="I2590" s="3">
        <f t="shared" si="588"/>
        <v>0</v>
      </c>
      <c r="J2590" s="3">
        <f t="shared" si="58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590"/>
        <v>YES</v>
      </c>
      <c r="Q2590" t="str">
        <f t="shared" si="591"/>
        <v>NO</v>
      </c>
      <c r="R2590" t="str">
        <f t="shared" si="592"/>
        <v>NO</v>
      </c>
      <c r="S2590">
        <v>202</v>
      </c>
      <c r="T2590" t="s">
        <v>170</v>
      </c>
      <c r="U2590" t="str">
        <f t="shared" si="593"/>
        <v>Alewife Brook Pky</v>
      </c>
      <c r="W2590" t="str">
        <f t="shared" si="594"/>
        <v/>
      </c>
      <c r="X2590" t="str">
        <f>IF(ISBLANK(S2590),"Intersection","Non-Intersection")</f>
        <v>Non-Intersection</v>
      </c>
      <c r="Y2590" t="s">
        <v>3631</v>
      </c>
      <c r="Z2590" t="str">
        <f t="shared" si="595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582"/>
        <v>40544</v>
      </c>
      <c r="D2591" s="4">
        <f t="shared" si="583"/>
        <v>0.65753424657534243</v>
      </c>
      <c r="E2591" s="3">
        <f t="shared" si="584"/>
        <v>2011</v>
      </c>
      <c r="F2591" s="3">
        <f t="shared" si="585"/>
        <v>8</v>
      </c>
      <c r="G2591" s="3">
        <f t="shared" si="586"/>
        <v>29</v>
      </c>
      <c r="H2591" s="3">
        <f t="shared" si="587"/>
        <v>18</v>
      </c>
      <c r="I2591" s="3">
        <f t="shared" si="588"/>
        <v>59</v>
      </c>
      <c r="J2591" s="3">
        <f t="shared" si="58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590"/>
        <v>YES</v>
      </c>
      <c r="Q2591" t="str">
        <f t="shared" si="591"/>
        <v>NO</v>
      </c>
      <c r="R2591" t="str">
        <f t="shared" si="592"/>
        <v>NO</v>
      </c>
      <c r="S2591">
        <v>22</v>
      </c>
      <c r="T2591" t="s">
        <v>3633</v>
      </c>
      <c r="U2591" t="str">
        <f t="shared" si="593"/>
        <v>Mount Pleasant St</v>
      </c>
      <c r="W2591" t="str">
        <f t="shared" si="594"/>
        <v/>
      </c>
      <c r="X2591" t="str">
        <f>IF(ISBLANK(S2591),"Intersection","Non-Intersection")</f>
        <v>Non-Intersection</v>
      </c>
      <c r="Y2591" t="s">
        <v>3634</v>
      </c>
      <c r="Z2591" t="str">
        <f t="shared" si="595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582"/>
        <v>40544</v>
      </c>
      <c r="D2592" s="4">
        <f t="shared" si="583"/>
        <v>0.65753424657534243</v>
      </c>
      <c r="E2592" s="3">
        <f t="shared" si="584"/>
        <v>2011</v>
      </c>
      <c r="F2592" s="3">
        <f t="shared" si="585"/>
        <v>8</v>
      </c>
      <c r="G2592" s="3">
        <f t="shared" si="586"/>
        <v>29</v>
      </c>
      <c r="H2592" s="3">
        <f t="shared" si="587"/>
        <v>18</v>
      </c>
      <c r="I2592" s="3">
        <f t="shared" si="588"/>
        <v>59</v>
      </c>
      <c r="J2592" s="3">
        <f t="shared" si="58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590"/>
        <v>YES</v>
      </c>
      <c r="Q2592" t="str">
        <f t="shared" si="591"/>
        <v>NO</v>
      </c>
      <c r="R2592" t="str">
        <f t="shared" si="592"/>
        <v>NO</v>
      </c>
      <c r="S2592">
        <v>44</v>
      </c>
      <c r="T2592" t="s">
        <v>1389</v>
      </c>
      <c r="U2592" t="str">
        <f t="shared" si="593"/>
        <v>Dover St</v>
      </c>
      <c r="W2592" t="str">
        <f t="shared" si="594"/>
        <v/>
      </c>
      <c r="X2592" t="str">
        <f>IF(ISBLANK(S2592),"Intersection","Non-Intersection")</f>
        <v>Non-Intersection</v>
      </c>
      <c r="Y2592" t="s">
        <v>2419</v>
      </c>
      <c r="Z2592" t="str">
        <f t="shared" si="595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582"/>
        <v>40544</v>
      </c>
      <c r="D2593" s="4">
        <f t="shared" si="583"/>
        <v>0.66027397260273968</v>
      </c>
      <c r="E2593" s="3">
        <f t="shared" si="584"/>
        <v>2011</v>
      </c>
      <c r="F2593" s="3">
        <f t="shared" si="585"/>
        <v>8</v>
      </c>
      <c r="G2593" s="3">
        <f t="shared" si="586"/>
        <v>30</v>
      </c>
      <c r="H2593" s="3">
        <f t="shared" si="587"/>
        <v>11</v>
      </c>
      <c r="I2593" s="3">
        <f t="shared" si="588"/>
        <v>4</v>
      </c>
      <c r="J2593" s="3">
        <f t="shared" si="58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590"/>
        <v>YES</v>
      </c>
      <c r="Q2593" t="str">
        <f t="shared" si="591"/>
        <v>NO</v>
      </c>
      <c r="R2593" t="str">
        <f t="shared" si="592"/>
        <v>NO</v>
      </c>
      <c r="T2593" t="s">
        <v>100</v>
      </c>
      <c r="U2593" t="str">
        <f t="shared" si="593"/>
        <v>Suffolk St</v>
      </c>
      <c r="V2593" t="s">
        <v>101</v>
      </c>
      <c r="W2593" t="str">
        <f t="shared" si="594"/>
        <v>Columbia St</v>
      </c>
      <c r="X2593" t="str">
        <f>IF(ISBLANK(S2593),"Intersection","Non-Intersection")</f>
        <v>Intersection</v>
      </c>
      <c r="Y2593" t="s">
        <v>3636</v>
      </c>
      <c r="Z2593" t="str">
        <f t="shared" si="595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582"/>
        <v>40544</v>
      </c>
      <c r="D2594" s="4">
        <f t="shared" si="583"/>
        <v>0.66027397260273968</v>
      </c>
      <c r="E2594" s="3">
        <f t="shared" si="584"/>
        <v>2011</v>
      </c>
      <c r="F2594" s="3">
        <f t="shared" si="585"/>
        <v>8</v>
      </c>
      <c r="G2594" s="3">
        <f t="shared" si="586"/>
        <v>30</v>
      </c>
      <c r="H2594" s="3">
        <f t="shared" si="587"/>
        <v>12</v>
      </c>
      <c r="I2594" s="3">
        <f t="shared" si="588"/>
        <v>30</v>
      </c>
      <c r="J2594" s="3">
        <f t="shared" si="58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590"/>
        <v>YES</v>
      </c>
      <c r="Q2594" t="str">
        <f t="shared" si="591"/>
        <v>NO</v>
      </c>
      <c r="R2594" t="str">
        <f t="shared" si="592"/>
        <v>NO</v>
      </c>
      <c r="S2594">
        <v>575</v>
      </c>
      <c r="T2594" t="s">
        <v>14</v>
      </c>
      <c r="U2594" t="str">
        <f t="shared" si="593"/>
        <v>Massachusetts Ave</v>
      </c>
      <c r="W2594" t="str">
        <f t="shared" si="594"/>
        <v/>
      </c>
      <c r="X2594" t="str">
        <f>IF(ISBLANK(S2594),"Intersection","Non-Intersection")</f>
        <v>Non-Intersection</v>
      </c>
      <c r="Y2594" t="s">
        <v>2147</v>
      </c>
      <c r="Z2594" t="str">
        <f t="shared" si="595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582"/>
        <v>40544</v>
      </c>
      <c r="D2595" s="4">
        <f t="shared" si="583"/>
        <v>0.66027397260273968</v>
      </c>
      <c r="E2595" s="3">
        <f t="shared" si="584"/>
        <v>2011</v>
      </c>
      <c r="F2595" s="3">
        <f t="shared" si="585"/>
        <v>8</v>
      </c>
      <c r="G2595" s="3">
        <f t="shared" si="586"/>
        <v>30</v>
      </c>
      <c r="H2595" s="3">
        <f t="shared" si="587"/>
        <v>13</v>
      </c>
      <c r="I2595" s="3">
        <f t="shared" si="588"/>
        <v>30</v>
      </c>
      <c r="J2595" s="3">
        <f t="shared" si="58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590"/>
        <v>YES</v>
      </c>
      <c r="Q2595" t="str">
        <f t="shared" si="591"/>
        <v>NO</v>
      </c>
      <c r="R2595" t="str">
        <f t="shared" si="592"/>
        <v>NO</v>
      </c>
      <c r="T2595" t="s">
        <v>19</v>
      </c>
      <c r="U2595" t="str">
        <f t="shared" si="593"/>
        <v>Cambridge St</v>
      </c>
      <c r="V2595" t="s">
        <v>260</v>
      </c>
      <c r="W2595" t="str">
        <f t="shared" si="594"/>
        <v>Third St</v>
      </c>
      <c r="X2595" t="str">
        <f>IF(ISBLANK(S2595),"Intersection","Non-Intersection")</f>
        <v>Intersection</v>
      </c>
      <c r="Y2595" t="s">
        <v>640</v>
      </c>
      <c r="Z2595" t="str">
        <f t="shared" si="595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582"/>
        <v>40544</v>
      </c>
      <c r="D2596" s="4">
        <f t="shared" si="583"/>
        <v>0.66027397260273968</v>
      </c>
      <c r="E2596" s="3">
        <f t="shared" si="584"/>
        <v>2011</v>
      </c>
      <c r="F2596" s="3">
        <f t="shared" si="585"/>
        <v>8</v>
      </c>
      <c r="G2596" s="3">
        <f t="shared" si="586"/>
        <v>30</v>
      </c>
      <c r="H2596" s="3">
        <f t="shared" si="587"/>
        <v>17</v>
      </c>
      <c r="I2596" s="3">
        <f t="shared" si="588"/>
        <v>0</v>
      </c>
      <c r="J2596" s="3">
        <f t="shared" si="58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590"/>
        <v>YES</v>
      </c>
      <c r="Q2596" t="str">
        <f t="shared" si="591"/>
        <v>NO</v>
      </c>
      <c r="R2596" t="str">
        <f t="shared" si="592"/>
        <v>NO</v>
      </c>
      <c r="S2596">
        <v>1</v>
      </c>
      <c r="T2596" t="s">
        <v>3638</v>
      </c>
      <c r="U2596" t="str">
        <f t="shared" si="593"/>
        <v>Arrow St</v>
      </c>
      <c r="W2596" t="str">
        <f t="shared" si="594"/>
        <v/>
      </c>
      <c r="X2596" t="str">
        <f>IF(ISBLANK(S2596),"Intersection","Non-Intersection")</f>
        <v>Non-Intersection</v>
      </c>
      <c r="Y2596" t="s">
        <v>3639</v>
      </c>
      <c r="Z2596" t="str">
        <f t="shared" si="595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582"/>
        <v>40544</v>
      </c>
      <c r="D2597" s="4">
        <f t="shared" si="583"/>
        <v>0.66027397260273968</v>
      </c>
      <c r="E2597" s="3">
        <f t="shared" si="584"/>
        <v>2011</v>
      </c>
      <c r="F2597" s="3">
        <f t="shared" si="585"/>
        <v>8</v>
      </c>
      <c r="G2597" s="3">
        <f t="shared" si="586"/>
        <v>30</v>
      </c>
      <c r="H2597" s="3">
        <f t="shared" si="587"/>
        <v>14</v>
      </c>
      <c r="I2597" s="3">
        <f t="shared" si="588"/>
        <v>29</v>
      </c>
      <c r="J2597" s="3">
        <f t="shared" si="58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590"/>
        <v>YES</v>
      </c>
      <c r="Q2597" t="str">
        <f t="shared" si="591"/>
        <v>NO</v>
      </c>
      <c r="R2597" t="str">
        <f t="shared" si="592"/>
        <v>NO</v>
      </c>
      <c r="T2597" t="s">
        <v>302</v>
      </c>
      <c r="U2597" t="str">
        <f t="shared" si="593"/>
        <v>Waterhouse St</v>
      </c>
      <c r="W2597" t="str">
        <f t="shared" si="594"/>
        <v/>
      </c>
      <c r="X2597" t="str">
        <f>IF(ISBLANK(S2597),"Intersection","Non-Intersection")</f>
        <v>Intersection</v>
      </c>
      <c r="Y2597" t="s">
        <v>3641</v>
      </c>
      <c r="Z2597" t="str">
        <f t="shared" si="595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582"/>
        <v>40544</v>
      </c>
      <c r="D2598" s="4">
        <f t="shared" si="583"/>
        <v>0.66301369863013704</v>
      </c>
      <c r="E2598" s="3">
        <f t="shared" si="584"/>
        <v>2011</v>
      </c>
      <c r="F2598" s="3">
        <f t="shared" si="585"/>
        <v>8</v>
      </c>
      <c r="G2598" s="3">
        <f t="shared" si="586"/>
        <v>31</v>
      </c>
      <c r="H2598" s="3">
        <f t="shared" si="587"/>
        <v>13</v>
      </c>
      <c r="I2598" s="3">
        <f t="shared" si="588"/>
        <v>51</v>
      </c>
      <c r="J2598" s="3">
        <f t="shared" si="58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590"/>
        <v>YES</v>
      </c>
      <c r="Q2598" t="str">
        <f t="shared" si="591"/>
        <v>NO</v>
      </c>
      <c r="R2598" t="str">
        <f t="shared" si="592"/>
        <v>NO</v>
      </c>
      <c r="S2598" t="s">
        <v>3642</v>
      </c>
      <c r="T2598" t="s">
        <v>105</v>
      </c>
      <c r="U2598" t="str">
        <f t="shared" si="593"/>
        <v>Broadway</v>
      </c>
      <c r="W2598" t="str">
        <f t="shared" si="594"/>
        <v/>
      </c>
      <c r="X2598" t="str">
        <f>IF(ISBLANK(S2598),"Intersection","Non-Intersection")</f>
        <v>Non-Intersection</v>
      </c>
      <c r="Y2598" t="s">
        <v>3643</v>
      </c>
      <c r="Z2598" t="str">
        <f t="shared" si="595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582"/>
        <v>40544</v>
      </c>
      <c r="D2599" s="4">
        <f t="shared" si="583"/>
        <v>0.66301369863013704</v>
      </c>
      <c r="E2599" s="3">
        <f t="shared" si="584"/>
        <v>2011</v>
      </c>
      <c r="F2599" s="3">
        <f t="shared" si="585"/>
        <v>8</v>
      </c>
      <c r="G2599" s="3">
        <f t="shared" si="586"/>
        <v>31</v>
      </c>
      <c r="H2599" s="3">
        <f t="shared" si="587"/>
        <v>9</v>
      </c>
      <c r="I2599" s="3">
        <f t="shared" si="588"/>
        <v>10</v>
      </c>
      <c r="J2599" s="3">
        <f t="shared" si="58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590"/>
        <v>YES</v>
      </c>
      <c r="Q2599" t="str">
        <f t="shared" si="591"/>
        <v>NO</v>
      </c>
      <c r="R2599" t="str">
        <f t="shared" si="592"/>
        <v>NO</v>
      </c>
      <c r="S2599">
        <v>450</v>
      </c>
      <c r="T2599" t="s">
        <v>42</v>
      </c>
      <c r="U2599" t="str">
        <f t="shared" si="593"/>
        <v>Putnam Ave</v>
      </c>
      <c r="W2599" t="str">
        <f t="shared" si="594"/>
        <v/>
      </c>
      <c r="X2599" t="str">
        <f>IF(ISBLANK(S2599),"Intersection","Non-Intersection")</f>
        <v>Non-Intersection</v>
      </c>
      <c r="Y2599" t="s">
        <v>3645</v>
      </c>
      <c r="Z2599" t="str">
        <f t="shared" si="595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582"/>
        <v>40544</v>
      </c>
      <c r="D2600" s="4">
        <f t="shared" si="583"/>
        <v>0.66301369863013704</v>
      </c>
      <c r="E2600" s="3">
        <f t="shared" si="584"/>
        <v>2011</v>
      </c>
      <c r="F2600" s="3">
        <f t="shared" si="585"/>
        <v>8</v>
      </c>
      <c r="G2600" s="3">
        <f t="shared" si="586"/>
        <v>31</v>
      </c>
      <c r="H2600" s="3">
        <f t="shared" si="587"/>
        <v>10</v>
      </c>
      <c r="I2600" s="3">
        <f t="shared" si="588"/>
        <v>21</v>
      </c>
      <c r="J2600" s="3">
        <f t="shared" si="58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590"/>
        <v>YES</v>
      </c>
      <c r="Q2600" t="str">
        <f t="shared" si="591"/>
        <v>YES</v>
      </c>
      <c r="R2600" t="str">
        <f t="shared" si="592"/>
        <v>NO</v>
      </c>
      <c r="T2600" t="s">
        <v>19</v>
      </c>
      <c r="U2600" t="str">
        <f t="shared" si="593"/>
        <v>Cambridge St</v>
      </c>
      <c r="V2600" t="s">
        <v>189</v>
      </c>
      <c r="W2600" t="str">
        <f t="shared" si="594"/>
        <v>Windsor St</v>
      </c>
      <c r="X2600" t="str">
        <f>IF(ISBLANK(S2600),"Intersection","Non-Intersection")</f>
        <v>Intersection</v>
      </c>
      <c r="Y2600" t="s">
        <v>244</v>
      </c>
      <c r="Z2600" t="str">
        <f t="shared" si="595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582"/>
        <v>40544</v>
      </c>
      <c r="D2601" s="4">
        <f t="shared" si="583"/>
        <v>0.66301369863013704</v>
      </c>
      <c r="E2601" s="3">
        <f t="shared" si="584"/>
        <v>2011</v>
      </c>
      <c r="F2601" s="3">
        <f t="shared" si="585"/>
        <v>8</v>
      </c>
      <c r="G2601" s="3">
        <f t="shared" si="586"/>
        <v>31</v>
      </c>
      <c r="H2601" s="3">
        <f t="shared" si="587"/>
        <v>14</v>
      </c>
      <c r="I2601" s="3">
        <f t="shared" si="588"/>
        <v>49</v>
      </c>
      <c r="J2601" s="3">
        <f t="shared" si="58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590"/>
        <v>YES</v>
      </c>
      <c r="Q2601" t="str">
        <f t="shared" si="591"/>
        <v>NO</v>
      </c>
      <c r="R2601" t="str">
        <f t="shared" si="592"/>
        <v>NO</v>
      </c>
      <c r="T2601" t="s">
        <v>69</v>
      </c>
      <c r="U2601" t="str">
        <f t="shared" si="593"/>
        <v>Henry St</v>
      </c>
      <c r="V2601" t="s">
        <v>850</v>
      </c>
      <c r="W2601" t="str">
        <f t="shared" si="594"/>
        <v>Rockingham St</v>
      </c>
      <c r="X2601" t="str">
        <f>IF(ISBLANK(S2601),"Intersection","Non-Intersection")</f>
        <v>Intersection</v>
      </c>
      <c r="Y2601" t="s">
        <v>3647</v>
      </c>
      <c r="Z2601" t="str">
        <f t="shared" si="595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582"/>
        <v>40544</v>
      </c>
      <c r="D2602" s="4">
        <f t="shared" si="583"/>
        <v>0.66301369863013704</v>
      </c>
      <c r="E2602" s="3">
        <f t="shared" si="584"/>
        <v>2011</v>
      </c>
      <c r="F2602" s="3">
        <f t="shared" si="585"/>
        <v>8</v>
      </c>
      <c r="G2602" s="3">
        <f t="shared" si="586"/>
        <v>31</v>
      </c>
      <c r="H2602" s="3">
        <f t="shared" si="587"/>
        <v>15</v>
      </c>
      <c r="I2602" s="3">
        <f t="shared" si="588"/>
        <v>10</v>
      </c>
      <c r="J2602" s="3">
        <f t="shared" si="58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590"/>
        <v>YES</v>
      </c>
      <c r="Q2602" t="str">
        <f t="shared" si="591"/>
        <v>YES</v>
      </c>
      <c r="R2602" t="str">
        <f t="shared" si="592"/>
        <v>NO</v>
      </c>
      <c r="S2602">
        <v>1039</v>
      </c>
      <c r="T2602" t="s">
        <v>14</v>
      </c>
      <c r="U2602" t="str">
        <f t="shared" si="593"/>
        <v>Massachusetts Ave</v>
      </c>
      <c r="V2602" t="s">
        <v>805</v>
      </c>
      <c r="W2602" t="str">
        <f t="shared" si="594"/>
        <v>Trowbridge St</v>
      </c>
      <c r="X2602" t="str">
        <f>IF(ISBLANK(S2602),"Intersection","Non-Intersection")</f>
        <v>Non-Intersection</v>
      </c>
      <c r="Y2602" t="s">
        <v>3649</v>
      </c>
      <c r="Z2602" t="str">
        <f t="shared" si="595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582"/>
        <v>40544</v>
      </c>
      <c r="D2603" s="4">
        <f t="shared" si="583"/>
        <v>0.66301369863013704</v>
      </c>
      <c r="E2603" s="3">
        <f t="shared" si="584"/>
        <v>2011</v>
      </c>
      <c r="F2603" s="3">
        <f t="shared" si="585"/>
        <v>8</v>
      </c>
      <c r="G2603" s="3">
        <f t="shared" si="586"/>
        <v>31</v>
      </c>
      <c r="H2603" s="3">
        <f t="shared" si="587"/>
        <v>15</v>
      </c>
      <c r="I2603" s="3">
        <f t="shared" si="588"/>
        <v>21</v>
      </c>
      <c r="J2603" s="3">
        <f t="shared" si="58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590"/>
        <v>YES</v>
      </c>
      <c r="Q2603" t="str">
        <f t="shared" si="591"/>
        <v>NO</v>
      </c>
      <c r="R2603" t="str">
        <f t="shared" si="592"/>
        <v>NO</v>
      </c>
      <c r="T2603" t="s">
        <v>45</v>
      </c>
      <c r="U2603" t="str">
        <f t="shared" si="593"/>
        <v>Sherman St</v>
      </c>
      <c r="V2603" t="s">
        <v>252</v>
      </c>
      <c r="W2603" t="str">
        <f t="shared" si="594"/>
        <v>Walden St</v>
      </c>
      <c r="X2603" t="str">
        <f>IF(ISBLANK(S2603),"Intersection","Non-Intersection")</f>
        <v>Intersection</v>
      </c>
      <c r="Y2603" t="s">
        <v>3265</v>
      </c>
      <c r="Z2603" t="str">
        <f t="shared" si="595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582"/>
        <v>40544</v>
      </c>
      <c r="D2604" s="4">
        <f t="shared" si="583"/>
        <v>0.66301369863013704</v>
      </c>
      <c r="E2604" s="3">
        <f t="shared" si="584"/>
        <v>2011</v>
      </c>
      <c r="F2604" s="3">
        <f t="shared" si="585"/>
        <v>8</v>
      </c>
      <c r="G2604" s="3">
        <f t="shared" si="586"/>
        <v>31</v>
      </c>
      <c r="H2604" s="3">
        <f t="shared" si="587"/>
        <v>16</v>
      </c>
      <c r="I2604" s="3">
        <f t="shared" si="588"/>
        <v>21</v>
      </c>
      <c r="J2604" s="3">
        <f t="shared" si="58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590"/>
        <v>YES</v>
      </c>
      <c r="Q2604" t="str">
        <f t="shared" si="591"/>
        <v>YES</v>
      </c>
      <c r="R2604" t="str">
        <f t="shared" si="592"/>
        <v>NO</v>
      </c>
      <c r="T2604" t="s">
        <v>387</v>
      </c>
      <c r="U2604" t="str">
        <f t="shared" si="593"/>
        <v>Antrim St</v>
      </c>
      <c r="W2604" t="str">
        <f t="shared" si="594"/>
        <v/>
      </c>
      <c r="X2604" t="str">
        <f>IF(ISBLANK(S2604),"Intersection","Non-Intersection")</f>
        <v>Intersection</v>
      </c>
      <c r="Y2604" t="s">
        <v>3651</v>
      </c>
      <c r="Z2604" t="str">
        <f t="shared" si="595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582"/>
        <v>40544</v>
      </c>
      <c r="D2605" s="4">
        <f t="shared" si="583"/>
        <v>0.66301369863013704</v>
      </c>
      <c r="E2605" s="3">
        <f t="shared" si="584"/>
        <v>2011</v>
      </c>
      <c r="F2605" s="3">
        <f t="shared" si="585"/>
        <v>8</v>
      </c>
      <c r="G2605" s="3">
        <f t="shared" si="586"/>
        <v>31</v>
      </c>
      <c r="H2605" s="3">
        <f t="shared" si="587"/>
        <v>17</v>
      </c>
      <c r="I2605" s="3">
        <f t="shared" si="588"/>
        <v>15</v>
      </c>
      <c r="J2605" s="3">
        <f t="shared" si="58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590"/>
        <v>YES</v>
      </c>
      <c r="Q2605" t="str">
        <f t="shared" si="591"/>
        <v>NO</v>
      </c>
      <c r="R2605" t="str">
        <f t="shared" si="592"/>
        <v>NO</v>
      </c>
      <c r="T2605" t="s">
        <v>316</v>
      </c>
      <c r="U2605" t="str">
        <f t="shared" si="593"/>
        <v>Bishop Allen Dr</v>
      </c>
      <c r="W2605" t="str">
        <f t="shared" si="594"/>
        <v/>
      </c>
      <c r="X2605" t="str">
        <f>IF(ISBLANK(S2605),"Intersection","Non-Intersection")</f>
        <v>Intersection</v>
      </c>
      <c r="Y2605" t="s">
        <v>1374</v>
      </c>
      <c r="Z2605" t="str">
        <f t="shared" si="595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582"/>
        <v>40544</v>
      </c>
      <c r="D2606" s="4">
        <f t="shared" si="583"/>
        <v>0.66301369863013704</v>
      </c>
      <c r="E2606" s="3">
        <f t="shared" si="584"/>
        <v>2011</v>
      </c>
      <c r="F2606" s="3">
        <f t="shared" si="585"/>
        <v>8</v>
      </c>
      <c r="G2606" s="3">
        <f t="shared" si="586"/>
        <v>31</v>
      </c>
      <c r="H2606" s="3">
        <f t="shared" si="587"/>
        <v>22</v>
      </c>
      <c r="I2606" s="3">
        <f t="shared" si="588"/>
        <v>15</v>
      </c>
      <c r="J2606" s="3">
        <f t="shared" si="58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590"/>
        <v>YES</v>
      </c>
      <c r="Q2606" t="str">
        <f t="shared" si="591"/>
        <v>NO</v>
      </c>
      <c r="R2606" t="str">
        <f t="shared" si="592"/>
        <v>NO</v>
      </c>
      <c r="T2606" t="s">
        <v>14</v>
      </c>
      <c r="U2606" t="str">
        <f t="shared" si="593"/>
        <v>Massachusetts Ave</v>
      </c>
      <c r="V2606" t="s">
        <v>340</v>
      </c>
      <c r="W2606" t="str">
        <f t="shared" si="594"/>
        <v>Davenport St</v>
      </c>
      <c r="X2606" t="str">
        <f>IF(ISBLANK(S2606),"Intersection","Non-Intersection")</f>
        <v>Intersection</v>
      </c>
      <c r="Y2606" t="s">
        <v>1394</v>
      </c>
      <c r="Z2606" t="str">
        <f t="shared" si="595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582"/>
        <v>40544</v>
      </c>
      <c r="D2607" s="4">
        <f t="shared" si="583"/>
        <v>0.66301369863013704</v>
      </c>
      <c r="E2607" s="3">
        <f t="shared" si="584"/>
        <v>2011</v>
      </c>
      <c r="F2607" s="3">
        <f t="shared" si="585"/>
        <v>8</v>
      </c>
      <c r="G2607" s="3">
        <f t="shared" si="586"/>
        <v>31</v>
      </c>
      <c r="H2607" s="3">
        <f t="shared" si="587"/>
        <v>18</v>
      </c>
      <c r="I2607" s="3">
        <f t="shared" si="588"/>
        <v>14</v>
      </c>
      <c r="J2607" s="3">
        <f t="shared" si="58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590"/>
        <v>YES</v>
      </c>
      <c r="Q2607" t="str">
        <f t="shared" si="591"/>
        <v>NO</v>
      </c>
      <c r="R2607" t="str">
        <f t="shared" si="592"/>
        <v>NO</v>
      </c>
      <c r="S2607">
        <v>1</v>
      </c>
      <c r="T2607" t="s">
        <v>1958</v>
      </c>
      <c r="U2607" t="str">
        <f t="shared" si="593"/>
        <v>Porter Cir</v>
      </c>
      <c r="W2607" t="str">
        <f t="shared" si="594"/>
        <v/>
      </c>
      <c r="X2607" t="str">
        <f>IF(ISBLANK(S2607),"Intersection","Non-Intersection")</f>
        <v>Non-Intersection</v>
      </c>
      <c r="Y2607" t="s">
        <v>3652</v>
      </c>
      <c r="Z2607" t="str">
        <f t="shared" si="595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582"/>
        <v>40544</v>
      </c>
      <c r="D2608" s="4">
        <f t="shared" si="583"/>
        <v>0.66301369863013704</v>
      </c>
      <c r="E2608" s="3">
        <f t="shared" si="584"/>
        <v>2011</v>
      </c>
      <c r="F2608" s="3">
        <f t="shared" si="585"/>
        <v>8</v>
      </c>
      <c r="G2608" s="3">
        <f t="shared" si="586"/>
        <v>31</v>
      </c>
      <c r="H2608" s="3">
        <f t="shared" si="587"/>
        <v>11</v>
      </c>
      <c r="I2608" s="3">
        <f t="shared" si="588"/>
        <v>13</v>
      </c>
      <c r="J2608" s="3">
        <f t="shared" si="58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590"/>
        <v>YES</v>
      </c>
      <c r="Q2608" t="str">
        <f t="shared" si="591"/>
        <v>NO</v>
      </c>
      <c r="R2608" t="str">
        <f t="shared" si="592"/>
        <v>NO</v>
      </c>
      <c r="T2608" t="s">
        <v>634</v>
      </c>
      <c r="U2608" t="str">
        <f t="shared" si="593"/>
        <v>Chauncy St</v>
      </c>
      <c r="V2608" t="s">
        <v>14</v>
      </c>
      <c r="W2608" t="str">
        <f t="shared" si="594"/>
        <v>Massachusetts Ave</v>
      </c>
      <c r="X2608" t="str">
        <f>IF(ISBLANK(S2608),"Intersection","Non-Intersection")</f>
        <v>Intersection</v>
      </c>
      <c r="Y2608" t="s">
        <v>3654</v>
      </c>
      <c r="Z2608" t="str">
        <f t="shared" si="595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582"/>
        <v>40544</v>
      </c>
      <c r="D2609" s="4">
        <f t="shared" si="583"/>
        <v>0.66575342465753429</v>
      </c>
      <c r="E2609" s="3">
        <f t="shared" si="584"/>
        <v>2011</v>
      </c>
      <c r="F2609" s="3">
        <f t="shared" si="585"/>
        <v>9</v>
      </c>
      <c r="G2609" s="3">
        <f t="shared" si="586"/>
        <v>1</v>
      </c>
      <c r="H2609" s="3">
        <f t="shared" si="587"/>
        <v>5</v>
      </c>
      <c r="I2609" s="3">
        <f t="shared" si="588"/>
        <v>15</v>
      </c>
      <c r="J2609" s="3">
        <f t="shared" si="58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590"/>
        <v>YES</v>
      </c>
      <c r="Q2609" t="str">
        <f t="shared" si="591"/>
        <v>NO</v>
      </c>
      <c r="R2609" t="str">
        <f t="shared" si="592"/>
        <v>NO</v>
      </c>
      <c r="T2609" t="s">
        <v>260</v>
      </c>
      <c r="U2609" t="str">
        <f t="shared" si="593"/>
        <v>Third St</v>
      </c>
      <c r="V2609" t="s">
        <v>1502</v>
      </c>
      <c r="W2609" t="str">
        <f t="shared" si="594"/>
        <v>Gore St</v>
      </c>
      <c r="X2609" t="str">
        <f>IF(ISBLANK(S2609),"Intersection","Non-Intersection")</f>
        <v>Intersection</v>
      </c>
      <c r="Y2609" t="s">
        <v>1503</v>
      </c>
      <c r="Z2609" t="str">
        <f t="shared" si="595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582"/>
        <v>40544</v>
      </c>
      <c r="D2610" s="4">
        <f t="shared" si="583"/>
        <v>0.66575342465753429</v>
      </c>
      <c r="E2610" s="3">
        <f t="shared" si="584"/>
        <v>2011</v>
      </c>
      <c r="F2610" s="3">
        <f t="shared" si="585"/>
        <v>9</v>
      </c>
      <c r="G2610" s="3">
        <f t="shared" si="586"/>
        <v>1</v>
      </c>
      <c r="H2610" s="3">
        <f t="shared" si="587"/>
        <v>17</v>
      </c>
      <c r="I2610" s="3">
        <f t="shared" si="588"/>
        <v>29</v>
      </c>
      <c r="J2610" s="3">
        <f t="shared" si="58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590"/>
        <v>YES</v>
      </c>
      <c r="Q2610" t="str">
        <f t="shared" si="591"/>
        <v>NO</v>
      </c>
      <c r="R2610" t="str">
        <f t="shared" si="592"/>
        <v>NO</v>
      </c>
      <c r="T2610" t="s">
        <v>312</v>
      </c>
      <c r="U2610" t="str">
        <f t="shared" si="593"/>
        <v>Auburn St</v>
      </c>
      <c r="V2610" t="s">
        <v>41</v>
      </c>
      <c r="W2610" t="str">
        <f t="shared" si="594"/>
        <v>River St</v>
      </c>
      <c r="X2610" t="str">
        <f>IF(ISBLANK(S2610),"Intersection","Non-Intersection")</f>
        <v>Intersection</v>
      </c>
      <c r="Y2610" t="s">
        <v>3656</v>
      </c>
      <c r="Z2610" t="str">
        <f t="shared" si="595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582"/>
        <v>40544</v>
      </c>
      <c r="D2611" s="4">
        <f t="shared" si="583"/>
        <v>0.66575342465753429</v>
      </c>
      <c r="E2611" s="3">
        <f t="shared" si="584"/>
        <v>2011</v>
      </c>
      <c r="F2611" s="3">
        <f t="shared" si="585"/>
        <v>9</v>
      </c>
      <c r="G2611" s="3">
        <f t="shared" si="586"/>
        <v>1</v>
      </c>
      <c r="H2611" s="3">
        <f t="shared" si="587"/>
        <v>9</v>
      </c>
      <c r="I2611" s="3">
        <f t="shared" si="588"/>
        <v>0</v>
      </c>
      <c r="J2611" s="3">
        <f t="shared" si="58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590"/>
        <v>YES</v>
      </c>
      <c r="Q2611" t="str">
        <f t="shared" si="591"/>
        <v>NO</v>
      </c>
      <c r="R2611" t="str">
        <f t="shared" si="592"/>
        <v>NO</v>
      </c>
      <c r="S2611">
        <v>24</v>
      </c>
      <c r="T2611" t="s">
        <v>698</v>
      </c>
      <c r="U2611" t="str">
        <f t="shared" si="593"/>
        <v>Thorndike St</v>
      </c>
      <c r="W2611" t="str">
        <f t="shared" si="594"/>
        <v/>
      </c>
      <c r="X2611" t="str">
        <f>IF(ISBLANK(S2611),"Intersection","Non-Intersection")</f>
        <v>Non-Intersection</v>
      </c>
      <c r="Y2611" t="s">
        <v>3657</v>
      </c>
      <c r="Z2611" t="str">
        <f t="shared" si="595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582"/>
        <v>40544</v>
      </c>
      <c r="D2612" s="4">
        <f t="shared" si="583"/>
        <v>0.66575342465753429</v>
      </c>
      <c r="E2612" s="3">
        <f t="shared" si="584"/>
        <v>2011</v>
      </c>
      <c r="F2612" s="3">
        <f t="shared" si="585"/>
        <v>9</v>
      </c>
      <c r="G2612" s="3">
        <f t="shared" si="586"/>
        <v>1</v>
      </c>
      <c r="H2612" s="3">
        <f t="shared" si="587"/>
        <v>10</v>
      </c>
      <c r="I2612" s="3">
        <f t="shared" si="588"/>
        <v>30</v>
      </c>
      <c r="J2612" s="3">
        <f t="shared" si="58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590"/>
        <v>YES</v>
      </c>
      <c r="Q2612" t="str">
        <f t="shared" si="591"/>
        <v>NO</v>
      </c>
      <c r="R2612" t="str">
        <f t="shared" si="592"/>
        <v>NO</v>
      </c>
      <c r="S2612">
        <v>120</v>
      </c>
      <c r="T2612" t="s">
        <v>202</v>
      </c>
      <c r="U2612" t="str">
        <f t="shared" si="593"/>
        <v>Vassar St</v>
      </c>
      <c r="W2612" t="str">
        <f t="shared" si="594"/>
        <v/>
      </c>
      <c r="X2612" t="str">
        <f>IF(ISBLANK(S2612),"Intersection","Non-Intersection")</f>
        <v>Non-Intersection</v>
      </c>
      <c r="Y2612" t="s">
        <v>1413</v>
      </c>
      <c r="Z2612" t="str">
        <f t="shared" si="595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582"/>
        <v>40544</v>
      </c>
      <c r="D2613" s="4">
        <f t="shared" si="583"/>
        <v>0.66849315068493154</v>
      </c>
      <c r="E2613" s="3">
        <f t="shared" si="584"/>
        <v>2011</v>
      </c>
      <c r="F2613" s="3">
        <f t="shared" si="585"/>
        <v>9</v>
      </c>
      <c r="G2613" s="3">
        <f t="shared" si="586"/>
        <v>2</v>
      </c>
      <c r="H2613" s="3">
        <f t="shared" si="587"/>
        <v>17</v>
      </c>
      <c r="I2613" s="3">
        <f t="shared" si="588"/>
        <v>0</v>
      </c>
      <c r="J2613" s="3">
        <f t="shared" si="58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590"/>
        <v>YES</v>
      </c>
      <c r="Q2613" t="str">
        <f t="shared" si="591"/>
        <v>NO</v>
      </c>
      <c r="R2613" t="str">
        <f t="shared" si="592"/>
        <v>NO</v>
      </c>
      <c r="T2613" t="s">
        <v>74</v>
      </c>
      <c r="U2613" t="str">
        <f t="shared" si="593"/>
        <v>Hampshire St</v>
      </c>
      <c r="V2613" t="s">
        <v>105</v>
      </c>
      <c r="W2613" t="str">
        <f t="shared" si="594"/>
        <v>Broadway</v>
      </c>
      <c r="X2613" t="str">
        <f>IF(ISBLANK(S2613),"Intersection","Non-Intersection")</f>
        <v>Intersection</v>
      </c>
      <c r="Y2613" t="s">
        <v>1497</v>
      </c>
      <c r="Z2613" t="str">
        <f t="shared" si="595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582"/>
        <v>40544</v>
      </c>
      <c r="D2614" s="4">
        <f t="shared" si="583"/>
        <v>0.66849315068493154</v>
      </c>
      <c r="E2614" s="3">
        <f t="shared" si="584"/>
        <v>2011</v>
      </c>
      <c r="F2614" s="3">
        <f t="shared" si="585"/>
        <v>9</v>
      </c>
      <c r="G2614" s="3">
        <f t="shared" si="586"/>
        <v>2</v>
      </c>
      <c r="H2614" s="3">
        <f t="shared" si="587"/>
        <v>16</v>
      </c>
      <c r="I2614" s="3">
        <f t="shared" si="588"/>
        <v>30</v>
      </c>
      <c r="J2614" s="3">
        <f t="shared" si="58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590"/>
        <v>YES</v>
      </c>
      <c r="Q2614" t="str">
        <f t="shared" si="591"/>
        <v>NO</v>
      </c>
      <c r="R2614" t="str">
        <f t="shared" si="592"/>
        <v>NO</v>
      </c>
      <c r="S2614">
        <v>124</v>
      </c>
      <c r="T2614" t="s">
        <v>145</v>
      </c>
      <c r="U2614" t="str">
        <f t="shared" si="593"/>
        <v>Walker St</v>
      </c>
      <c r="W2614" t="str">
        <f t="shared" si="594"/>
        <v/>
      </c>
      <c r="X2614" t="str">
        <f>IF(ISBLANK(S2614),"Intersection","Non-Intersection")</f>
        <v>Non-Intersection</v>
      </c>
      <c r="Y2614" t="s">
        <v>3659</v>
      </c>
      <c r="Z2614" t="str">
        <f t="shared" si="595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582"/>
        <v>40544</v>
      </c>
      <c r="D2615" s="4">
        <f t="shared" si="583"/>
        <v>0.67123287671232879</v>
      </c>
      <c r="E2615" s="3">
        <f t="shared" si="584"/>
        <v>2011</v>
      </c>
      <c r="F2615" s="3">
        <f t="shared" si="585"/>
        <v>9</v>
      </c>
      <c r="G2615" s="3">
        <f t="shared" si="586"/>
        <v>3</v>
      </c>
      <c r="H2615" s="3">
        <f t="shared" si="587"/>
        <v>9</v>
      </c>
      <c r="I2615" s="3">
        <f t="shared" si="588"/>
        <v>43</v>
      </c>
      <c r="J2615" s="3">
        <f t="shared" si="58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590"/>
        <v>YES</v>
      </c>
      <c r="Q2615" t="str">
        <f t="shared" si="591"/>
        <v>NO</v>
      </c>
      <c r="R2615" t="str">
        <f t="shared" si="592"/>
        <v>NO</v>
      </c>
      <c r="S2615">
        <v>110</v>
      </c>
      <c r="T2615" t="s">
        <v>74</v>
      </c>
      <c r="U2615" t="str">
        <f t="shared" si="593"/>
        <v>Hampshire St</v>
      </c>
      <c r="W2615" t="str">
        <f t="shared" si="594"/>
        <v/>
      </c>
      <c r="X2615" t="str">
        <f>IF(ISBLANK(S2615),"Intersection","Non-Intersection")</f>
        <v>Non-Intersection</v>
      </c>
      <c r="Y2615" t="s">
        <v>3661</v>
      </c>
      <c r="Z2615" t="str">
        <f t="shared" si="595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582"/>
        <v>40544</v>
      </c>
      <c r="D2616" s="4">
        <f t="shared" si="583"/>
        <v>0.67123287671232879</v>
      </c>
      <c r="E2616" s="3">
        <f t="shared" si="584"/>
        <v>2011</v>
      </c>
      <c r="F2616" s="3">
        <f t="shared" si="585"/>
        <v>9</v>
      </c>
      <c r="G2616" s="3">
        <f t="shared" si="586"/>
        <v>3</v>
      </c>
      <c r="H2616" s="3">
        <f t="shared" si="587"/>
        <v>12</v>
      </c>
      <c r="I2616" s="3">
        <f t="shared" si="588"/>
        <v>31</v>
      </c>
      <c r="J2616" s="3">
        <f t="shared" si="58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590"/>
        <v>NO</v>
      </c>
      <c r="Q2616" t="str">
        <f t="shared" si="591"/>
        <v>YES</v>
      </c>
      <c r="R2616" t="str">
        <f t="shared" si="592"/>
        <v>NO</v>
      </c>
      <c r="T2616" t="s">
        <v>199</v>
      </c>
      <c r="U2616" t="str">
        <f t="shared" si="593"/>
        <v>Brattle St</v>
      </c>
      <c r="V2616" t="s">
        <v>935</v>
      </c>
      <c r="W2616" t="str">
        <f t="shared" si="594"/>
        <v>Hawthorne St</v>
      </c>
      <c r="X2616" t="str">
        <f>IF(ISBLANK(S2616),"Intersection","Non-Intersection")</f>
        <v>Intersection</v>
      </c>
      <c r="Y2616" t="s">
        <v>3514</v>
      </c>
      <c r="Z2616" t="str">
        <f t="shared" si="595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582"/>
        <v>40544</v>
      </c>
      <c r="D2617" s="4">
        <f t="shared" si="583"/>
        <v>0.67671232876712328</v>
      </c>
      <c r="E2617" s="3">
        <f t="shared" si="584"/>
        <v>2011</v>
      </c>
      <c r="F2617" s="3">
        <f t="shared" si="585"/>
        <v>9</v>
      </c>
      <c r="G2617" s="3">
        <f t="shared" si="586"/>
        <v>5</v>
      </c>
      <c r="H2617" s="3">
        <f t="shared" si="587"/>
        <v>8</v>
      </c>
      <c r="I2617" s="3">
        <f t="shared" si="588"/>
        <v>10</v>
      </c>
      <c r="J2617" s="3">
        <f t="shared" si="58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590"/>
        <v>YES</v>
      </c>
      <c r="Q2617" t="str">
        <f t="shared" si="591"/>
        <v>NO</v>
      </c>
      <c r="R2617" t="str">
        <f t="shared" si="592"/>
        <v>NO</v>
      </c>
      <c r="S2617">
        <v>56</v>
      </c>
      <c r="T2617" t="s">
        <v>185</v>
      </c>
      <c r="U2617" t="str">
        <f t="shared" si="593"/>
        <v>Garden St</v>
      </c>
      <c r="W2617" t="str">
        <f t="shared" si="594"/>
        <v/>
      </c>
      <c r="X2617" t="str">
        <f>IF(ISBLANK(S2617),"Intersection","Non-Intersection")</f>
        <v>Non-Intersection</v>
      </c>
      <c r="Y2617" t="s">
        <v>3665</v>
      </c>
      <c r="Z2617" t="str">
        <f t="shared" si="595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582"/>
        <v>40544</v>
      </c>
      <c r="D2618" s="4">
        <f t="shared" si="583"/>
        <v>0.67671232876712328</v>
      </c>
      <c r="E2618" s="3">
        <f t="shared" si="584"/>
        <v>2011</v>
      </c>
      <c r="F2618" s="3">
        <f t="shared" si="585"/>
        <v>9</v>
      </c>
      <c r="G2618" s="3">
        <f t="shared" si="586"/>
        <v>5</v>
      </c>
      <c r="H2618" s="3">
        <f t="shared" si="587"/>
        <v>14</v>
      </c>
      <c r="I2618" s="3">
        <f t="shared" si="588"/>
        <v>49</v>
      </c>
      <c r="J2618" s="3">
        <f t="shared" si="58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590"/>
        <v>YES</v>
      </c>
      <c r="Q2618" t="str">
        <f t="shared" si="591"/>
        <v>NO</v>
      </c>
      <c r="R2618" t="str">
        <f t="shared" si="592"/>
        <v>YES</v>
      </c>
      <c r="T2618" t="s">
        <v>14</v>
      </c>
      <c r="U2618" t="str">
        <f t="shared" si="593"/>
        <v>Massachusetts Ave</v>
      </c>
      <c r="V2618" t="s">
        <v>170</v>
      </c>
      <c r="W2618" t="str">
        <f t="shared" si="594"/>
        <v>Alewife Brook Pky</v>
      </c>
      <c r="X2618" t="str">
        <f>IF(ISBLANK(S2618),"Intersection","Non-Intersection")</f>
        <v>Intersection</v>
      </c>
      <c r="Y2618" t="s">
        <v>2954</v>
      </c>
      <c r="Z2618" t="str">
        <f t="shared" si="595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582"/>
        <v>40544</v>
      </c>
      <c r="D2619" s="4">
        <f t="shared" si="583"/>
        <v>0.67671232876712328</v>
      </c>
      <c r="E2619" s="3">
        <f t="shared" si="584"/>
        <v>2011</v>
      </c>
      <c r="F2619" s="3">
        <f t="shared" si="585"/>
        <v>9</v>
      </c>
      <c r="G2619" s="3">
        <f t="shared" si="586"/>
        <v>5</v>
      </c>
      <c r="H2619" s="3">
        <f t="shared" si="587"/>
        <v>8</v>
      </c>
      <c r="I2619" s="3">
        <f t="shared" si="588"/>
        <v>26</v>
      </c>
      <c r="J2619" s="3">
        <f t="shared" si="58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590"/>
        <v>YES</v>
      </c>
      <c r="Q2619" t="str">
        <f t="shared" si="591"/>
        <v>NO</v>
      </c>
      <c r="R2619" t="str">
        <f t="shared" si="592"/>
        <v>NO</v>
      </c>
      <c r="T2619" t="s">
        <v>19</v>
      </c>
      <c r="U2619" t="str">
        <f t="shared" si="593"/>
        <v>Cambridge St</v>
      </c>
      <c r="V2619" t="s">
        <v>410</v>
      </c>
      <c r="W2619" t="str">
        <f t="shared" si="594"/>
        <v>Highland Ave</v>
      </c>
      <c r="X2619" t="str">
        <f>IF(ISBLANK(S2619),"Intersection","Non-Intersection")</f>
        <v>Intersection</v>
      </c>
      <c r="Y2619" t="s">
        <v>3667</v>
      </c>
      <c r="Z2619" t="str">
        <f t="shared" si="595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596">EOMONTH(B2620,MONTH(B2620)*-1)+1</f>
        <v>40544</v>
      </c>
      <c r="D2620" s="4">
        <f t="shared" ref="D2620:D2682" si="597">YEARFRAC(C2620,B2620,1)</f>
        <v>0.67945205479452053</v>
      </c>
      <c r="E2620" s="3">
        <f t="shared" ref="E2620:E2682" si="598">YEAR(B2620)</f>
        <v>2011</v>
      </c>
      <c r="F2620" s="3">
        <f t="shared" ref="F2620:F2682" si="599">MONTH(B2620)</f>
        <v>9</v>
      </c>
      <c r="G2620" s="3">
        <f t="shared" ref="G2620:G2682" si="600">DAY(B2620)</f>
        <v>6</v>
      </c>
      <c r="H2620" s="3">
        <f t="shared" ref="H2620:H2682" si="601">HOUR(B2620)</f>
        <v>9</v>
      </c>
      <c r="I2620" s="3">
        <f t="shared" ref="I2620:I2682" si="602">MINUTE(B2620)</f>
        <v>30</v>
      </c>
      <c r="J2620" s="3">
        <f t="shared" ref="J2620:J2682" si="603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04">IF(OR(N2620="Auto",O2620="Auto"),"YES",IF(OR(N2620="Taxi",O2620="Taxi"),"YES",IF(OR(N2620="Van",O2620="Van"),"YES",IF(OR(N2620="Truck",O2620="Truck"),"YES","NO"))))</f>
        <v>YES</v>
      </c>
      <c r="Q2620" t="str">
        <f t="shared" ref="Q2620:Q2682" si="605">IF(OR(N2620="Bicycle",O2620="Bicycle"),"YES","NO")</f>
        <v>YES</v>
      </c>
      <c r="R2620" t="str">
        <f t="shared" ref="R2620:R2682" si="606">IF(OR(N2620="Pedestrian",O2620="Pedestrian"),"YES","NO")</f>
        <v>NO</v>
      </c>
      <c r="T2620" t="s">
        <v>134</v>
      </c>
      <c r="U2620" t="str">
        <f t="shared" si="593"/>
        <v>Quincy St</v>
      </c>
      <c r="W2620" t="str">
        <f t="shared" si="594"/>
        <v/>
      </c>
      <c r="X2620" t="str">
        <f>IF(ISBLANK(S2620),"Intersection","Non-Intersection")</f>
        <v>Intersection</v>
      </c>
      <c r="Y2620" t="s">
        <v>3668</v>
      </c>
      <c r="Z2620" t="str">
        <f t="shared" si="595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596"/>
        <v>40544</v>
      </c>
      <c r="D2621" s="4">
        <f t="shared" si="597"/>
        <v>0.67945205479452053</v>
      </c>
      <c r="E2621" s="3">
        <f t="shared" si="598"/>
        <v>2011</v>
      </c>
      <c r="F2621" s="3">
        <f t="shared" si="599"/>
        <v>9</v>
      </c>
      <c r="G2621" s="3">
        <f t="shared" si="600"/>
        <v>6</v>
      </c>
      <c r="H2621" s="3">
        <f t="shared" si="601"/>
        <v>12</v>
      </c>
      <c r="I2621" s="3">
        <f t="shared" si="602"/>
        <v>40</v>
      </c>
      <c r="J2621" s="3">
        <f t="shared" si="603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04"/>
        <v>YES</v>
      </c>
      <c r="Q2621" t="str">
        <f t="shared" si="605"/>
        <v>NO</v>
      </c>
      <c r="R2621" t="str">
        <f t="shared" si="606"/>
        <v>NO</v>
      </c>
      <c r="T2621" t="s">
        <v>1189</v>
      </c>
      <c r="U2621" t="str">
        <f t="shared" si="593"/>
        <v>Pine St</v>
      </c>
      <c r="V2621" t="s">
        <v>216</v>
      </c>
      <c r="W2621" t="str">
        <f t="shared" si="594"/>
        <v>Washington Ave</v>
      </c>
      <c r="X2621" t="str">
        <f>IF(ISBLANK(S2621),"Intersection","Non-Intersection")</f>
        <v>Intersection</v>
      </c>
      <c r="Y2621" t="s">
        <v>3669</v>
      </c>
      <c r="Z2621" t="str">
        <f t="shared" si="595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596"/>
        <v>40544</v>
      </c>
      <c r="D2622" s="4">
        <f t="shared" si="597"/>
        <v>0.67945205479452053</v>
      </c>
      <c r="E2622" s="3">
        <f t="shared" si="598"/>
        <v>2011</v>
      </c>
      <c r="F2622" s="3">
        <f t="shared" si="599"/>
        <v>9</v>
      </c>
      <c r="G2622" s="3">
        <f t="shared" si="600"/>
        <v>6</v>
      </c>
      <c r="H2622" s="3">
        <f t="shared" si="601"/>
        <v>13</v>
      </c>
      <c r="I2622" s="3">
        <f t="shared" si="602"/>
        <v>34</v>
      </c>
      <c r="J2622" s="3">
        <f t="shared" si="603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04"/>
        <v>YES</v>
      </c>
      <c r="Q2622" t="str">
        <f t="shared" si="605"/>
        <v>NO</v>
      </c>
      <c r="R2622" t="str">
        <f t="shared" si="606"/>
        <v>NO</v>
      </c>
      <c r="T2622" t="s">
        <v>32</v>
      </c>
      <c r="U2622" t="str">
        <f t="shared" si="593"/>
        <v>Main St</v>
      </c>
      <c r="V2622" t="s">
        <v>444</v>
      </c>
      <c r="W2622" t="str">
        <f t="shared" si="594"/>
        <v>Osborn St</v>
      </c>
      <c r="X2622" t="str">
        <f>IF(ISBLANK(S2622),"Intersection","Non-Intersection")</f>
        <v>Intersection</v>
      </c>
      <c r="Y2622" t="s">
        <v>445</v>
      </c>
      <c r="Z2622" t="str">
        <f t="shared" si="595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596"/>
        <v>40544</v>
      </c>
      <c r="D2623" s="4">
        <f t="shared" si="597"/>
        <v>0.67945205479452053</v>
      </c>
      <c r="E2623" s="3">
        <f t="shared" si="598"/>
        <v>2011</v>
      </c>
      <c r="F2623" s="3">
        <f t="shared" si="599"/>
        <v>9</v>
      </c>
      <c r="G2623" s="3">
        <f t="shared" si="600"/>
        <v>6</v>
      </c>
      <c r="H2623" s="3">
        <f t="shared" si="601"/>
        <v>18</v>
      </c>
      <c r="I2623" s="3">
        <f t="shared" si="602"/>
        <v>39</v>
      </c>
      <c r="J2623" s="3">
        <f t="shared" si="603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04"/>
        <v>YES</v>
      </c>
      <c r="Q2623" t="str">
        <f t="shared" si="605"/>
        <v>YES</v>
      </c>
      <c r="R2623" t="str">
        <f t="shared" si="606"/>
        <v>NO</v>
      </c>
      <c r="T2623" t="s">
        <v>185</v>
      </c>
      <c r="U2623" t="str">
        <f t="shared" si="593"/>
        <v>Garden St</v>
      </c>
      <c r="V2623" t="s">
        <v>145</v>
      </c>
      <c r="W2623" t="str">
        <f t="shared" si="594"/>
        <v>Walker St</v>
      </c>
      <c r="X2623" t="str">
        <f>IF(ISBLANK(S2623),"Intersection","Non-Intersection")</f>
        <v>Intersection</v>
      </c>
      <c r="Y2623" t="s">
        <v>3671</v>
      </c>
      <c r="Z2623" t="str">
        <f t="shared" si="595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596"/>
        <v>40544</v>
      </c>
      <c r="D2624" s="4">
        <f t="shared" si="597"/>
        <v>0.67945205479452053</v>
      </c>
      <c r="E2624" s="3">
        <f t="shared" si="598"/>
        <v>2011</v>
      </c>
      <c r="F2624" s="3">
        <f t="shared" si="599"/>
        <v>9</v>
      </c>
      <c r="G2624" s="3">
        <f t="shared" si="600"/>
        <v>6</v>
      </c>
      <c r="H2624" s="3">
        <f t="shared" si="601"/>
        <v>18</v>
      </c>
      <c r="I2624" s="3">
        <f t="shared" si="602"/>
        <v>40</v>
      </c>
      <c r="J2624" s="3">
        <f t="shared" si="603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04"/>
        <v>YES</v>
      </c>
      <c r="Q2624" t="str">
        <f t="shared" si="605"/>
        <v>NO</v>
      </c>
      <c r="R2624" t="str">
        <f t="shared" si="606"/>
        <v>NO</v>
      </c>
      <c r="T2624" t="s">
        <v>19</v>
      </c>
      <c r="U2624" t="str">
        <f t="shared" si="593"/>
        <v>Cambridge St</v>
      </c>
      <c r="V2624" t="s">
        <v>993</v>
      </c>
      <c r="W2624" t="str">
        <f t="shared" si="594"/>
        <v>Fifth St</v>
      </c>
      <c r="X2624" t="str">
        <f>IF(ISBLANK(S2624),"Intersection","Non-Intersection")</f>
        <v>Intersection</v>
      </c>
      <c r="Y2624" t="s">
        <v>1636</v>
      </c>
      <c r="Z2624" t="str">
        <f t="shared" si="595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596"/>
        <v>40544</v>
      </c>
      <c r="D2625" s="4">
        <f t="shared" si="597"/>
        <v>0.68219178082191778</v>
      </c>
      <c r="E2625" s="3">
        <f t="shared" si="598"/>
        <v>2011</v>
      </c>
      <c r="F2625" s="3">
        <f t="shared" si="599"/>
        <v>9</v>
      </c>
      <c r="G2625" s="3">
        <f t="shared" si="600"/>
        <v>7</v>
      </c>
      <c r="H2625" s="3">
        <f t="shared" si="601"/>
        <v>8</v>
      </c>
      <c r="I2625" s="3">
        <f t="shared" si="602"/>
        <v>49</v>
      </c>
      <c r="J2625" s="3">
        <f t="shared" si="603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04"/>
        <v>YES</v>
      </c>
      <c r="Q2625" t="str">
        <f t="shared" si="605"/>
        <v>NO</v>
      </c>
      <c r="R2625" t="str">
        <f t="shared" si="606"/>
        <v>NO</v>
      </c>
      <c r="S2625">
        <v>100</v>
      </c>
      <c r="T2625" t="s">
        <v>209</v>
      </c>
      <c r="U2625" t="str">
        <f t="shared" si="593"/>
        <v>Binney St</v>
      </c>
      <c r="W2625" t="str">
        <f t="shared" si="594"/>
        <v/>
      </c>
      <c r="X2625" t="str">
        <f>IF(ISBLANK(S2625),"Intersection","Non-Intersection")</f>
        <v>Non-Intersection</v>
      </c>
      <c r="Y2625" t="s">
        <v>3673</v>
      </c>
      <c r="Z2625" t="str">
        <f t="shared" si="595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596"/>
        <v>40544</v>
      </c>
      <c r="D2626" s="4">
        <f t="shared" si="597"/>
        <v>0.68219178082191778</v>
      </c>
      <c r="E2626" s="3">
        <f t="shared" si="598"/>
        <v>2011</v>
      </c>
      <c r="F2626" s="3">
        <f t="shared" si="599"/>
        <v>9</v>
      </c>
      <c r="G2626" s="3">
        <f t="shared" si="600"/>
        <v>7</v>
      </c>
      <c r="H2626" s="3">
        <f t="shared" si="601"/>
        <v>10</v>
      </c>
      <c r="I2626" s="3">
        <f t="shared" si="602"/>
        <v>30</v>
      </c>
      <c r="J2626" s="3">
        <f t="shared" si="603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04"/>
        <v>YES</v>
      </c>
      <c r="Q2626" t="str">
        <f t="shared" si="605"/>
        <v>NO</v>
      </c>
      <c r="R2626" t="str">
        <f t="shared" si="606"/>
        <v>NO</v>
      </c>
      <c r="T2626" t="s">
        <v>14</v>
      </c>
      <c r="U2626" t="str">
        <f t="shared" si="593"/>
        <v>Massachusetts Ave</v>
      </c>
      <c r="V2626" t="s">
        <v>354</v>
      </c>
      <c r="W2626" t="str">
        <f t="shared" si="594"/>
        <v>Linnaean St</v>
      </c>
      <c r="X2626" t="str">
        <f>IF(ISBLANK(S2626),"Intersection","Non-Intersection")</f>
        <v>Intersection</v>
      </c>
      <c r="Y2626" t="s">
        <v>1234</v>
      </c>
      <c r="Z2626" t="str">
        <f t="shared" si="595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596"/>
        <v>40544</v>
      </c>
      <c r="D2627" s="4">
        <f t="shared" si="597"/>
        <v>0.68219178082191778</v>
      </c>
      <c r="E2627" s="3">
        <f t="shared" si="598"/>
        <v>2011</v>
      </c>
      <c r="F2627" s="3">
        <f t="shared" si="599"/>
        <v>9</v>
      </c>
      <c r="G2627" s="3">
        <f t="shared" si="600"/>
        <v>7</v>
      </c>
      <c r="H2627" s="3">
        <f t="shared" si="601"/>
        <v>13</v>
      </c>
      <c r="I2627" s="3">
        <f t="shared" si="602"/>
        <v>30</v>
      </c>
      <c r="J2627" s="3">
        <f t="shared" si="603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04"/>
        <v>YES</v>
      </c>
      <c r="Q2627" t="str">
        <f t="shared" si="605"/>
        <v>NO</v>
      </c>
      <c r="R2627" t="str">
        <f t="shared" si="606"/>
        <v>NO</v>
      </c>
      <c r="T2627" t="s">
        <v>74</v>
      </c>
      <c r="U2627" t="str">
        <f t="shared" ref="U2627:U2690" si="607">TRIM(PROPER(T2627))</f>
        <v>Hampshire St</v>
      </c>
      <c r="V2627" t="s">
        <v>745</v>
      </c>
      <c r="W2627" t="str">
        <f t="shared" ref="W2627:W2690" si="608">TRIM(PROPER(V2627))</f>
        <v>Norfolk St</v>
      </c>
      <c r="X2627" t="str">
        <f>IF(ISBLANK(S2627),"Intersection","Non-Intersection")</f>
        <v>Intersection</v>
      </c>
      <c r="Y2627" t="s">
        <v>2006</v>
      </c>
      <c r="Z2627" t="str">
        <f t="shared" ref="Z2627:Z2690" si="609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596"/>
        <v>40544</v>
      </c>
      <c r="D2628" s="4">
        <f t="shared" si="597"/>
        <v>0.68219178082191778</v>
      </c>
      <c r="E2628" s="3">
        <f t="shared" si="598"/>
        <v>2011</v>
      </c>
      <c r="F2628" s="3">
        <f t="shared" si="599"/>
        <v>9</v>
      </c>
      <c r="G2628" s="3">
        <f t="shared" si="600"/>
        <v>7</v>
      </c>
      <c r="H2628" s="3">
        <f t="shared" si="601"/>
        <v>23</v>
      </c>
      <c r="I2628" s="3">
        <f t="shared" si="602"/>
        <v>12</v>
      </c>
      <c r="J2628" s="3">
        <f t="shared" si="603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04"/>
        <v>YES</v>
      </c>
      <c r="Q2628" t="str">
        <f t="shared" si="605"/>
        <v>NO</v>
      </c>
      <c r="R2628" t="str">
        <f t="shared" si="606"/>
        <v>NO</v>
      </c>
      <c r="T2628" t="s">
        <v>129</v>
      </c>
      <c r="U2628" t="str">
        <f t="shared" si="607"/>
        <v>Cardinal Medeiros Ave</v>
      </c>
      <c r="V2628" t="s">
        <v>209</v>
      </c>
      <c r="W2628" t="str">
        <f t="shared" si="608"/>
        <v>Binney St</v>
      </c>
      <c r="X2628" t="str">
        <f>IF(ISBLANK(S2628),"Intersection","Non-Intersection")</f>
        <v>Intersection</v>
      </c>
      <c r="Y2628" t="s">
        <v>646</v>
      </c>
      <c r="Z2628" t="str">
        <f t="shared" si="609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596"/>
        <v>40544</v>
      </c>
      <c r="D2629" s="4">
        <f t="shared" si="597"/>
        <v>0.68493150684931503</v>
      </c>
      <c r="E2629" s="3">
        <f t="shared" si="598"/>
        <v>2011</v>
      </c>
      <c r="F2629" s="3">
        <f t="shared" si="599"/>
        <v>9</v>
      </c>
      <c r="G2629" s="3">
        <f t="shared" si="600"/>
        <v>8</v>
      </c>
      <c r="H2629" s="3">
        <f t="shared" si="601"/>
        <v>3</v>
      </c>
      <c r="I2629" s="3">
        <f t="shared" si="602"/>
        <v>0</v>
      </c>
      <c r="J2629" s="3">
        <f t="shared" si="603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04"/>
        <v>YES</v>
      </c>
      <c r="Q2629" t="str">
        <f t="shared" si="605"/>
        <v>NO</v>
      </c>
      <c r="R2629" t="str">
        <f t="shared" si="606"/>
        <v>YES</v>
      </c>
      <c r="T2629" t="s">
        <v>238</v>
      </c>
      <c r="U2629" t="str">
        <f t="shared" si="607"/>
        <v>Kirkland St</v>
      </c>
      <c r="V2629" t="s">
        <v>805</v>
      </c>
      <c r="W2629" t="str">
        <f t="shared" si="608"/>
        <v>Trowbridge St</v>
      </c>
      <c r="X2629" t="str">
        <f>IF(ISBLANK(S2629),"Intersection","Non-Intersection")</f>
        <v>Intersection</v>
      </c>
      <c r="Y2629" t="s">
        <v>983</v>
      </c>
      <c r="Z2629" t="str">
        <f t="shared" si="609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596"/>
        <v>40544</v>
      </c>
      <c r="D2630" s="4">
        <f t="shared" si="597"/>
        <v>0.68493150684931503</v>
      </c>
      <c r="E2630" s="3">
        <f t="shared" si="598"/>
        <v>2011</v>
      </c>
      <c r="F2630" s="3">
        <f t="shared" si="599"/>
        <v>9</v>
      </c>
      <c r="G2630" s="3">
        <f t="shared" si="600"/>
        <v>8</v>
      </c>
      <c r="H2630" s="3">
        <f t="shared" si="601"/>
        <v>6</v>
      </c>
      <c r="I2630" s="3">
        <f t="shared" si="602"/>
        <v>40</v>
      </c>
      <c r="J2630" s="3">
        <f t="shared" si="603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04"/>
        <v>YES</v>
      </c>
      <c r="Q2630" t="str">
        <f t="shared" si="605"/>
        <v>NO</v>
      </c>
      <c r="R2630" t="str">
        <f t="shared" si="606"/>
        <v>NO</v>
      </c>
      <c r="T2630" t="s">
        <v>14</v>
      </c>
      <c r="U2630" t="str">
        <f t="shared" si="607"/>
        <v>Massachusetts Ave</v>
      </c>
      <c r="V2630" t="s">
        <v>94</v>
      </c>
      <c r="W2630" t="str">
        <f t="shared" si="608"/>
        <v>Shepard St</v>
      </c>
      <c r="X2630" t="str">
        <f>IF(ISBLANK(S2630),"Intersection","Non-Intersection")</f>
        <v>Intersection</v>
      </c>
      <c r="Y2630" t="s">
        <v>95</v>
      </c>
      <c r="Z2630" t="str">
        <f t="shared" si="609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596"/>
        <v>40544</v>
      </c>
      <c r="D2631" s="4">
        <f t="shared" si="597"/>
        <v>0.68493150684931503</v>
      </c>
      <c r="E2631" s="3">
        <f t="shared" si="598"/>
        <v>2011</v>
      </c>
      <c r="F2631" s="3">
        <f t="shared" si="599"/>
        <v>9</v>
      </c>
      <c r="G2631" s="3">
        <f t="shared" si="600"/>
        <v>8</v>
      </c>
      <c r="H2631" s="3">
        <f t="shared" si="601"/>
        <v>9</v>
      </c>
      <c r="I2631" s="3">
        <f t="shared" si="602"/>
        <v>10</v>
      </c>
      <c r="J2631" s="3">
        <f t="shared" si="603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04"/>
        <v>YES</v>
      </c>
      <c r="Q2631" t="str">
        <f t="shared" si="605"/>
        <v>NO</v>
      </c>
      <c r="R2631" t="str">
        <f t="shared" si="606"/>
        <v>YES</v>
      </c>
      <c r="T2631" t="s">
        <v>19</v>
      </c>
      <c r="U2631" t="str">
        <f t="shared" si="607"/>
        <v>Cambridge St</v>
      </c>
      <c r="V2631" t="s">
        <v>993</v>
      </c>
      <c r="W2631" t="str">
        <f t="shared" si="608"/>
        <v>Fifth St</v>
      </c>
      <c r="X2631" t="str">
        <f>IF(ISBLANK(S2631),"Intersection","Non-Intersection")</f>
        <v>Intersection</v>
      </c>
      <c r="Y2631" t="s">
        <v>1636</v>
      </c>
      <c r="Z2631" t="str">
        <f t="shared" si="609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596"/>
        <v>40544</v>
      </c>
      <c r="D2632" s="4">
        <f t="shared" si="597"/>
        <v>0.68493150684931503</v>
      </c>
      <c r="E2632" s="3">
        <f t="shared" si="598"/>
        <v>2011</v>
      </c>
      <c r="F2632" s="3">
        <f t="shared" si="599"/>
        <v>9</v>
      </c>
      <c r="G2632" s="3">
        <f t="shared" si="600"/>
        <v>8</v>
      </c>
      <c r="H2632" s="3">
        <f t="shared" si="601"/>
        <v>14</v>
      </c>
      <c r="I2632" s="3">
        <f t="shared" si="602"/>
        <v>39</v>
      </c>
      <c r="J2632" s="3">
        <f t="shared" si="603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04"/>
        <v>YES</v>
      </c>
      <c r="Q2632" t="str">
        <f t="shared" si="605"/>
        <v>NO</v>
      </c>
      <c r="R2632" t="str">
        <f t="shared" si="606"/>
        <v>NO</v>
      </c>
      <c r="T2632" t="s">
        <v>185</v>
      </c>
      <c r="U2632" t="str">
        <f t="shared" si="607"/>
        <v>Garden St</v>
      </c>
      <c r="V2632" t="s">
        <v>449</v>
      </c>
      <c r="W2632" t="str">
        <f t="shared" si="608"/>
        <v>Appian Way</v>
      </c>
      <c r="X2632" t="str">
        <f>IF(ISBLANK(S2632),"Intersection","Non-Intersection")</f>
        <v>Intersection</v>
      </c>
      <c r="Y2632" t="s">
        <v>729</v>
      </c>
      <c r="Z2632" t="str">
        <f t="shared" si="609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596"/>
        <v>40544</v>
      </c>
      <c r="D2633" s="4">
        <f t="shared" si="597"/>
        <v>0.68767123287671228</v>
      </c>
      <c r="E2633" s="3">
        <f t="shared" si="598"/>
        <v>2011</v>
      </c>
      <c r="F2633" s="3">
        <f t="shared" si="599"/>
        <v>9</v>
      </c>
      <c r="G2633" s="3">
        <f t="shared" si="600"/>
        <v>9</v>
      </c>
      <c r="H2633" s="3">
        <f t="shared" si="601"/>
        <v>1</v>
      </c>
      <c r="I2633" s="3">
        <f t="shared" si="602"/>
        <v>30</v>
      </c>
      <c r="J2633" s="3">
        <f t="shared" si="603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04"/>
        <v>YES</v>
      </c>
      <c r="Q2633" t="str">
        <f t="shared" si="605"/>
        <v>NO</v>
      </c>
      <c r="R2633" t="str">
        <f t="shared" si="606"/>
        <v>NO</v>
      </c>
      <c r="S2633">
        <v>93</v>
      </c>
      <c r="T2633" t="s">
        <v>155</v>
      </c>
      <c r="U2633" t="str">
        <f t="shared" si="607"/>
        <v>Richdale Ave</v>
      </c>
      <c r="W2633" t="str">
        <f t="shared" si="608"/>
        <v/>
      </c>
      <c r="X2633" t="str">
        <f>IF(ISBLANK(S2633),"Intersection","Non-Intersection")</f>
        <v>Non-Intersection</v>
      </c>
      <c r="Y2633" t="s">
        <v>3675</v>
      </c>
      <c r="Z2633" t="str">
        <f t="shared" si="609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596"/>
        <v>40544</v>
      </c>
      <c r="D2634" s="4">
        <f t="shared" si="597"/>
        <v>0.69041095890410964</v>
      </c>
      <c r="E2634" s="3">
        <f t="shared" si="598"/>
        <v>2011</v>
      </c>
      <c r="F2634" s="3">
        <f t="shared" si="599"/>
        <v>9</v>
      </c>
      <c r="G2634" s="3">
        <f t="shared" si="600"/>
        <v>10</v>
      </c>
      <c r="H2634" s="3">
        <f t="shared" si="601"/>
        <v>0</v>
      </c>
      <c r="I2634" s="3">
        <f t="shared" si="602"/>
        <v>50</v>
      </c>
      <c r="J2634" s="3">
        <f t="shared" si="603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04"/>
        <v>YES</v>
      </c>
      <c r="Q2634" t="str">
        <f t="shared" si="605"/>
        <v>YES</v>
      </c>
      <c r="R2634" t="str">
        <f t="shared" si="606"/>
        <v>NO</v>
      </c>
      <c r="T2634" t="s">
        <v>14</v>
      </c>
      <c r="U2634" t="str">
        <f t="shared" si="607"/>
        <v>Massachusetts Ave</v>
      </c>
      <c r="V2634" t="s">
        <v>195</v>
      </c>
      <c r="W2634" t="str">
        <f t="shared" si="608"/>
        <v>Sidney St</v>
      </c>
      <c r="X2634" t="str">
        <f>IF(ISBLANK(S2634),"Intersection","Non-Intersection")</f>
        <v>Intersection</v>
      </c>
      <c r="Y2634" t="s">
        <v>196</v>
      </c>
      <c r="Z2634" t="str">
        <f t="shared" si="609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596"/>
        <v>40544</v>
      </c>
      <c r="D2635" s="4">
        <f t="shared" si="597"/>
        <v>0.69041095890410964</v>
      </c>
      <c r="E2635" s="3">
        <f t="shared" si="598"/>
        <v>2011</v>
      </c>
      <c r="F2635" s="3">
        <f t="shared" si="599"/>
        <v>9</v>
      </c>
      <c r="G2635" s="3">
        <f t="shared" si="600"/>
        <v>10</v>
      </c>
      <c r="H2635" s="3">
        <f t="shared" si="601"/>
        <v>10</v>
      </c>
      <c r="I2635" s="3">
        <f t="shared" si="602"/>
        <v>12</v>
      </c>
      <c r="J2635" s="3">
        <f t="shared" si="603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04"/>
        <v>YES</v>
      </c>
      <c r="Q2635" t="str">
        <f t="shared" si="605"/>
        <v>NO</v>
      </c>
      <c r="R2635" t="str">
        <f t="shared" si="606"/>
        <v>NO</v>
      </c>
      <c r="T2635" t="s">
        <v>189</v>
      </c>
      <c r="U2635" t="str">
        <f t="shared" si="607"/>
        <v>Windsor St</v>
      </c>
      <c r="V2635" t="s">
        <v>32</v>
      </c>
      <c r="W2635" t="str">
        <f t="shared" si="608"/>
        <v>Main St</v>
      </c>
      <c r="X2635" t="str">
        <f>IF(ISBLANK(S2635),"Intersection","Non-Intersection")</f>
        <v>Intersection</v>
      </c>
      <c r="Y2635" t="s">
        <v>3338</v>
      </c>
      <c r="Z2635" t="str">
        <f t="shared" si="609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596"/>
        <v>40544</v>
      </c>
      <c r="D2636" s="4">
        <f t="shared" si="597"/>
        <v>0.69041095890410964</v>
      </c>
      <c r="E2636" s="3">
        <f t="shared" si="598"/>
        <v>2011</v>
      </c>
      <c r="F2636" s="3">
        <f t="shared" si="599"/>
        <v>9</v>
      </c>
      <c r="G2636" s="3">
        <f t="shared" si="600"/>
        <v>10</v>
      </c>
      <c r="H2636" s="3">
        <f t="shared" si="601"/>
        <v>14</v>
      </c>
      <c r="I2636" s="3">
        <f t="shared" si="602"/>
        <v>0</v>
      </c>
      <c r="J2636" s="3">
        <f t="shared" si="603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04"/>
        <v>YES</v>
      </c>
      <c r="Q2636" t="str">
        <f t="shared" si="605"/>
        <v>NO</v>
      </c>
      <c r="R2636" t="str">
        <f t="shared" si="606"/>
        <v>NO</v>
      </c>
      <c r="S2636">
        <v>145</v>
      </c>
      <c r="T2636" t="s">
        <v>199</v>
      </c>
      <c r="U2636" t="str">
        <f t="shared" si="607"/>
        <v>Brattle St</v>
      </c>
      <c r="W2636" t="str">
        <f t="shared" si="608"/>
        <v/>
      </c>
      <c r="X2636" t="str">
        <f>IF(ISBLANK(S2636),"Intersection","Non-Intersection")</f>
        <v>Non-Intersection</v>
      </c>
      <c r="Y2636" t="s">
        <v>3677</v>
      </c>
      <c r="Z2636" t="str">
        <f t="shared" si="609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596"/>
        <v>40544</v>
      </c>
      <c r="D2637" s="4">
        <f t="shared" si="597"/>
        <v>0.69041095890410964</v>
      </c>
      <c r="E2637" s="3">
        <f t="shared" si="598"/>
        <v>2011</v>
      </c>
      <c r="F2637" s="3">
        <f t="shared" si="599"/>
        <v>9</v>
      </c>
      <c r="G2637" s="3">
        <f t="shared" si="600"/>
        <v>10</v>
      </c>
      <c r="H2637" s="3">
        <f t="shared" si="601"/>
        <v>14</v>
      </c>
      <c r="I2637" s="3">
        <f t="shared" si="602"/>
        <v>41</v>
      </c>
      <c r="J2637" s="3">
        <f t="shared" si="603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04"/>
        <v>YES</v>
      </c>
      <c r="Q2637" t="str">
        <f t="shared" si="605"/>
        <v>NO</v>
      </c>
      <c r="R2637" t="str">
        <f t="shared" si="606"/>
        <v>NO</v>
      </c>
      <c r="T2637" t="s">
        <v>14</v>
      </c>
      <c r="U2637" t="str">
        <f t="shared" si="607"/>
        <v>Massachusetts Ave</v>
      </c>
      <c r="V2637" t="s">
        <v>1426</v>
      </c>
      <c r="W2637" t="str">
        <f t="shared" si="608"/>
        <v>Rice St</v>
      </c>
      <c r="X2637" t="str">
        <f>IF(ISBLANK(S2637),"Intersection","Non-Intersection")</f>
        <v>Intersection</v>
      </c>
      <c r="Y2637" t="s">
        <v>2369</v>
      </c>
      <c r="Z2637" t="str">
        <f t="shared" si="609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596"/>
        <v>40544</v>
      </c>
      <c r="D2638" s="4">
        <f t="shared" si="597"/>
        <v>0.69315068493150689</v>
      </c>
      <c r="E2638" s="3">
        <f t="shared" si="598"/>
        <v>2011</v>
      </c>
      <c r="F2638" s="3">
        <f t="shared" si="599"/>
        <v>9</v>
      </c>
      <c r="G2638" s="3">
        <f t="shared" si="600"/>
        <v>11</v>
      </c>
      <c r="H2638" s="3">
        <f t="shared" si="601"/>
        <v>11</v>
      </c>
      <c r="I2638" s="3">
        <f t="shared" si="602"/>
        <v>19</v>
      </c>
      <c r="J2638" s="3">
        <f t="shared" si="603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04"/>
        <v>YES</v>
      </c>
      <c r="Q2638" t="str">
        <f t="shared" si="605"/>
        <v>NO</v>
      </c>
      <c r="R2638" t="str">
        <f t="shared" si="606"/>
        <v>NO</v>
      </c>
      <c r="S2638">
        <v>806</v>
      </c>
      <c r="T2638" t="s">
        <v>14</v>
      </c>
      <c r="U2638" t="str">
        <f t="shared" si="607"/>
        <v>Massachusetts Ave</v>
      </c>
      <c r="W2638" t="str">
        <f t="shared" si="608"/>
        <v/>
      </c>
      <c r="X2638" t="str">
        <f>IF(ISBLANK(S2638),"Intersection","Non-Intersection")</f>
        <v>Non-Intersection</v>
      </c>
      <c r="Y2638" t="s">
        <v>3679</v>
      </c>
      <c r="Z2638" t="str">
        <f t="shared" si="609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596"/>
        <v>40544</v>
      </c>
      <c r="D2639" s="4">
        <f t="shared" si="597"/>
        <v>0.69315068493150689</v>
      </c>
      <c r="E2639" s="3">
        <f t="shared" si="598"/>
        <v>2011</v>
      </c>
      <c r="F2639" s="3">
        <f t="shared" si="599"/>
        <v>9</v>
      </c>
      <c r="G2639" s="3">
        <f t="shared" si="600"/>
        <v>11</v>
      </c>
      <c r="H2639" s="3">
        <f t="shared" si="601"/>
        <v>15</v>
      </c>
      <c r="I2639" s="3">
        <f t="shared" si="602"/>
        <v>30</v>
      </c>
      <c r="J2639" s="3">
        <f t="shared" si="603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04"/>
        <v>YES</v>
      </c>
      <c r="Q2639" t="str">
        <f t="shared" si="605"/>
        <v>NO</v>
      </c>
      <c r="R2639" t="str">
        <f t="shared" si="606"/>
        <v>NO</v>
      </c>
      <c r="S2639">
        <v>670</v>
      </c>
      <c r="T2639" t="s">
        <v>899</v>
      </c>
      <c r="U2639" t="str">
        <f t="shared" si="607"/>
        <v>Cushing St</v>
      </c>
      <c r="W2639" t="str">
        <f t="shared" si="608"/>
        <v/>
      </c>
      <c r="X2639" t="str">
        <f>IF(ISBLANK(S2639),"Intersection","Non-Intersection")</f>
        <v>Non-Intersection</v>
      </c>
      <c r="Y2639" t="s">
        <v>3681</v>
      </c>
      <c r="Z2639" t="str">
        <f t="shared" si="609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596"/>
        <v>40544</v>
      </c>
      <c r="D2640" s="4">
        <f t="shared" si="597"/>
        <v>0.69589041095890414</v>
      </c>
      <c r="E2640" s="3">
        <f t="shared" si="598"/>
        <v>2011</v>
      </c>
      <c r="F2640" s="3">
        <f t="shared" si="599"/>
        <v>9</v>
      </c>
      <c r="G2640" s="3">
        <f t="shared" si="600"/>
        <v>12</v>
      </c>
      <c r="H2640" s="3">
        <f t="shared" si="601"/>
        <v>0</v>
      </c>
      <c r="I2640" s="3">
        <f t="shared" si="602"/>
        <v>59</v>
      </c>
      <c r="J2640" s="3">
        <f t="shared" si="603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04"/>
        <v>YES</v>
      </c>
      <c r="Q2640" t="str">
        <f t="shared" si="605"/>
        <v>NO</v>
      </c>
      <c r="R2640" t="str">
        <f t="shared" si="606"/>
        <v>NO</v>
      </c>
      <c r="S2640">
        <v>108</v>
      </c>
      <c r="T2640" t="s">
        <v>1214</v>
      </c>
      <c r="U2640" t="str">
        <f t="shared" si="607"/>
        <v>Reed St</v>
      </c>
      <c r="W2640" t="str">
        <f t="shared" si="608"/>
        <v/>
      </c>
      <c r="X2640" t="str">
        <f>IF(ISBLANK(S2640),"Intersection","Non-Intersection")</f>
        <v>Non-Intersection</v>
      </c>
      <c r="Y2640" t="s">
        <v>3683</v>
      </c>
      <c r="Z2640" t="str">
        <f t="shared" si="609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596"/>
        <v>40544</v>
      </c>
      <c r="D2641" s="4">
        <f t="shared" si="597"/>
        <v>0.69589041095890414</v>
      </c>
      <c r="E2641" s="3">
        <f t="shared" si="598"/>
        <v>2011</v>
      </c>
      <c r="F2641" s="3">
        <f t="shared" si="599"/>
        <v>9</v>
      </c>
      <c r="G2641" s="3">
        <f t="shared" si="600"/>
        <v>12</v>
      </c>
      <c r="H2641" s="3">
        <f t="shared" si="601"/>
        <v>8</v>
      </c>
      <c r="I2641" s="3">
        <f t="shared" si="602"/>
        <v>0</v>
      </c>
      <c r="J2641" s="3">
        <f t="shared" si="603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04"/>
        <v>NO</v>
      </c>
      <c r="Q2641" t="str">
        <f t="shared" si="605"/>
        <v>NO</v>
      </c>
      <c r="R2641" t="str">
        <f t="shared" si="606"/>
        <v>NO</v>
      </c>
      <c r="T2641" t="s">
        <v>667</v>
      </c>
      <c r="U2641" t="str">
        <f t="shared" si="607"/>
        <v>Tremont St</v>
      </c>
      <c r="V2641" t="s">
        <v>19</v>
      </c>
      <c r="W2641" t="str">
        <f t="shared" si="608"/>
        <v>Cambridge St</v>
      </c>
      <c r="X2641" t="str">
        <f>IF(ISBLANK(S2641),"Intersection","Non-Intersection")</f>
        <v>Intersection</v>
      </c>
      <c r="Y2641" t="s">
        <v>2283</v>
      </c>
      <c r="Z2641" t="str">
        <f t="shared" si="609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596"/>
        <v>40544</v>
      </c>
      <c r="D2642" s="4">
        <f t="shared" si="597"/>
        <v>0.69589041095890414</v>
      </c>
      <c r="E2642" s="3">
        <f t="shared" si="598"/>
        <v>2011</v>
      </c>
      <c r="F2642" s="3">
        <f t="shared" si="599"/>
        <v>9</v>
      </c>
      <c r="G2642" s="3">
        <f t="shared" si="600"/>
        <v>12</v>
      </c>
      <c r="H2642" s="3">
        <f t="shared" si="601"/>
        <v>11</v>
      </c>
      <c r="I2642" s="3">
        <f t="shared" si="602"/>
        <v>25</v>
      </c>
      <c r="J2642" s="3">
        <f t="shared" si="603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04"/>
        <v>YES</v>
      </c>
      <c r="Q2642" t="str">
        <f t="shared" si="605"/>
        <v>NO</v>
      </c>
      <c r="R2642" t="str">
        <f t="shared" si="606"/>
        <v>NO</v>
      </c>
      <c r="T2642" t="s">
        <v>710</v>
      </c>
      <c r="U2642" t="str">
        <f t="shared" si="607"/>
        <v>Fresh Pond Pky</v>
      </c>
      <c r="W2642" t="str">
        <f t="shared" si="608"/>
        <v/>
      </c>
      <c r="X2642" t="str">
        <f>IF(ISBLANK(S2642),"Intersection","Non-Intersection")</f>
        <v>Intersection</v>
      </c>
      <c r="Y2642" t="s">
        <v>726</v>
      </c>
      <c r="Z2642" t="str">
        <f t="shared" si="609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596"/>
        <v>40544</v>
      </c>
      <c r="D2643" s="4">
        <f t="shared" si="597"/>
        <v>0.69863013698630139</v>
      </c>
      <c r="E2643" s="3">
        <f t="shared" si="598"/>
        <v>2011</v>
      </c>
      <c r="F2643" s="3">
        <f t="shared" si="599"/>
        <v>9</v>
      </c>
      <c r="G2643" s="3">
        <f t="shared" si="600"/>
        <v>13</v>
      </c>
      <c r="H2643" s="3">
        <f t="shared" si="601"/>
        <v>14</v>
      </c>
      <c r="I2643" s="3">
        <f t="shared" si="602"/>
        <v>39</v>
      </c>
      <c r="J2643" s="3">
        <f t="shared" si="603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04"/>
        <v>YES</v>
      </c>
      <c r="Q2643" t="str">
        <f t="shared" si="605"/>
        <v>NO</v>
      </c>
      <c r="R2643" t="str">
        <f t="shared" si="606"/>
        <v>NO</v>
      </c>
      <c r="T2643" t="s">
        <v>42</v>
      </c>
      <c r="U2643" t="str">
        <f t="shared" si="607"/>
        <v>Putnam Ave</v>
      </c>
      <c r="V2643" t="s">
        <v>178</v>
      </c>
      <c r="W2643" t="str">
        <f t="shared" si="608"/>
        <v>Pleasant St</v>
      </c>
      <c r="X2643" t="str">
        <f>IF(ISBLANK(S2643),"Intersection","Non-Intersection")</f>
        <v>Intersection</v>
      </c>
      <c r="Y2643" t="s">
        <v>179</v>
      </c>
      <c r="Z2643" t="str">
        <f t="shared" si="609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596"/>
        <v>40544</v>
      </c>
      <c r="D2644" s="4">
        <f t="shared" si="597"/>
        <v>0.69863013698630139</v>
      </c>
      <c r="E2644" s="3">
        <f t="shared" si="598"/>
        <v>2011</v>
      </c>
      <c r="F2644" s="3">
        <f t="shared" si="599"/>
        <v>9</v>
      </c>
      <c r="G2644" s="3">
        <f t="shared" si="600"/>
        <v>13</v>
      </c>
      <c r="H2644" s="3">
        <f t="shared" si="601"/>
        <v>11</v>
      </c>
      <c r="I2644" s="3">
        <f t="shared" si="602"/>
        <v>45</v>
      </c>
      <c r="J2644" s="3">
        <f t="shared" si="603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04"/>
        <v>YES</v>
      </c>
      <c r="Q2644" t="str">
        <f t="shared" si="605"/>
        <v>NO</v>
      </c>
      <c r="R2644" t="str">
        <f t="shared" si="606"/>
        <v>NO</v>
      </c>
      <c r="T2644" t="s">
        <v>199</v>
      </c>
      <c r="U2644" t="str">
        <f t="shared" si="607"/>
        <v>Brattle St</v>
      </c>
      <c r="V2644" t="s">
        <v>980</v>
      </c>
      <c r="W2644" t="str">
        <f t="shared" si="608"/>
        <v>Lexington Ave</v>
      </c>
      <c r="X2644" t="str">
        <f>IF(ISBLANK(S2644),"Intersection","Non-Intersection")</f>
        <v>Intersection</v>
      </c>
      <c r="Y2644" t="s">
        <v>1185</v>
      </c>
      <c r="Z2644" t="str">
        <f t="shared" si="609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596"/>
        <v>40544</v>
      </c>
      <c r="D2645" s="4">
        <f t="shared" si="597"/>
        <v>0.70136986301369864</v>
      </c>
      <c r="E2645" s="3">
        <f t="shared" si="598"/>
        <v>2011</v>
      </c>
      <c r="F2645" s="3">
        <f t="shared" si="599"/>
        <v>9</v>
      </c>
      <c r="G2645" s="3">
        <f t="shared" si="600"/>
        <v>14</v>
      </c>
      <c r="H2645" s="3">
        <f t="shared" si="601"/>
        <v>8</v>
      </c>
      <c r="I2645" s="3">
        <f t="shared" si="602"/>
        <v>3</v>
      </c>
      <c r="J2645" s="3">
        <f t="shared" si="603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04"/>
        <v>YES</v>
      </c>
      <c r="Q2645" t="str">
        <f t="shared" si="605"/>
        <v>YES</v>
      </c>
      <c r="R2645" t="str">
        <f t="shared" si="606"/>
        <v>NO</v>
      </c>
      <c r="T2645" t="s">
        <v>796</v>
      </c>
      <c r="U2645" t="str">
        <f t="shared" si="607"/>
        <v>Portland St</v>
      </c>
      <c r="V2645" t="s">
        <v>105</v>
      </c>
      <c r="W2645" t="str">
        <f t="shared" si="608"/>
        <v>Broadway</v>
      </c>
      <c r="X2645" t="str">
        <f>IF(ISBLANK(S2645),"Intersection","Non-Intersection")</f>
        <v>Intersection</v>
      </c>
      <c r="Y2645" t="s">
        <v>3685</v>
      </c>
      <c r="Z2645" t="str">
        <f t="shared" si="609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596"/>
        <v>40544</v>
      </c>
      <c r="D2646" s="4">
        <f t="shared" si="597"/>
        <v>0.70136986301369864</v>
      </c>
      <c r="E2646" s="3">
        <f t="shared" si="598"/>
        <v>2011</v>
      </c>
      <c r="F2646" s="3">
        <f t="shared" si="599"/>
        <v>9</v>
      </c>
      <c r="G2646" s="3">
        <f t="shared" si="600"/>
        <v>14</v>
      </c>
      <c r="H2646" s="3">
        <f t="shared" si="601"/>
        <v>8</v>
      </c>
      <c r="I2646" s="3">
        <f t="shared" si="602"/>
        <v>29</v>
      </c>
      <c r="J2646" s="3">
        <f t="shared" si="603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04"/>
        <v>YES</v>
      </c>
      <c r="Q2646" t="str">
        <f t="shared" si="605"/>
        <v>NO</v>
      </c>
      <c r="R2646" t="str">
        <f t="shared" si="606"/>
        <v>NO</v>
      </c>
      <c r="T2646" t="s">
        <v>14</v>
      </c>
      <c r="U2646" t="str">
        <f t="shared" si="607"/>
        <v>Massachusetts Ave</v>
      </c>
      <c r="V2646" t="s">
        <v>185</v>
      </c>
      <c r="W2646" t="str">
        <f t="shared" si="608"/>
        <v>Garden St</v>
      </c>
      <c r="X2646" t="str">
        <f>IF(ISBLANK(S2646),"Intersection","Non-Intersection")</f>
        <v>Intersection</v>
      </c>
      <c r="Y2646" t="s">
        <v>1247</v>
      </c>
      <c r="Z2646" t="str">
        <f t="shared" si="609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596"/>
        <v>40544</v>
      </c>
      <c r="D2647" s="4">
        <f t="shared" si="597"/>
        <v>0.70136986301369864</v>
      </c>
      <c r="E2647" s="3">
        <f t="shared" si="598"/>
        <v>2011</v>
      </c>
      <c r="F2647" s="3">
        <f t="shared" si="599"/>
        <v>9</v>
      </c>
      <c r="G2647" s="3">
        <f t="shared" si="600"/>
        <v>14</v>
      </c>
      <c r="H2647" s="3">
        <f t="shared" si="601"/>
        <v>8</v>
      </c>
      <c r="I2647" s="3">
        <f t="shared" si="602"/>
        <v>39</v>
      </c>
      <c r="J2647" s="3">
        <f t="shared" si="603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04"/>
        <v>YES</v>
      </c>
      <c r="Q2647" t="str">
        <f t="shared" si="605"/>
        <v>NO</v>
      </c>
      <c r="R2647" t="str">
        <f t="shared" si="606"/>
        <v>NO</v>
      </c>
      <c r="T2647" t="s">
        <v>199</v>
      </c>
      <c r="U2647" t="str">
        <f t="shared" si="607"/>
        <v>Brattle St</v>
      </c>
      <c r="V2647" t="s">
        <v>14</v>
      </c>
      <c r="W2647" t="str">
        <f t="shared" si="608"/>
        <v>Massachusetts Ave</v>
      </c>
      <c r="X2647" t="str">
        <f>IF(ISBLANK(S2647),"Intersection","Non-Intersection")</f>
        <v>Intersection</v>
      </c>
      <c r="Y2647" t="s">
        <v>3686</v>
      </c>
      <c r="Z2647" t="str">
        <f t="shared" si="609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596"/>
        <v>40544</v>
      </c>
      <c r="D2648" s="4">
        <f t="shared" si="597"/>
        <v>0.70136986301369864</v>
      </c>
      <c r="E2648" s="3">
        <f t="shared" si="598"/>
        <v>2011</v>
      </c>
      <c r="F2648" s="3">
        <f t="shared" si="599"/>
        <v>9</v>
      </c>
      <c r="G2648" s="3">
        <f t="shared" si="600"/>
        <v>14</v>
      </c>
      <c r="H2648" s="3">
        <f t="shared" si="601"/>
        <v>9</v>
      </c>
      <c r="I2648" s="3">
        <f t="shared" si="602"/>
        <v>0</v>
      </c>
      <c r="J2648" s="3">
        <f t="shared" si="603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04"/>
        <v>YES</v>
      </c>
      <c r="Q2648" t="str">
        <f t="shared" si="605"/>
        <v>NO</v>
      </c>
      <c r="R2648" t="str">
        <f t="shared" si="606"/>
        <v>NO</v>
      </c>
      <c r="T2648" t="s">
        <v>14</v>
      </c>
      <c r="U2648" t="str">
        <f t="shared" si="607"/>
        <v>Massachusetts Ave</v>
      </c>
      <c r="V2648" t="s">
        <v>202</v>
      </c>
      <c r="W2648" t="str">
        <f t="shared" si="608"/>
        <v>Vassar St</v>
      </c>
      <c r="X2648" t="str">
        <f>IF(ISBLANK(S2648),"Intersection","Non-Intersection")</f>
        <v>Intersection</v>
      </c>
      <c r="Y2648" t="s">
        <v>361</v>
      </c>
      <c r="Z2648" t="str">
        <f t="shared" si="609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596"/>
        <v>40544</v>
      </c>
      <c r="D2649" s="4">
        <f t="shared" si="597"/>
        <v>0.70136986301369864</v>
      </c>
      <c r="E2649" s="3">
        <f t="shared" si="598"/>
        <v>2011</v>
      </c>
      <c r="F2649" s="3">
        <f t="shared" si="599"/>
        <v>9</v>
      </c>
      <c r="G2649" s="3">
        <f t="shared" si="600"/>
        <v>14</v>
      </c>
      <c r="H2649" s="3">
        <f t="shared" si="601"/>
        <v>11</v>
      </c>
      <c r="I2649" s="3">
        <f t="shared" si="602"/>
        <v>0</v>
      </c>
      <c r="J2649" s="3">
        <f t="shared" si="603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04"/>
        <v>YES</v>
      </c>
      <c r="Q2649" t="str">
        <f t="shared" si="605"/>
        <v>NO</v>
      </c>
      <c r="R2649" t="str">
        <f t="shared" si="606"/>
        <v>NO</v>
      </c>
      <c r="S2649">
        <v>725</v>
      </c>
      <c r="T2649" t="s">
        <v>186</v>
      </c>
      <c r="U2649" t="str">
        <f t="shared" si="607"/>
        <v>Concord Ave</v>
      </c>
      <c r="W2649" t="str">
        <f t="shared" si="608"/>
        <v/>
      </c>
      <c r="X2649" t="str">
        <f>IF(ISBLANK(S2649),"Intersection","Non-Intersection")</f>
        <v>Non-Intersection</v>
      </c>
      <c r="Y2649" t="s">
        <v>617</v>
      </c>
      <c r="Z2649" t="str">
        <f t="shared" si="609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596"/>
        <v>40544</v>
      </c>
      <c r="D2650" s="4">
        <f t="shared" si="597"/>
        <v>0.70136986301369864</v>
      </c>
      <c r="E2650" s="3">
        <f t="shared" si="598"/>
        <v>2011</v>
      </c>
      <c r="F2650" s="3">
        <f t="shared" si="599"/>
        <v>9</v>
      </c>
      <c r="G2650" s="3">
        <f t="shared" si="600"/>
        <v>14</v>
      </c>
      <c r="H2650" s="3">
        <f t="shared" si="601"/>
        <v>12</v>
      </c>
      <c r="I2650" s="3">
        <f t="shared" si="602"/>
        <v>49</v>
      </c>
      <c r="J2650" s="3">
        <f t="shared" si="603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04"/>
        <v>YES</v>
      </c>
      <c r="Q2650" t="str">
        <f t="shared" si="605"/>
        <v>NO</v>
      </c>
      <c r="R2650" t="str">
        <f t="shared" si="606"/>
        <v>NO</v>
      </c>
      <c r="S2650">
        <v>746</v>
      </c>
      <c r="T2650" t="s">
        <v>19</v>
      </c>
      <c r="U2650" t="str">
        <f t="shared" si="607"/>
        <v>Cambridge St</v>
      </c>
      <c r="W2650" t="str">
        <f t="shared" si="608"/>
        <v/>
      </c>
      <c r="X2650" t="str">
        <f>IF(ISBLANK(S2650),"Intersection","Non-Intersection")</f>
        <v>Non-Intersection</v>
      </c>
      <c r="Y2650" t="s">
        <v>3687</v>
      </c>
      <c r="Z2650" t="str">
        <f t="shared" si="609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596"/>
        <v>40544</v>
      </c>
      <c r="D2651" s="4">
        <f t="shared" si="597"/>
        <v>0.70136986301369864</v>
      </c>
      <c r="E2651" s="3">
        <f t="shared" si="598"/>
        <v>2011</v>
      </c>
      <c r="F2651" s="3">
        <f t="shared" si="599"/>
        <v>9</v>
      </c>
      <c r="G2651" s="3">
        <f t="shared" si="600"/>
        <v>14</v>
      </c>
      <c r="H2651" s="3">
        <f t="shared" si="601"/>
        <v>12</v>
      </c>
      <c r="I2651" s="3">
        <f t="shared" si="602"/>
        <v>59</v>
      </c>
      <c r="J2651" s="3">
        <f t="shared" si="603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04"/>
        <v>YES</v>
      </c>
      <c r="Q2651" t="str">
        <f t="shared" si="605"/>
        <v>NO</v>
      </c>
      <c r="R2651" t="str">
        <f t="shared" si="606"/>
        <v>NO</v>
      </c>
      <c r="S2651">
        <v>211</v>
      </c>
      <c r="T2651" t="s">
        <v>170</v>
      </c>
      <c r="U2651" t="str">
        <f t="shared" si="607"/>
        <v>Alewife Brook Pky</v>
      </c>
      <c r="W2651" t="str">
        <f t="shared" si="608"/>
        <v/>
      </c>
      <c r="X2651" t="str">
        <f>IF(ISBLANK(S2651),"Intersection","Non-Intersection")</f>
        <v>Non-Intersection</v>
      </c>
      <c r="Y2651" t="s">
        <v>1359</v>
      </c>
      <c r="Z2651" t="str">
        <f t="shared" si="609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596"/>
        <v>40544</v>
      </c>
      <c r="D2652" s="4">
        <f t="shared" si="597"/>
        <v>0.70136986301369864</v>
      </c>
      <c r="E2652" s="3">
        <f t="shared" si="598"/>
        <v>2011</v>
      </c>
      <c r="F2652" s="3">
        <f t="shared" si="599"/>
        <v>9</v>
      </c>
      <c r="G2652" s="3">
        <f t="shared" si="600"/>
        <v>14</v>
      </c>
      <c r="H2652" s="3">
        <f t="shared" si="601"/>
        <v>18</v>
      </c>
      <c r="I2652" s="3">
        <f t="shared" si="602"/>
        <v>43</v>
      </c>
      <c r="J2652" s="3">
        <f t="shared" si="603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04"/>
        <v>YES</v>
      </c>
      <c r="Q2652" t="str">
        <f t="shared" si="605"/>
        <v>YES</v>
      </c>
      <c r="R2652" t="str">
        <f t="shared" si="606"/>
        <v>NO</v>
      </c>
      <c r="S2652">
        <v>287</v>
      </c>
      <c r="T2652" t="s">
        <v>342</v>
      </c>
      <c r="U2652" t="str">
        <f t="shared" si="607"/>
        <v>Prospect St</v>
      </c>
      <c r="W2652" t="str">
        <f t="shared" si="608"/>
        <v/>
      </c>
      <c r="X2652" t="str">
        <f>IF(ISBLANK(S2652),"Intersection","Non-Intersection")</f>
        <v>Non-Intersection</v>
      </c>
      <c r="Y2652" t="s">
        <v>3689</v>
      </c>
      <c r="Z2652" t="str">
        <f t="shared" si="609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596"/>
        <v>40544</v>
      </c>
      <c r="D2653" s="4">
        <f t="shared" si="597"/>
        <v>0.70136986301369864</v>
      </c>
      <c r="E2653" s="3">
        <f t="shared" si="598"/>
        <v>2011</v>
      </c>
      <c r="F2653" s="3">
        <f t="shared" si="599"/>
        <v>9</v>
      </c>
      <c r="G2653" s="3">
        <f t="shared" si="600"/>
        <v>14</v>
      </c>
      <c r="H2653" s="3">
        <f t="shared" si="601"/>
        <v>16</v>
      </c>
      <c r="I2653" s="3">
        <f t="shared" si="602"/>
        <v>30</v>
      </c>
      <c r="J2653" s="3">
        <f t="shared" si="603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04"/>
        <v>YES</v>
      </c>
      <c r="Q2653" t="str">
        <f t="shared" si="605"/>
        <v>YES</v>
      </c>
      <c r="R2653" t="str">
        <f t="shared" si="606"/>
        <v>NO</v>
      </c>
      <c r="T2653" t="s">
        <v>216</v>
      </c>
      <c r="U2653" t="str">
        <f t="shared" si="607"/>
        <v>Washington Ave</v>
      </c>
      <c r="V2653" t="s">
        <v>189</v>
      </c>
      <c r="W2653" t="str">
        <f t="shared" si="608"/>
        <v>Windsor St</v>
      </c>
      <c r="X2653" t="str">
        <f>IF(ISBLANK(S2653),"Intersection","Non-Intersection")</f>
        <v>Intersection</v>
      </c>
      <c r="Y2653" t="s">
        <v>3691</v>
      </c>
      <c r="Z2653" t="str">
        <f t="shared" si="609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596"/>
        <v>40544</v>
      </c>
      <c r="D2654" s="4">
        <f t="shared" si="597"/>
        <v>0.70136986301369864</v>
      </c>
      <c r="E2654" s="3">
        <f t="shared" si="598"/>
        <v>2011</v>
      </c>
      <c r="F2654" s="3">
        <f t="shared" si="599"/>
        <v>9</v>
      </c>
      <c r="G2654" s="3">
        <f t="shared" si="600"/>
        <v>14</v>
      </c>
      <c r="H2654" s="3">
        <f t="shared" si="601"/>
        <v>18</v>
      </c>
      <c r="I2654" s="3">
        <f t="shared" si="602"/>
        <v>59</v>
      </c>
      <c r="J2654" s="3">
        <f t="shared" si="603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04"/>
        <v>YES</v>
      </c>
      <c r="Q2654" t="str">
        <f t="shared" si="605"/>
        <v>NO</v>
      </c>
      <c r="R2654" t="str">
        <f t="shared" si="606"/>
        <v>YES</v>
      </c>
      <c r="T2654" t="s">
        <v>198</v>
      </c>
      <c r="U2654" t="str">
        <f t="shared" si="607"/>
        <v>Mount Auburn St</v>
      </c>
      <c r="V2654" t="s">
        <v>3693</v>
      </c>
      <c r="W2654" t="str">
        <f t="shared" si="608"/>
        <v>Holyoke Pl</v>
      </c>
      <c r="X2654" t="str">
        <f>IF(ISBLANK(S2654),"Intersection","Non-Intersection")</f>
        <v>Intersection</v>
      </c>
      <c r="Y2654" t="s">
        <v>3694</v>
      </c>
      <c r="Z2654" t="str">
        <f t="shared" si="609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596"/>
        <v>40544</v>
      </c>
      <c r="D2655" s="4">
        <f t="shared" si="597"/>
        <v>0.70410958904109588</v>
      </c>
      <c r="E2655" s="3">
        <f t="shared" si="598"/>
        <v>2011</v>
      </c>
      <c r="F2655" s="3">
        <f t="shared" si="599"/>
        <v>9</v>
      </c>
      <c r="G2655" s="3">
        <f t="shared" si="600"/>
        <v>15</v>
      </c>
      <c r="H2655" s="3">
        <f t="shared" si="601"/>
        <v>11</v>
      </c>
      <c r="I2655" s="3">
        <f t="shared" si="602"/>
        <v>29</v>
      </c>
      <c r="J2655" s="3">
        <f t="shared" si="603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04"/>
        <v>YES</v>
      </c>
      <c r="Q2655" t="str">
        <f t="shared" si="605"/>
        <v>NO</v>
      </c>
      <c r="R2655" t="str">
        <f t="shared" si="606"/>
        <v>NO</v>
      </c>
      <c r="S2655">
        <v>873</v>
      </c>
      <c r="T2655" t="s">
        <v>19</v>
      </c>
      <c r="U2655" t="str">
        <f t="shared" si="607"/>
        <v>Cambridge St</v>
      </c>
      <c r="W2655" t="str">
        <f t="shared" si="608"/>
        <v/>
      </c>
      <c r="X2655" t="str">
        <f>IF(ISBLANK(S2655),"Intersection","Non-Intersection")</f>
        <v>Non-Intersection</v>
      </c>
      <c r="Y2655" t="s">
        <v>3696</v>
      </c>
      <c r="Z2655" t="str">
        <f t="shared" si="609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596"/>
        <v>40544</v>
      </c>
      <c r="D2656" s="4">
        <f t="shared" si="597"/>
        <v>0.70410958904109588</v>
      </c>
      <c r="E2656" s="3">
        <f t="shared" si="598"/>
        <v>2011</v>
      </c>
      <c r="F2656" s="3">
        <f t="shared" si="599"/>
        <v>9</v>
      </c>
      <c r="G2656" s="3">
        <f t="shared" si="600"/>
        <v>15</v>
      </c>
      <c r="H2656" s="3">
        <f t="shared" si="601"/>
        <v>8</v>
      </c>
      <c r="I2656" s="3">
        <f t="shared" si="602"/>
        <v>48</v>
      </c>
      <c r="J2656" s="3">
        <f t="shared" si="603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04"/>
        <v>YES</v>
      </c>
      <c r="Q2656" t="str">
        <f t="shared" si="605"/>
        <v>NO</v>
      </c>
      <c r="R2656" t="str">
        <f t="shared" si="606"/>
        <v>NO</v>
      </c>
      <c r="T2656" t="s">
        <v>14</v>
      </c>
      <c r="U2656" t="str">
        <f t="shared" si="607"/>
        <v>Massachusetts Ave</v>
      </c>
      <c r="V2656" t="s">
        <v>126</v>
      </c>
      <c r="W2656" t="str">
        <f t="shared" si="608"/>
        <v>Somerville Ave</v>
      </c>
      <c r="X2656" t="str">
        <f>IF(ISBLANK(S2656),"Intersection","Non-Intersection")</f>
        <v>Intersection</v>
      </c>
      <c r="Y2656" t="s">
        <v>127</v>
      </c>
      <c r="Z2656" t="str">
        <f t="shared" si="609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596"/>
        <v>40544</v>
      </c>
      <c r="D2657" s="4">
        <f t="shared" si="597"/>
        <v>0.70410958904109588</v>
      </c>
      <c r="E2657" s="3">
        <f t="shared" si="598"/>
        <v>2011</v>
      </c>
      <c r="F2657" s="3">
        <f t="shared" si="599"/>
        <v>9</v>
      </c>
      <c r="G2657" s="3">
        <f t="shared" si="600"/>
        <v>15</v>
      </c>
      <c r="H2657" s="3">
        <f t="shared" si="601"/>
        <v>10</v>
      </c>
      <c r="I2657" s="3">
        <f t="shared" si="602"/>
        <v>30</v>
      </c>
      <c r="J2657" s="3">
        <f t="shared" si="603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04"/>
        <v>YES</v>
      </c>
      <c r="Q2657" t="str">
        <f t="shared" si="605"/>
        <v>NO</v>
      </c>
      <c r="R2657" t="str">
        <f t="shared" si="606"/>
        <v>NO</v>
      </c>
      <c r="T2657" t="s">
        <v>365</v>
      </c>
      <c r="U2657" t="str">
        <f t="shared" si="607"/>
        <v>Hurley St</v>
      </c>
      <c r="V2657" t="s">
        <v>3698</v>
      </c>
      <c r="W2657" t="str">
        <f t="shared" si="608"/>
        <v>Lopez Ave</v>
      </c>
      <c r="X2657" t="str">
        <f>IF(ISBLANK(S2657),"Intersection","Non-Intersection")</f>
        <v>Intersection</v>
      </c>
      <c r="Y2657" t="s">
        <v>3699</v>
      </c>
      <c r="Z2657" t="str">
        <f t="shared" si="609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596"/>
        <v>40544</v>
      </c>
      <c r="D2658" s="4">
        <f t="shared" si="597"/>
        <v>0.70410958904109588</v>
      </c>
      <c r="E2658" s="3">
        <f t="shared" si="598"/>
        <v>2011</v>
      </c>
      <c r="F2658" s="3">
        <f t="shared" si="599"/>
        <v>9</v>
      </c>
      <c r="G2658" s="3">
        <f t="shared" si="600"/>
        <v>15</v>
      </c>
      <c r="H2658" s="3">
        <f t="shared" si="601"/>
        <v>13</v>
      </c>
      <c r="I2658" s="3">
        <f t="shared" si="602"/>
        <v>57</v>
      </c>
      <c r="J2658" s="3">
        <f t="shared" si="603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04"/>
        <v>YES</v>
      </c>
      <c r="Q2658" t="str">
        <f t="shared" si="605"/>
        <v>NO</v>
      </c>
      <c r="R2658" t="str">
        <f t="shared" si="606"/>
        <v>NO</v>
      </c>
      <c r="T2658" t="s">
        <v>2206</v>
      </c>
      <c r="U2658" t="str">
        <f t="shared" si="607"/>
        <v>Hayward St</v>
      </c>
      <c r="V2658" t="s">
        <v>1182</v>
      </c>
      <c r="W2658" t="str">
        <f t="shared" si="608"/>
        <v>Amherst St</v>
      </c>
      <c r="X2658" t="str">
        <f>IF(ISBLANK(S2658),"Intersection","Non-Intersection")</f>
        <v>Intersection</v>
      </c>
      <c r="Y2658" t="s">
        <v>3701</v>
      </c>
      <c r="Z2658" t="str">
        <f t="shared" si="609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596"/>
        <v>40544</v>
      </c>
      <c r="D2659" s="4">
        <f t="shared" si="597"/>
        <v>0.70410958904109588</v>
      </c>
      <c r="E2659" s="3">
        <f t="shared" si="598"/>
        <v>2011</v>
      </c>
      <c r="F2659" s="3">
        <f t="shared" si="599"/>
        <v>9</v>
      </c>
      <c r="G2659" s="3">
        <f t="shared" si="600"/>
        <v>15</v>
      </c>
      <c r="H2659" s="3">
        <f t="shared" si="601"/>
        <v>16</v>
      </c>
      <c r="I2659" s="3">
        <f t="shared" si="602"/>
        <v>30</v>
      </c>
      <c r="J2659" s="3">
        <f t="shared" si="603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04"/>
        <v>YES</v>
      </c>
      <c r="Q2659" t="str">
        <f t="shared" si="605"/>
        <v>YES</v>
      </c>
      <c r="R2659" t="str">
        <f t="shared" si="606"/>
        <v>NO</v>
      </c>
      <c r="T2659" t="s">
        <v>14</v>
      </c>
      <c r="U2659" t="str">
        <f t="shared" si="607"/>
        <v>Massachusetts Ave</v>
      </c>
      <c r="V2659" t="s">
        <v>601</v>
      </c>
      <c r="W2659" t="str">
        <f t="shared" si="608"/>
        <v>Cedar St</v>
      </c>
      <c r="X2659" t="str">
        <f>IF(ISBLANK(S2659),"Intersection","Non-Intersection")</f>
        <v>Intersection</v>
      </c>
      <c r="Y2659" t="s">
        <v>602</v>
      </c>
      <c r="Z2659" t="str">
        <f t="shared" si="609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596"/>
        <v>40544</v>
      </c>
      <c r="D2660" s="4">
        <f t="shared" si="597"/>
        <v>0.70410958904109588</v>
      </c>
      <c r="E2660" s="3">
        <f t="shared" si="598"/>
        <v>2011</v>
      </c>
      <c r="F2660" s="3">
        <f t="shared" si="599"/>
        <v>9</v>
      </c>
      <c r="G2660" s="3">
        <f t="shared" si="600"/>
        <v>15</v>
      </c>
      <c r="H2660" s="3">
        <f t="shared" si="601"/>
        <v>20</v>
      </c>
      <c r="I2660" s="3">
        <f t="shared" si="602"/>
        <v>35</v>
      </c>
      <c r="J2660" s="3">
        <f t="shared" si="603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04"/>
        <v>YES</v>
      </c>
      <c r="Q2660" t="str">
        <f t="shared" si="605"/>
        <v>YES</v>
      </c>
      <c r="R2660" t="str">
        <f t="shared" si="606"/>
        <v>NO</v>
      </c>
      <c r="T2660" t="s">
        <v>133</v>
      </c>
      <c r="U2660" t="str">
        <f t="shared" si="607"/>
        <v>Harvard St</v>
      </c>
      <c r="V2660" t="s">
        <v>101</v>
      </c>
      <c r="W2660" t="str">
        <f t="shared" si="608"/>
        <v>Columbia St</v>
      </c>
      <c r="X2660" t="str">
        <f>IF(ISBLANK(S2660),"Intersection","Non-Intersection")</f>
        <v>Intersection</v>
      </c>
      <c r="Y2660" t="s">
        <v>3702</v>
      </c>
      <c r="Z2660" t="str">
        <f t="shared" si="609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596"/>
        <v>40544</v>
      </c>
      <c r="D2661" s="4">
        <f t="shared" si="597"/>
        <v>0.70410958904109588</v>
      </c>
      <c r="E2661" s="3">
        <f t="shared" si="598"/>
        <v>2011</v>
      </c>
      <c r="F2661" s="3">
        <f t="shared" si="599"/>
        <v>9</v>
      </c>
      <c r="G2661" s="3">
        <f t="shared" si="600"/>
        <v>15</v>
      </c>
      <c r="H2661" s="3">
        <f t="shared" si="601"/>
        <v>12</v>
      </c>
      <c r="I2661" s="3">
        <f t="shared" si="602"/>
        <v>0</v>
      </c>
      <c r="J2661" s="3">
        <f t="shared" si="603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04"/>
        <v>YES</v>
      </c>
      <c r="Q2661" t="str">
        <f t="shared" si="605"/>
        <v>NO</v>
      </c>
      <c r="R2661" t="str">
        <f t="shared" si="606"/>
        <v>NO</v>
      </c>
      <c r="S2661">
        <v>1</v>
      </c>
      <c r="T2661" t="s">
        <v>351</v>
      </c>
      <c r="U2661" t="str">
        <f t="shared" si="607"/>
        <v>Cambridge Ctr</v>
      </c>
      <c r="W2661" t="str">
        <f t="shared" si="608"/>
        <v/>
      </c>
      <c r="X2661" t="str">
        <f>IF(ISBLANK(S2661),"Intersection","Non-Intersection")</f>
        <v>Non-Intersection</v>
      </c>
      <c r="Y2661" t="s">
        <v>352</v>
      </c>
      <c r="Z2661" t="str">
        <f t="shared" si="609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596"/>
        <v>40544</v>
      </c>
      <c r="D2662" s="4">
        <f t="shared" si="597"/>
        <v>0.70410958904109588</v>
      </c>
      <c r="E2662" s="3">
        <f t="shared" si="598"/>
        <v>2011</v>
      </c>
      <c r="F2662" s="3">
        <f t="shared" si="599"/>
        <v>9</v>
      </c>
      <c r="G2662" s="3">
        <f t="shared" si="600"/>
        <v>15</v>
      </c>
      <c r="H2662" s="3">
        <f t="shared" si="601"/>
        <v>14</v>
      </c>
      <c r="I2662" s="3">
        <f t="shared" si="602"/>
        <v>23</v>
      </c>
      <c r="J2662" s="3">
        <f t="shared" si="603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04"/>
        <v>YES</v>
      </c>
      <c r="Q2662" t="str">
        <f t="shared" si="605"/>
        <v>YES</v>
      </c>
      <c r="R2662" t="str">
        <f t="shared" si="606"/>
        <v>NO</v>
      </c>
      <c r="T2662" t="s">
        <v>19</v>
      </c>
      <c r="U2662" t="str">
        <f t="shared" si="607"/>
        <v>Cambridge St</v>
      </c>
      <c r="V2662" t="s">
        <v>971</v>
      </c>
      <c r="W2662" t="str">
        <f t="shared" si="608"/>
        <v>Ellsworth Ave</v>
      </c>
      <c r="X2662" t="str">
        <f>IF(ISBLANK(S2662),"Intersection","Non-Intersection")</f>
        <v>Intersection</v>
      </c>
      <c r="Y2662" t="s">
        <v>1785</v>
      </c>
      <c r="Z2662" t="str">
        <f t="shared" si="609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596"/>
        <v>40544</v>
      </c>
      <c r="D2663" s="4">
        <f t="shared" si="597"/>
        <v>0.70684931506849313</v>
      </c>
      <c r="E2663" s="3">
        <f t="shared" si="598"/>
        <v>2011</v>
      </c>
      <c r="F2663" s="3">
        <f t="shared" si="599"/>
        <v>9</v>
      </c>
      <c r="G2663" s="3">
        <f t="shared" si="600"/>
        <v>16</v>
      </c>
      <c r="H2663" s="3">
        <f t="shared" si="601"/>
        <v>9</v>
      </c>
      <c r="I2663" s="3">
        <f t="shared" si="602"/>
        <v>40</v>
      </c>
      <c r="J2663" s="3">
        <f t="shared" si="603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04"/>
        <v>YES</v>
      </c>
      <c r="Q2663" t="str">
        <f t="shared" si="605"/>
        <v>NO</v>
      </c>
      <c r="R2663" t="str">
        <f t="shared" si="606"/>
        <v>NO</v>
      </c>
      <c r="T2663" t="s">
        <v>19</v>
      </c>
      <c r="U2663" t="str">
        <f t="shared" si="607"/>
        <v>Cambridge St</v>
      </c>
      <c r="V2663" t="s">
        <v>760</v>
      </c>
      <c r="W2663" t="str">
        <f t="shared" si="608"/>
        <v>Fulkerson St</v>
      </c>
      <c r="X2663" t="str">
        <f>IF(ISBLANK(S2663),"Intersection","Non-Intersection")</f>
        <v>Intersection</v>
      </c>
      <c r="Y2663" t="s">
        <v>3703</v>
      </c>
      <c r="Z2663" t="str">
        <f t="shared" si="609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596"/>
        <v>40544</v>
      </c>
      <c r="D2664" s="4">
        <f t="shared" si="597"/>
        <v>0.70684931506849313</v>
      </c>
      <c r="E2664" s="3">
        <f t="shared" si="598"/>
        <v>2011</v>
      </c>
      <c r="F2664" s="3">
        <f t="shared" si="599"/>
        <v>9</v>
      </c>
      <c r="G2664" s="3">
        <f t="shared" si="600"/>
        <v>16</v>
      </c>
      <c r="H2664" s="3">
        <f t="shared" si="601"/>
        <v>12</v>
      </c>
      <c r="I2664" s="3">
        <f t="shared" si="602"/>
        <v>0</v>
      </c>
      <c r="J2664" s="3">
        <f t="shared" si="603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04"/>
        <v>YES</v>
      </c>
      <c r="Q2664" t="str">
        <f t="shared" si="605"/>
        <v>NO</v>
      </c>
      <c r="R2664" t="str">
        <f t="shared" si="606"/>
        <v>YES</v>
      </c>
      <c r="T2664" t="s">
        <v>105</v>
      </c>
      <c r="U2664" t="str">
        <f t="shared" si="607"/>
        <v>Broadway</v>
      </c>
      <c r="V2664" t="s">
        <v>104</v>
      </c>
      <c r="W2664" t="str">
        <f t="shared" si="608"/>
        <v>Inman St</v>
      </c>
      <c r="X2664" t="str">
        <f>IF(ISBLANK(S2664),"Intersection","Non-Intersection")</f>
        <v>Intersection</v>
      </c>
      <c r="Y2664" t="s">
        <v>2336</v>
      </c>
      <c r="Z2664" t="str">
        <f t="shared" si="609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596"/>
        <v>40544</v>
      </c>
      <c r="D2665" s="4">
        <f t="shared" si="597"/>
        <v>0.70684931506849313</v>
      </c>
      <c r="E2665" s="3">
        <f t="shared" si="598"/>
        <v>2011</v>
      </c>
      <c r="F2665" s="3">
        <f t="shared" si="599"/>
        <v>9</v>
      </c>
      <c r="G2665" s="3">
        <f t="shared" si="600"/>
        <v>16</v>
      </c>
      <c r="H2665" s="3">
        <f t="shared" si="601"/>
        <v>14</v>
      </c>
      <c r="I2665" s="3">
        <f t="shared" si="602"/>
        <v>7</v>
      </c>
      <c r="J2665" s="3">
        <f t="shared" si="603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04"/>
        <v>YES</v>
      </c>
      <c r="Q2665" t="str">
        <f t="shared" si="605"/>
        <v>NO</v>
      </c>
      <c r="R2665" t="str">
        <f t="shared" si="606"/>
        <v>NO</v>
      </c>
      <c r="S2665">
        <v>1</v>
      </c>
      <c r="U2665" t="str">
        <f t="shared" si="607"/>
        <v/>
      </c>
      <c r="W2665" t="str">
        <f t="shared" si="608"/>
        <v/>
      </c>
      <c r="X2665" t="str">
        <f>IF(ISBLANK(S2665),"Intersection","Non-Intersection")</f>
        <v>Non-Intersection</v>
      </c>
      <c r="Y2665" t="s">
        <v>3705</v>
      </c>
      <c r="Z2665" t="str">
        <f t="shared" si="609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596"/>
        <v>40544</v>
      </c>
      <c r="D2666" s="4">
        <f t="shared" si="597"/>
        <v>0.70684931506849313</v>
      </c>
      <c r="E2666" s="3">
        <f t="shared" si="598"/>
        <v>2011</v>
      </c>
      <c r="F2666" s="3">
        <f t="shared" si="599"/>
        <v>9</v>
      </c>
      <c r="G2666" s="3">
        <f t="shared" si="600"/>
        <v>16</v>
      </c>
      <c r="H2666" s="3">
        <f t="shared" si="601"/>
        <v>17</v>
      </c>
      <c r="I2666" s="3">
        <f t="shared" si="602"/>
        <v>0</v>
      </c>
      <c r="J2666" s="3">
        <f t="shared" si="603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04"/>
        <v>YES</v>
      </c>
      <c r="Q2666" t="str">
        <f t="shared" si="605"/>
        <v>NO</v>
      </c>
      <c r="R2666" t="str">
        <f t="shared" si="606"/>
        <v>NO</v>
      </c>
      <c r="S2666">
        <v>84</v>
      </c>
      <c r="T2666" t="s">
        <v>14</v>
      </c>
      <c r="U2666" t="str">
        <f t="shared" si="607"/>
        <v>Massachusetts Ave</v>
      </c>
      <c r="W2666" t="str">
        <f t="shared" si="608"/>
        <v/>
      </c>
      <c r="X2666" t="str">
        <f>IF(ISBLANK(S2666),"Intersection","Non-Intersection")</f>
        <v>Non-Intersection</v>
      </c>
      <c r="Y2666" t="s">
        <v>888</v>
      </c>
      <c r="Z2666" t="str">
        <f t="shared" si="609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596"/>
        <v>40544</v>
      </c>
      <c r="D2667" s="4">
        <f t="shared" si="597"/>
        <v>0.70684931506849313</v>
      </c>
      <c r="E2667" s="3">
        <f t="shared" si="598"/>
        <v>2011</v>
      </c>
      <c r="F2667" s="3">
        <f t="shared" si="599"/>
        <v>9</v>
      </c>
      <c r="G2667" s="3">
        <f t="shared" si="600"/>
        <v>16</v>
      </c>
      <c r="H2667" s="3">
        <f t="shared" si="601"/>
        <v>18</v>
      </c>
      <c r="I2667" s="3">
        <f t="shared" si="602"/>
        <v>14</v>
      </c>
      <c r="J2667" s="3">
        <f t="shared" si="603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04"/>
        <v>YES</v>
      </c>
      <c r="Q2667" t="str">
        <f t="shared" si="605"/>
        <v>YES</v>
      </c>
      <c r="R2667" t="str">
        <f t="shared" si="606"/>
        <v>NO</v>
      </c>
      <c r="T2667" t="s">
        <v>14</v>
      </c>
      <c r="U2667" t="str">
        <f t="shared" si="607"/>
        <v>Massachusetts Ave</v>
      </c>
      <c r="V2667" t="s">
        <v>119</v>
      </c>
      <c r="W2667" t="str">
        <f t="shared" si="608"/>
        <v>Albany St</v>
      </c>
      <c r="X2667" t="str">
        <f>IF(ISBLANK(S2667),"Intersection","Non-Intersection")</f>
        <v>Intersection</v>
      </c>
      <c r="Y2667" t="s">
        <v>247</v>
      </c>
      <c r="Z2667" t="str">
        <f t="shared" si="609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596"/>
        <v>40544</v>
      </c>
      <c r="D2668" s="4">
        <f t="shared" si="597"/>
        <v>0.70958904109589038</v>
      </c>
      <c r="E2668" s="3">
        <f t="shared" si="598"/>
        <v>2011</v>
      </c>
      <c r="F2668" s="3">
        <f t="shared" si="599"/>
        <v>9</v>
      </c>
      <c r="G2668" s="3">
        <f t="shared" si="600"/>
        <v>17</v>
      </c>
      <c r="H2668" s="3">
        <f t="shared" si="601"/>
        <v>2</v>
      </c>
      <c r="I2668" s="3">
        <f t="shared" si="602"/>
        <v>49</v>
      </c>
      <c r="J2668" s="3">
        <f t="shared" si="603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04"/>
        <v>YES</v>
      </c>
      <c r="Q2668" t="str">
        <f t="shared" si="605"/>
        <v>YES</v>
      </c>
      <c r="R2668" t="str">
        <f t="shared" si="606"/>
        <v>NO</v>
      </c>
      <c r="T2668" t="s">
        <v>14</v>
      </c>
      <c r="U2668" t="str">
        <f t="shared" si="607"/>
        <v>Massachusetts Ave</v>
      </c>
      <c r="V2668" t="s">
        <v>203</v>
      </c>
      <c r="W2668" t="str">
        <f t="shared" si="608"/>
        <v>Memorial Dr</v>
      </c>
      <c r="X2668" t="str">
        <f>IF(ISBLANK(S2668),"Intersection","Non-Intersection")</f>
        <v>Intersection</v>
      </c>
      <c r="Y2668" t="s">
        <v>3246</v>
      </c>
      <c r="Z2668" t="str">
        <f t="shared" si="609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596"/>
        <v>40544</v>
      </c>
      <c r="D2669" s="4">
        <f t="shared" si="597"/>
        <v>0.70958904109589038</v>
      </c>
      <c r="E2669" s="3">
        <f t="shared" si="598"/>
        <v>2011</v>
      </c>
      <c r="F2669" s="3">
        <f t="shared" si="599"/>
        <v>9</v>
      </c>
      <c r="G2669" s="3">
        <f t="shared" si="600"/>
        <v>17</v>
      </c>
      <c r="H2669" s="3">
        <f t="shared" si="601"/>
        <v>10</v>
      </c>
      <c r="I2669" s="3">
        <f t="shared" si="602"/>
        <v>30</v>
      </c>
      <c r="J2669" s="3">
        <f t="shared" si="603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04"/>
        <v>YES</v>
      </c>
      <c r="Q2669" t="str">
        <f t="shared" si="605"/>
        <v>NO</v>
      </c>
      <c r="R2669" t="str">
        <f t="shared" si="606"/>
        <v>NO</v>
      </c>
      <c r="S2669">
        <v>80</v>
      </c>
      <c r="T2669" t="s">
        <v>249</v>
      </c>
      <c r="U2669" t="str">
        <f t="shared" si="607"/>
        <v>Landsdowne St</v>
      </c>
      <c r="W2669" t="str">
        <f t="shared" si="608"/>
        <v/>
      </c>
      <c r="X2669" t="str">
        <f>IF(ISBLANK(S2669),"Intersection","Non-Intersection")</f>
        <v>Non-Intersection</v>
      </c>
      <c r="Y2669" t="s">
        <v>2357</v>
      </c>
      <c r="Z2669" t="str">
        <f t="shared" si="609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596"/>
        <v>40544</v>
      </c>
      <c r="D2670" s="4">
        <f t="shared" si="597"/>
        <v>0.70958904109589038</v>
      </c>
      <c r="E2670" s="3">
        <f t="shared" si="598"/>
        <v>2011</v>
      </c>
      <c r="F2670" s="3">
        <f t="shared" si="599"/>
        <v>9</v>
      </c>
      <c r="G2670" s="3">
        <f t="shared" si="600"/>
        <v>17</v>
      </c>
      <c r="H2670" s="3">
        <f t="shared" si="601"/>
        <v>12</v>
      </c>
      <c r="I2670" s="3">
        <f t="shared" si="602"/>
        <v>24</v>
      </c>
      <c r="J2670" s="3">
        <f t="shared" si="603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04"/>
        <v>YES</v>
      </c>
      <c r="Q2670" t="str">
        <f t="shared" si="605"/>
        <v>NO</v>
      </c>
      <c r="R2670" t="str">
        <f t="shared" si="606"/>
        <v>NO</v>
      </c>
      <c r="T2670" t="s">
        <v>252</v>
      </c>
      <c r="U2670" t="str">
        <f t="shared" si="607"/>
        <v>Walden St</v>
      </c>
      <c r="V2670" t="s">
        <v>186</v>
      </c>
      <c r="W2670" t="str">
        <f t="shared" si="608"/>
        <v>Concord Ave</v>
      </c>
      <c r="X2670" t="str">
        <f>IF(ISBLANK(S2670),"Intersection","Non-Intersection")</f>
        <v>Intersection</v>
      </c>
      <c r="Y2670" t="s">
        <v>1880</v>
      </c>
      <c r="Z2670" t="str">
        <f t="shared" si="609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596"/>
        <v>40544</v>
      </c>
      <c r="D2671" s="4">
        <f t="shared" si="597"/>
        <v>0.70958904109589038</v>
      </c>
      <c r="E2671" s="3">
        <f t="shared" si="598"/>
        <v>2011</v>
      </c>
      <c r="F2671" s="3">
        <f t="shared" si="599"/>
        <v>9</v>
      </c>
      <c r="G2671" s="3">
        <f t="shared" si="600"/>
        <v>17</v>
      </c>
      <c r="H2671" s="3">
        <f t="shared" si="601"/>
        <v>15</v>
      </c>
      <c r="I2671" s="3">
        <f t="shared" si="602"/>
        <v>4</v>
      </c>
      <c r="J2671" s="3">
        <f t="shared" si="603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04"/>
        <v>YES</v>
      </c>
      <c r="Q2671" t="str">
        <f t="shared" si="605"/>
        <v>NO</v>
      </c>
      <c r="R2671" t="str">
        <f t="shared" si="606"/>
        <v>NO</v>
      </c>
      <c r="T2671" t="s">
        <v>42</v>
      </c>
      <c r="U2671" t="str">
        <f t="shared" si="607"/>
        <v>Putnam Ave</v>
      </c>
      <c r="V2671" t="s">
        <v>14</v>
      </c>
      <c r="W2671" t="str">
        <f t="shared" si="608"/>
        <v>Massachusetts Ave</v>
      </c>
      <c r="X2671" t="str">
        <f>IF(ISBLANK(S2671),"Intersection","Non-Intersection")</f>
        <v>Intersection</v>
      </c>
      <c r="Y2671" t="s">
        <v>2114</v>
      </c>
      <c r="Z2671" t="str">
        <f t="shared" si="609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596"/>
        <v>40544</v>
      </c>
      <c r="D2672" s="4">
        <f t="shared" si="597"/>
        <v>0.70958904109589038</v>
      </c>
      <c r="E2672" s="3">
        <f t="shared" si="598"/>
        <v>2011</v>
      </c>
      <c r="F2672" s="3">
        <f t="shared" si="599"/>
        <v>9</v>
      </c>
      <c r="G2672" s="3">
        <f t="shared" si="600"/>
        <v>17</v>
      </c>
      <c r="H2672" s="3">
        <f t="shared" si="601"/>
        <v>16</v>
      </c>
      <c r="I2672" s="3">
        <f t="shared" si="602"/>
        <v>15</v>
      </c>
      <c r="J2672" s="3">
        <f t="shared" si="603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04"/>
        <v>YES</v>
      </c>
      <c r="Q2672" t="str">
        <f t="shared" si="605"/>
        <v>NO</v>
      </c>
      <c r="R2672" t="str">
        <f t="shared" si="606"/>
        <v>NO</v>
      </c>
      <c r="T2672" t="s">
        <v>296</v>
      </c>
      <c r="U2672" t="str">
        <f t="shared" si="607"/>
        <v>Mason St</v>
      </c>
      <c r="V2672" t="s">
        <v>185</v>
      </c>
      <c r="W2672" t="str">
        <f t="shared" si="608"/>
        <v>Garden St</v>
      </c>
      <c r="X2672" t="str">
        <f>IF(ISBLANK(S2672),"Intersection","Non-Intersection")</f>
        <v>Intersection</v>
      </c>
      <c r="Y2672" t="s">
        <v>297</v>
      </c>
      <c r="Z2672" t="str">
        <f t="shared" si="609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596"/>
        <v>40544</v>
      </c>
      <c r="D2673" s="4">
        <f t="shared" si="597"/>
        <v>0.70958904109589038</v>
      </c>
      <c r="E2673" s="3">
        <f t="shared" si="598"/>
        <v>2011</v>
      </c>
      <c r="F2673" s="3">
        <f t="shared" si="599"/>
        <v>9</v>
      </c>
      <c r="G2673" s="3">
        <f t="shared" si="600"/>
        <v>17</v>
      </c>
      <c r="H2673" s="3">
        <f t="shared" si="601"/>
        <v>23</v>
      </c>
      <c r="I2673" s="3">
        <f t="shared" si="602"/>
        <v>0</v>
      </c>
      <c r="J2673" s="3">
        <f t="shared" si="603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04"/>
        <v>YES</v>
      </c>
      <c r="Q2673" t="str">
        <f t="shared" si="605"/>
        <v>NO</v>
      </c>
      <c r="R2673" t="str">
        <f t="shared" si="606"/>
        <v>NO</v>
      </c>
      <c r="S2673">
        <v>402</v>
      </c>
      <c r="T2673" t="s">
        <v>745</v>
      </c>
      <c r="U2673" t="str">
        <f t="shared" si="607"/>
        <v>Norfolk St</v>
      </c>
      <c r="W2673" t="str">
        <f t="shared" si="608"/>
        <v/>
      </c>
      <c r="X2673" t="str">
        <f>IF(ISBLANK(S2673),"Intersection","Non-Intersection")</f>
        <v>Non-Intersection</v>
      </c>
      <c r="Y2673" t="s">
        <v>3706</v>
      </c>
      <c r="Z2673" t="str">
        <f t="shared" si="609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596"/>
        <v>40544</v>
      </c>
      <c r="D2674" s="4">
        <f t="shared" si="597"/>
        <v>0.71232876712328763</v>
      </c>
      <c r="E2674" s="3">
        <f t="shared" si="598"/>
        <v>2011</v>
      </c>
      <c r="F2674" s="3">
        <f t="shared" si="599"/>
        <v>9</v>
      </c>
      <c r="G2674" s="3">
        <f t="shared" si="600"/>
        <v>18</v>
      </c>
      <c r="H2674" s="3">
        <f t="shared" si="601"/>
        <v>11</v>
      </c>
      <c r="I2674" s="3">
        <f t="shared" si="602"/>
        <v>45</v>
      </c>
      <c r="J2674" s="3">
        <f t="shared" si="603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04"/>
        <v>YES</v>
      </c>
      <c r="Q2674" t="str">
        <f t="shared" si="605"/>
        <v>NO</v>
      </c>
      <c r="R2674" t="str">
        <f t="shared" si="606"/>
        <v>NO</v>
      </c>
      <c r="T2674" t="s">
        <v>14</v>
      </c>
      <c r="U2674" t="str">
        <f t="shared" si="607"/>
        <v>Massachusetts Ave</v>
      </c>
      <c r="V2674" t="s">
        <v>104</v>
      </c>
      <c r="W2674" t="str">
        <f t="shared" si="608"/>
        <v>Inman St</v>
      </c>
      <c r="X2674" t="str">
        <f>IF(ISBLANK(S2674),"Intersection","Non-Intersection")</f>
        <v>Intersection</v>
      </c>
      <c r="Y2674" t="s">
        <v>1129</v>
      </c>
      <c r="Z2674" t="str">
        <f t="shared" si="609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596"/>
        <v>40544</v>
      </c>
      <c r="D2675" s="4">
        <f t="shared" si="597"/>
        <v>0.71232876712328763</v>
      </c>
      <c r="E2675" s="3">
        <f t="shared" si="598"/>
        <v>2011</v>
      </c>
      <c r="F2675" s="3">
        <f t="shared" si="599"/>
        <v>9</v>
      </c>
      <c r="G2675" s="3">
        <f t="shared" si="600"/>
        <v>18</v>
      </c>
      <c r="H2675" s="3">
        <f t="shared" si="601"/>
        <v>11</v>
      </c>
      <c r="I2675" s="3">
        <f t="shared" si="602"/>
        <v>0</v>
      </c>
      <c r="J2675" s="3">
        <f t="shared" si="603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04"/>
        <v>YES</v>
      </c>
      <c r="Q2675" t="str">
        <f t="shared" si="605"/>
        <v>NO</v>
      </c>
      <c r="R2675" t="str">
        <f t="shared" si="606"/>
        <v>NO</v>
      </c>
      <c r="S2675">
        <v>70</v>
      </c>
      <c r="T2675" t="s">
        <v>1182</v>
      </c>
      <c r="U2675" t="str">
        <f t="shared" si="607"/>
        <v>Amherst St</v>
      </c>
      <c r="W2675" t="str">
        <f t="shared" si="608"/>
        <v/>
      </c>
      <c r="X2675" t="str">
        <f>IF(ISBLANK(S2675),"Intersection","Non-Intersection")</f>
        <v>Non-Intersection</v>
      </c>
      <c r="Y2675" t="s">
        <v>3708</v>
      </c>
      <c r="Z2675" t="str">
        <f t="shared" si="609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596"/>
        <v>40544</v>
      </c>
      <c r="D2676" s="4">
        <f t="shared" si="597"/>
        <v>0.71232876712328763</v>
      </c>
      <c r="E2676" s="3">
        <f t="shared" si="598"/>
        <v>2011</v>
      </c>
      <c r="F2676" s="3">
        <f t="shared" si="599"/>
        <v>9</v>
      </c>
      <c r="G2676" s="3">
        <f t="shared" si="600"/>
        <v>18</v>
      </c>
      <c r="H2676" s="3">
        <f t="shared" si="601"/>
        <v>15</v>
      </c>
      <c r="I2676" s="3">
        <f t="shared" si="602"/>
        <v>45</v>
      </c>
      <c r="J2676" s="3">
        <f t="shared" si="603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04"/>
        <v>YES</v>
      </c>
      <c r="Q2676" t="str">
        <f t="shared" si="605"/>
        <v>NO</v>
      </c>
      <c r="R2676" t="str">
        <f t="shared" si="606"/>
        <v>YES</v>
      </c>
      <c r="S2676">
        <v>275</v>
      </c>
      <c r="T2676" t="s">
        <v>710</v>
      </c>
      <c r="U2676" t="str">
        <f t="shared" si="607"/>
        <v>Fresh Pond Pky</v>
      </c>
      <c r="W2676" t="str">
        <f t="shared" si="608"/>
        <v/>
      </c>
      <c r="X2676" t="str">
        <f>IF(ISBLANK(S2676),"Intersection","Non-Intersection")</f>
        <v>Non-Intersection</v>
      </c>
      <c r="Y2676" t="s">
        <v>3710</v>
      </c>
      <c r="Z2676" t="str">
        <f t="shared" si="609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596"/>
        <v>40544</v>
      </c>
      <c r="D2677" s="4">
        <f t="shared" si="597"/>
        <v>0.71232876712328763</v>
      </c>
      <c r="E2677" s="3">
        <f t="shared" si="598"/>
        <v>2011</v>
      </c>
      <c r="F2677" s="3">
        <f t="shared" si="599"/>
        <v>9</v>
      </c>
      <c r="G2677" s="3">
        <f t="shared" si="600"/>
        <v>18</v>
      </c>
      <c r="H2677" s="3">
        <f t="shared" si="601"/>
        <v>15</v>
      </c>
      <c r="I2677" s="3">
        <f t="shared" si="602"/>
        <v>45</v>
      </c>
      <c r="J2677" s="3">
        <f t="shared" si="603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04"/>
        <v>YES</v>
      </c>
      <c r="Q2677" t="str">
        <f t="shared" si="605"/>
        <v>NO</v>
      </c>
      <c r="R2677" t="str">
        <f t="shared" si="606"/>
        <v>YES</v>
      </c>
      <c r="S2677">
        <v>285</v>
      </c>
      <c r="T2677" t="s">
        <v>710</v>
      </c>
      <c r="U2677" t="str">
        <f t="shared" si="607"/>
        <v>Fresh Pond Pky</v>
      </c>
      <c r="W2677" t="str">
        <f t="shared" si="608"/>
        <v/>
      </c>
      <c r="X2677" t="str">
        <f>IF(ISBLANK(S2677),"Intersection","Non-Intersection")</f>
        <v>Non-Intersection</v>
      </c>
      <c r="Y2677" t="s">
        <v>3712</v>
      </c>
      <c r="Z2677" t="str">
        <f t="shared" si="609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596"/>
        <v>40544</v>
      </c>
      <c r="D2678" s="4">
        <f t="shared" si="597"/>
        <v>0.71232876712328763</v>
      </c>
      <c r="E2678" s="3">
        <f t="shared" si="598"/>
        <v>2011</v>
      </c>
      <c r="F2678" s="3">
        <f t="shared" si="599"/>
        <v>9</v>
      </c>
      <c r="G2678" s="3">
        <f t="shared" si="600"/>
        <v>18</v>
      </c>
      <c r="H2678" s="3">
        <f t="shared" si="601"/>
        <v>11</v>
      </c>
      <c r="I2678" s="3">
        <f t="shared" si="602"/>
        <v>29</v>
      </c>
      <c r="J2678" s="3">
        <f t="shared" si="603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04"/>
        <v>YES</v>
      </c>
      <c r="Q2678" t="str">
        <f t="shared" si="605"/>
        <v>NO</v>
      </c>
      <c r="R2678" t="str">
        <f t="shared" si="606"/>
        <v>NO</v>
      </c>
      <c r="T2678" t="s">
        <v>1062</v>
      </c>
      <c r="U2678" t="str">
        <f t="shared" si="607"/>
        <v>Cambridgeside Pl</v>
      </c>
      <c r="W2678" t="str">
        <f t="shared" si="608"/>
        <v/>
      </c>
      <c r="X2678" t="str">
        <f>IF(ISBLANK(S2678),"Intersection","Non-Intersection")</f>
        <v>Intersection</v>
      </c>
      <c r="Y2678" t="s">
        <v>1283</v>
      </c>
      <c r="Z2678" t="str">
        <f t="shared" si="609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596"/>
        <v>40544</v>
      </c>
      <c r="D2679" s="4">
        <f t="shared" si="597"/>
        <v>0.71506849315068488</v>
      </c>
      <c r="E2679" s="3">
        <f t="shared" si="598"/>
        <v>2011</v>
      </c>
      <c r="F2679" s="3">
        <f t="shared" si="599"/>
        <v>9</v>
      </c>
      <c r="G2679" s="3">
        <f t="shared" si="600"/>
        <v>19</v>
      </c>
      <c r="H2679" s="3">
        <f t="shared" si="601"/>
        <v>16</v>
      </c>
      <c r="I2679" s="3">
        <f t="shared" si="602"/>
        <v>40</v>
      </c>
      <c r="J2679" s="3">
        <f t="shared" si="603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04"/>
        <v>YES</v>
      </c>
      <c r="Q2679" t="str">
        <f t="shared" si="605"/>
        <v>NO</v>
      </c>
      <c r="R2679" t="str">
        <f t="shared" si="606"/>
        <v>NO</v>
      </c>
      <c r="T2679" t="s">
        <v>14</v>
      </c>
      <c r="U2679" t="str">
        <f t="shared" si="607"/>
        <v>Massachusetts Ave</v>
      </c>
      <c r="V2679" t="s">
        <v>342</v>
      </c>
      <c r="W2679" t="str">
        <f t="shared" si="608"/>
        <v>Prospect St</v>
      </c>
      <c r="X2679" t="str">
        <f>IF(ISBLANK(S2679),"Intersection","Non-Intersection")</f>
        <v>Intersection</v>
      </c>
      <c r="Y2679" t="s">
        <v>2590</v>
      </c>
      <c r="Z2679" t="str">
        <f t="shared" si="609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596"/>
        <v>40544</v>
      </c>
      <c r="D2680" s="4">
        <f t="shared" si="597"/>
        <v>0.71506849315068488</v>
      </c>
      <c r="E2680" s="3">
        <f t="shared" si="598"/>
        <v>2011</v>
      </c>
      <c r="F2680" s="3">
        <f t="shared" si="599"/>
        <v>9</v>
      </c>
      <c r="G2680" s="3">
        <f t="shared" si="600"/>
        <v>19</v>
      </c>
      <c r="H2680" s="3">
        <f t="shared" si="601"/>
        <v>8</v>
      </c>
      <c r="I2680" s="3">
        <f t="shared" si="602"/>
        <v>36</v>
      </c>
      <c r="J2680" s="3">
        <f t="shared" si="603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04"/>
        <v>YES</v>
      </c>
      <c r="Q2680" t="str">
        <f t="shared" si="605"/>
        <v>NO</v>
      </c>
      <c r="R2680" t="str">
        <f t="shared" si="606"/>
        <v>YES</v>
      </c>
      <c r="S2680">
        <v>45</v>
      </c>
      <c r="T2680" t="s">
        <v>2668</v>
      </c>
      <c r="U2680" t="str">
        <f t="shared" si="607"/>
        <v>Yerxa Rd</v>
      </c>
      <c r="W2680" t="str">
        <f t="shared" si="608"/>
        <v/>
      </c>
      <c r="X2680" t="str">
        <f>IF(ISBLANK(S2680),"Intersection","Non-Intersection")</f>
        <v>Non-Intersection</v>
      </c>
      <c r="Y2680" t="s">
        <v>3714</v>
      </c>
      <c r="Z2680" t="str">
        <f t="shared" si="609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596"/>
        <v>40544</v>
      </c>
      <c r="D2681" s="4">
        <f t="shared" si="597"/>
        <v>0.71506849315068488</v>
      </c>
      <c r="E2681" s="3">
        <f t="shared" si="598"/>
        <v>2011</v>
      </c>
      <c r="F2681" s="3">
        <f t="shared" si="599"/>
        <v>9</v>
      </c>
      <c r="G2681" s="3">
        <f t="shared" si="600"/>
        <v>19</v>
      </c>
      <c r="H2681" s="3">
        <f t="shared" si="601"/>
        <v>8</v>
      </c>
      <c r="I2681" s="3">
        <f t="shared" si="602"/>
        <v>10</v>
      </c>
      <c r="J2681" s="3">
        <f t="shared" si="603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04"/>
        <v>YES</v>
      </c>
      <c r="Q2681" t="str">
        <f t="shared" si="605"/>
        <v>NO</v>
      </c>
      <c r="R2681" t="str">
        <f t="shared" si="606"/>
        <v>NO</v>
      </c>
      <c r="T2681" t="s">
        <v>19</v>
      </c>
      <c r="U2681" t="str">
        <f t="shared" si="607"/>
        <v>Cambridge St</v>
      </c>
      <c r="V2681" t="s">
        <v>1006</v>
      </c>
      <c r="W2681" t="str">
        <f t="shared" si="608"/>
        <v>Irving St</v>
      </c>
      <c r="X2681" t="str">
        <f>IF(ISBLANK(S2681),"Intersection","Non-Intersection")</f>
        <v>Intersection</v>
      </c>
      <c r="Y2681" t="s">
        <v>2309</v>
      </c>
      <c r="Z2681" t="str">
        <f t="shared" si="609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596"/>
        <v>40544</v>
      </c>
      <c r="D2682" s="4">
        <f t="shared" si="597"/>
        <v>0.71780821917808224</v>
      </c>
      <c r="E2682" s="3">
        <f t="shared" si="598"/>
        <v>2011</v>
      </c>
      <c r="F2682" s="3">
        <f t="shared" si="599"/>
        <v>9</v>
      </c>
      <c r="G2682" s="3">
        <f t="shared" si="600"/>
        <v>20</v>
      </c>
      <c r="H2682" s="3">
        <f t="shared" si="601"/>
        <v>7</v>
      </c>
      <c r="I2682" s="3">
        <f t="shared" si="602"/>
        <v>54</v>
      </c>
      <c r="J2682" s="3">
        <f t="shared" si="603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04"/>
        <v>YES</v>
      </c>
      <c r="Q2682" t="str">
        <f t="shared" si="605"/>
        <v>NO</v>
      </c>
      <c r="R2682" t="str">
        <f t="shared" si="606"/>
        <v>NO</v>
      </c>
      <c r="T2682" t="s">
        <v>185</v>
      </c>
      <c r="U2682" t="str">
        <f t="shared" si="607"/>
        <v>Garden St</v>
      </c>
      <c r="V2682" t="s">
        <v>14</v>
      </c>
      <c r="W2682" t="str">
        <f t="shared" si="608"/>
        <v>Massachusetts Ave</v>
      </c>
      <c r="X2682" t="str">
        <f>IF(ISBLANK(S2682),"Intersection","Non-Intersection")</f>
        <v>Intersection</v>
      </c>
      <c r="Y2682" t="s">
        <v>1003</v>
      </c>
      <c r="Z2682" t="str">
        <f t="shared" si="609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10">EOMONTH(B2683,MONTH(B2683)*-1)+1</f>
        <v>40544</v>
      </c>
      <c r="D2683" s="4">
        <f t="shared" ref="D2683:D2745" si="611">YEARFRAC(C2683,B2683,1)</f>
        <v>0.71780821917808224</v>
      </c>
      <c r="E2683" s="3">
        <f t="shared" ref="E2683:E2745" si="612">YEAR(B2683)</f>
        <v>2011</v>
      </c>
      <c r="F2683" s="3">
        <f t="shared" ref="F2683:F2745" si="613">MONTH(B2683)</f>
        <v>9</v>
      </c>
      <c r="G2683" s="3">
        <f t="shared" ref="G2683:G2745" si="614">DAY(B2683)</f>
        <v>20</v>
      </c>
      <c r="H2683" s="3">
        <f t="shared" ref="H2683:H2745" si="615">HOUR(B2683)</f>
        <v>10</v>
      </c>
      <c r="I2683" s="3">
        <f t="shared" ref="I2683:I2745" si="616">MINUTE(B2683)</f>
        <v>25</v>
      </c>
      <c r="J2683" s="3">
        <f t="shared" ref="J2683:J2745" si="617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18">IF(OR(N2683="Auto",O2683="Auto"),"YES",IF(OR(N2683="Taxi",O2683="Taxi"),"YES",IF(OR(N2683="Van",O2683="Van"),"YES",IF(OR(N2683="Truck",O2683="Truck"),"YES","NO"))))</f>
        <v>YES</v>
      </c>
      <c r="Q2683" t="str">
        <f t="shared" ref="Q2683:Q2745" si="619">IF(OR(N2683="Bicycle",O2683="Bicycle"),"YES","NO")</f>
        <v>NO</v>
      </c>
      <c r="R2683" t="str">
        <f t="shared" ref="R2683:R2745" si="620">IF(OR(N2683="Pedestrian",O2683="Pedestrian"),"YES","NO")</f>
        <v>NO</v>
      </c>
      <c r="T2683" t="s">
        <v>14</v>
      </c>
      <c r="U2683" t="str">
        <f t="shared" si="607"/>
        <v>Massachusetts Ave</v>
      </c>
      <c r="V2683" t="s">
        <v>487</v>
      </c>
      <c r="W2683" t="str">
        <f t="shared" si="608"/>
        <v>Beech St</v>
      </c>
      <c r="X2683" t="str">
        <f>IF(ISBLANK(S2683),"Intersection","Non-Intersection")</f>
        <v>Intersection</v>
      </c>
      <c r="Y2683" t="s">
        <v>787</v>
      </c>
      <c r="Z2683" t="str">
        <f t="shared" si="609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10"/>
        <v>40544</v>
      </c>
      <c r="D2684" s="4">
        <f t="shared" si="611"/>
        <v>0.71780821917808224</v>
      </c>
      <c r="E2684" s="3">
        <f t="shared" si="612"/>
        <v>2011</v>
      </c>
      <c r="F2684" s="3">
        <f t="shared" si="613"/>
        <v>9</v>
      </c>
      <c r="G2684" s="3">
        <f t="shared" si="614"/>
        <v>20</v>
      </c>
      <c r="H2684" s="3">
        <f t="shared" si="615"/>
        <v>5</v>
      </c>
      <c r="I2684" s="3">
        <f t="shared" si="616"/>
        <v>10</v>
      </c>
      <c r="J2684" s="3">
        <f t="shared" si="617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18"/>
        <v>YES</v>
      </c>
      <c r="Q2684" t="str">
        <f t="shared" si="619"/>
        <v>NO</v>
      </c>
      <c r="R2684" t="str">
        <f t="shared" si="620"/>
        <v>NO</v>
      </c>
      <c r="T2684" t="s">
        <v>209</v>
      </c>
      <c r="U2684" t="str">
        <f t="shared" si="607"/>
        <v>Binney St</v>
      </c>
      <c r="V2684" t="s">
        <v>147</v>
      </c>
      <c r="W2684" t="str">
        <f t="shared" si="608"/>
        <v>Sixth St</v>
      </c>
      <c r="X2684" t="str">
        <f>IF(ISBLANK(S2684),"Intersection","Non-Intersection")</f>
        <v>Intersection</v>
      </c>
      <c r="Y2684" t="s">
        <v>1876</v>
      </c>
      <c r="Z2684" t="str">
        <f t="shared" si="609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10"/>
        <v>40544</v>
      </c>
      <c r="D2685" s="4">
        <f t="shared" si="611"/>
        <v>0.71780821917808224</v>
      </c>
      <c r="E2685" s="3">
        <f t="shared" si="612"/>
        <v>2011</v>
      </c>
      <c r="F2685" s="3">
        <f t="shared" si="613"/>
        <v>9</v>
      </c>
      <c r="G2685" s="3">
        <f t="shared" si="614"/>
        <v>20</v>
      </c>
      <c r="H2685" s="3">
        <f t="shared" si="615"/>
        <v>12</v>
      </c>
      <c r="I2685" s="3">
        <f t="shared" si="616"/>
        <v>40</v>
      </c>
      <c r="J2685" s="3">
        <f t="shared" si="617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18"/>
        <v>YES</v>
      </c>
      <c r="Q2685" t="str">
        <f t="shared" si="619"/>
        <v>NO</v>
      </c>
      <c r="R2685" t="str">
        <f t="shared" si="620"/>
        <v>NO</v>
      </c>
      <c r="T2685" t="s">
        <v>185</v>
      </c>
      <c r="U2685" t="str">
        <f t="shared" si="607"/>
        <v>Garden St</v>
      </c>
      <c r="V2685" t="s">
        <v>988</v>
      </c>
      <c r="W2685" t="str">
        <f t="shared" si="608"/>
        <v>Bond St</v>
      </c>
      <c r="X2685" t="str">
        <f>IF(ISBLANK(S2685),"Intersection","Non-Intersection")</f>
        <v>Intersection</v>
      </c>
      <c r="Y2685" t="s">
        <v>3716</v>
      </c>
      <c r="Z2685" t="str">
        <f t="shared" si="609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10"/>
        <v>40544</v>
      </c>
      <c r="D2686" s="4">
        <f t="shared" si="611"/>
        <v>0.71780821917808224</v>
      </c>
      <c r="E2686" s="3">
        <f t="shared" si="612"/>
        <v>2011</v>
      </c>
      <c r="F2686" s="3">
        <f t="shared" si="613"/>
        <v>9</v>
      </c>
      <c r="G2686" s="3">
        <f t="shared" si="614"/>
        <v>20</v>
      </c>
      <c r="H2686" s="3">
        <f t="shared" si="615"/>
        <v>14</v>
      </c>
      <c r="I2686" s="3">
        <f t="shared" si="616"/>
        <v>12</v>
      </c>
      <c r="J2686" s="3">
        <f t="shared" si="617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18"/>
        <v>YES</v>
      </c>
      <c r="Q2686" t="str">
        <f t="shared" si="619"/>
        <v>YES</v>
      </c>
      <c r="R2686" t="str">
        <f t="shared" si="620"/>
        <v>NO</v>
      </c>
      <c r="T2686" t="s">
        <v>3487</v>
      </c>
      <c r="U2686" t="str">
        <f t="shared" si="607"/>
        <v>Eighth St</v>
      </c>
      <c r="V2686" t="s">
        <v>261</v>
      </c>
      <c r="W2686" t="str">
        <f t="shared" si="608"/>
        <v>Otis St</v>
      </c>
      <c r="X2686" t="str">
        <f>IF(ISBLANK(S2686),"Intersection","Non-Intersection")</f>
        <v>Intersection</v>
      </c>
      <c r="Y2686" t="s">
        <v>3718</v>
      </c>
      <c r="Z2686" t="str">
        <f t="shared" si="609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10"/>
        <v>40544</v>
      </c>
      <c r="D2687" s="4">
        <f t="shared" si="611"/>
        <v>0.71780821917808224</v>
      </c>
      <c r="E2687" s="3">
        <f t="shared" si="612"/>
        <v>2011</v>
      </c>
      <c r="F2687" s="3">
        <f t="shared" si="613"/>
        <v>9</v>
      </c>
      <c r="G2687" s="3">
        <f t="shared" si="614"/>
        <v>20</v>
      </c>
      <c r="H2687" s="3">
        <f t="shared" si="615"/>
        <v>15</v>
      </c>
      <c r="I2687" s="3">
        <f t="shared" si="616"/>
        <v>20</v>
      </c>
      <c r="J2687" s="3">
        <f t="shared" si="617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18"/>
        <v>YES</v>
      </c>
      <c r="Q2687" t="str">
        <f t="shared" si="619"/>
        <v>NO</v>
      </c>
      <c r="R2687" t="str">
        <f t="shared" si="620"/>
        <v>NO</v>
      </c>
      <c r="S2687">
        <v>419</v>
      </c>
      <c r="T2687" t="s">
        <v>186</v>
      </c>
      <c r="U2687" t="str">
        <f t="shared" si="607"/>
        <v>Concord Ave</v>
      </c>
      <c r="W2687" t="str">
        <f t="shared" si="608"/>
        <v/>
      </c>
      <c r="X2687" t="str">
        <f>IF(ISBLANK(S2687),"Intersection","Non-Intersection")</f>
        <v>Non-Intersection</v>
      </c>
      <c r="Y2687" t="s">
        <v>3720</v>
      </c>
      <c r="Z2687" t="str">
        <f t="shared" si="609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10"/>
        <v>40544</v>
      </c>
      <c r="D2688" s="4">
        <f t="shared" si="611"/>
        <v>0.71780821917808224</v>
      </c>
      <c r="E2688" s="3">
        <f t="shared" si="612"/>
        <v>2011</v>
      </c>
      <c r="F2688" s="3">
        <f t="shared" si="613"/>
        <v>9</v>
      </c>
      <c r="G2688" s="3">
        <f t="shared" si="614"/>
        <v>20</v>
      </c>
      <c r="H2688" s="3">
        <f t="shared" si="615"/>
        <v>15</v>
      </c>
      <c r="I2688" s="3">
        <f t="shared" si="616"/>
        <v>49</v>
      </c>
      <c r="J2688" s="3">
        <f t="shared" si="617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18"/>
        <v>YES</v>
      </c>
      <c r="Q2688" t="str">
        <f t="shared" si="619"/>
        <v>NO</v>
      </c>
      <c r="R2688" t="str">
        <f t="shared" si="620"/>
        <v>NO</v>
      </c>
      <c r="S2688">
        <v>270</v>
      </c>
      <c r="T2688" t="s">
        <v>186</v>
      </c>
      <c r="U2688" t="str">
        <f t="shared" si="607"/>
        <v>Concord Ave</v>
      </c>
      <c r="W2688" t="str">
        <f t="shared" si="608"/>
        <v/>
      </c>
      <c r="X2688" t="str">
        <f>IF(ISBLANK(S2688),"Intersection","Non-Intersection")</f>
        <v>Non-Intersection</v>
      </c>
      <c r="Y2688" t="s">
        <v>3722</v>
      </c>
      <c r="Z2688" t="str">
        <f t="shared" si="609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10"/>
        <v>40544</v>
      </c>
      <c r="D2689" s="4">
        <f t="shared" si="611"/>
        <v>0.71780821917808224</v>
      </c>
      <c r="E2689" s="3">
        <f t="shared" si="612"/>
        <v>2011</v>
      </c>
      <c r="F2689" s="3">
        <f t="shared" si="613"/>
        <v>9</v>
      </c>
      <c r="G2689" s="3">
        <f t="shared" si="614"/>
        <v>20</v>
      </c>
      <c r="H2689" s="3">
        <f t="shared" si="615"/>
        <v>7</v>
      </c>
      <c r="I2689" s="3">
        <f t="shared" si="616"/>
        <v>15</v>
      </c>
      <c r="J2689" s="3">
        <f t="shared" si="617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18"/>
        <v>YES</v>
      </c>
      <c r="Q2689" t="str">
        <f t="shared" si="619"/>
        <v>NO</v>
      </c>
      <c r="R2689" t="str">
        <f t="shared" si="620"/>
        <v>NO</v>
      </c>
      <c r="T2689" t="s">
        <v>198</v>
      </c>
      <c r="U2689" t="str">
        <f t="shared" si="607"/>
        <v>Mount Auburn St</v>
      </c>
      <c r="V2689" t="s">
        <v>1438</v>
      </c>
      <c r="W2689" t="str">
        <f t="shared" si="608"/>
        <v>Dunster St</v>
      </c>
      <c r="X2689" t="str">
        <f>IF(ISBLANK(S2689),"Intersection","Non-Intersection")</f>
        <v>Intersection</v>
      </c>
      <c r="Y2689" t="s">
        <v>2797</v>
      </c>
      <c r="Z2689" t="str">
        <f t="shared" si="609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10"/>
        <v>40544</v>
      </c>
      <c r="D2690" s="4">
        <f t="shared" si="611"/>
        <v>0.72054794520547949</v>
      </c>
      <c r="E2690" s="3">
        <f t="shared" si="612"/>
        <v>2011</v>
      </c>
      <c r="F2690" s="3">
        <f t="shared" si="613"/>
        <v>9</v>
      </c>
      <c r="G2690" s="3">
        <f t="shared" si="614"/>
        <v>21</v>
      </c>
      <c r="H2690" s="3">
        <f t="shared" si="615"/>
        <v>7</v>
      </c>
      <c r="I2690" s="3">
        <f t="shared" si="616"/>
        <v>19</v>
      </c>
      <c r="J2690" s="3">
        <f t="shared" si="617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18"/>
        <v>YES</v>
      </c>
      <c r="Q2690" t="str">
        <f t="shared" si="619"/>
        <v>NO</v>
      </c>
      <c r="R2690" t="str">
        <f t="shared" si="620"/>
        <v>NO</v>
      </c>
      <c r="T2690" t="s">
        <v>15</v>
      </c>
      <c r="U2690" t="str">
        <f t="shared" si="607"/>
        <v>Rindge Ave</v>
      </c>
      <c r="V2690" t="s">
        <v>45</v>
      </c>
      <c r="W2690" t="str">
        <f t="shared" si="608"/>
        <v>Sherman St</v>
      </c>
      <c r="X2690" t="str">
        <f>IF(ISBLANK(S2690),"Intersection","Non-Intersection")</f>
        <v>Intersection</v>
      </c>
      <c r="Y2690" t="s">
        <v>3724</v>
      </c>
      <c r="Z2690" t="str">
        <f t="shared" si="609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10"/>
        <v>40544</v>
      </c>
      <c r="D2691" s="4">
        <f t="shared" si="611"/>
        <v>0.72054794520547949</v>
      </c>
      <c r="E2691" s="3">
        <f t="shared" si="612"/>
        <v>2011</v>
      </c>
      <c r="F2691" s="3">
        <f t="shared" si="613"/>
        <v>9</v>
      </c>
      <c r="G2691" s="3">
        <f t="shared" si="614"/>
        <v>21</v>
      </c>
      <c r="H2691" s="3">
        <f t="shared" si="615"/>
        <v>8</v>
      </c>
      <c r="I2691" s="3">
        <f t="shared" si="616"/>
        <v>29</v>
      </c>
      <c r="J2691" s="3">
        <f t="shared" si="617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18"/>
        <v>YES</v>
      </c>
      <c r="Q2691" t="str">
        <f t="shared" si="619"/>
        <v>NO</v>
      </c>
      <c r="R2691" t="str">
        <f t="shared" si="620"/>
        <v>YES</v>
      </c>
      <c r="T2691" t="s">
        <v>19</v>
      </c>
      <c r="U2691" t="str">
        <f t="shared" ref="U2691:U2754" si="621">TRIM(PROPER(T2691))</f>
        <v>Cambridge St</v>
      </c>
      <c r="V2691" t="s">
        <v>75</v>
      </c>
      <c r="W2691" t="str">
        <f t="shared" ref="W2691:W2754" si="622">TRIM(PROPER(V2691))</f>
        <v>Elm St</v>
      </c>
      <c r="X2691" t="str">
        <f>IF(ISBLANK(S2691),"Intersection","Non-Intersection")</f>
        <v>Intersection</v>
      </c>
      <c r="Y2691" t="s">
        <v>321</v>
      </c>
      <c r="Z2691" t="str">
        <f t="shared" ref="Z2691:Z2754" si="623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10"/>
        <v>40544</v>
      </c>
      <c r="D2692" s="4">
        <f t="shared" si="611"/>
        <v>0.72054794520547949</v>
      </c>
      <c r="E2692" s="3">
        <f t="shared" si="612"/>
        <v>2011</v>
      </c>
      <c r="F2692" s="3">
        <f t="shared" si="613"/>
        <v>9</v>
      </c>
      <c r="G2692" s="3">
        <f t="shared" si="614"/>
        <v>21</v>
      </c>
      <c r="H2692" s="3">
        <f t="shared" si="615"/>
        <v>11</v>
      </c>
      <c r="I2692" s="3">
        <f t="shared" si="616"/>
        <v>55</v>
      </c>
      <c r="J2692" s="3">
        <f t="shared" si="617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18"/>
        <v>YES</v>
      </c>
      <c r="Q2692" t="str">
        <f t="shared" si="619"/>
        <v>NO</v>
      </c>
      <c r="R2692" t="str">
        <f t="shared" si="620"/>
        <v>NO</v>
      </c>
      <c r="T2692" t="s">
        <v>105</v>
      </c>
      <c r="U2692" t="str">
        <f t="shared" si="621"/>
        <v>Broadway</v>
      </c>
      <c r="V2692" t="s">
        <v>745</v>
      </c>
      <c r="W2692" t="str">
        <f t="shared" si="622"/>
        <v>Norfolk St</v>
      </c>
      <c r="X2692" t="str">
        <f>IF(ISBLANK(S2692),"Intersection","Non-Intersection")</f>
        <v>Intersection</v>
      </c>
      <c r="Y2692" t="s">
        <v>1070</v>
      </c>
      <c r="Z2692" t="str">
        <f t="shared" si="623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10"/>
        <v>40544</v>
      </c>
      <c r="D2693" s="4">
        <f t="shared" si="611"/>
        <v>0.72054794520547949</v>
      </c>
      <c r="E2693" s="3">
        <f t="shared" si="612"/>
        <v>2011</v>
      </c>
      <c r="F2693" s="3">
        <f t="shared" si="613"/>
        <v>9</v>
      </c>
      <c r="G2693" s="3">
        <f t="shared" si="614"/>
        <v>21</v>
      </c>
      <c r="H2693" s="3">
        <f t="shared" si="615"/>
        <v>13</v>
      </c>
      <c r="I2693" s="3">
        <f t="shared" si="616"/>
        <v>5</v>
      </c>
      <c r="J2693" s="3">
        <f t="shared" si="617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18"/>
        <v>YES</v>
      </c>
      <c r="Q2693" t="str">
        <f t="shared" si="619"/>
        <v>NO</v>
      </c>
      <c r="R2693" t="str">
        <f t="shared" si="620"/>
        <v>NO</v>
      </c>
      <c r="T2693" t="s">
        <v>32</v>
      </c>
      <c r="U2693" t="str">
        <f t="shared" si="621"/>
        <v>Main St</v>
      </c>
      <c r="W2693" t="str">
        <f t="shared" si="622"/>
        <v/>
      </c>
      <c r="X2693" t="str">
        <f>IF(ISBLANK(S2693),"Intersection","Non-Intersection")</f>
        <v>Intersection</v>
      </c>
      <c r="Y2693" t="s">
        <v>2991</v>
      </c>
      <c r="Z2693" t="str">
        <f t="shared" si="623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10"/>
        <v>40544</v>
      </c>
      <c r="D2694" s="4">
        <f t="shared" si="611"/>
        <v>0.72054794520547949</v>
      </c>
      <c r="E2694" s="3">
        <f t="shared" si="612"/>
        <v>2011</v>
      </c>
      <c r="F2694" s="3">
        <f t="shared" si="613"/>
        <v>9</v>
      </c>
      <c r="G2694" s="3">
        <f t="shared" si="614"/>
        <v>21</v>
      </c>
      <c r="H2694" s="3">
        <f t="shared" si="615"/>
        <v>22</v>
      </c>
      <c r="I2694" s="3">
        <f t="shared" si="616"/>
        <v>44</v>
      </c>
      <c r="J2694" s="3">
        <f t="shared" si="617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18"/>
        <v>YES</v>
      </c>
      <c r="Q2694" t="str">
        <f t="shared" si="619"/>
        <v>NO</v>
      </c>
      <c r="R2694" t="str">
        <f t="shared" si="620"/>
        <v>YES</v>
      </c>
      <c r="T2694" t="s">
        <v>108</v>
      </c>
      <c r="U2694" t="str">
        <f t="shared" si="621"/>
        <v>Franklin St</v>
      </c>
      <c r="V2694" t="s">
        <v>70</v>
      </c>
      <c r="W2694" t="str">
        <f t="shared" si="622"/>
        <v>Pearl St</v>
      </c>
      <c r="X2694" t="str">
        <f>IF(ISBLANK(S2694),"Intersection","Non-Intersection")</f>
        <v>Intersection</v>
      </c>
      <c r="Y2694" t="s">
        <v>645</v>
      </c>
      <c r="Z2694" t="str">
        <f t="shared" si="623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10"/>
        <v>40544</v>
      </c>
      <c r="D2695" s="4">
        <f t="shared" si="611"/>
        <v>0.72328767123287674</v>
      </c>
      <c r="E2695" s="3">
        <f t="shared" si="612"/>
        <v>2011</v>
      </c>
      <c r="F2695" s="3">
        <f t="shared" si="613"/>
        <v>9</v>
      </c>
      <c r="G2695" s="3">
        <f t="shared" si="614"/>
        <v>22</v>
      </c>
      <c r="H2695" s="3">
        <f t="shared" si="615"/>
        <v>9</v>
      </c>
      <c r="I2695" s="3">
        <f t="shared" si="616"/>
        <v>1</v>
      </c>
      <c r="J2695" s="3">
        <f t="shared" si="617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18"/>
        <v>YES</v>
      </c>
      <c r="Q2695" t="str">
        <f t="shared" si="619"/>
        <v>NO</v>
      </c>
      <c r="R2695" t="str">
        <f t="shared" si="620"/>
        <v>NO</v>
      </c>
      <c r="T2695" t="s">
        <v>105</v>
      </c>
      <c r="U2695" t="str">
        <f t="shared" si="621"/>
        <v>Broadway</v>
      </c>
      <c r="V2695" t="s">
        <v>74</v>
      </c>
      <c r="W2695" t="str">
        <f t="shared" si="622"/>
        <v>Hampshire St</v>
      </c>
      <c r="X2695" t="str">
        <f>IF(ISBLANK(S2695),"Intersection","Non-Intersection")</f>
        <v>Intersection</v>
      </c>
      <c r="Y2695" t="s">
        <v>878</v>
      </c>
      <c r="Z2695" t="str">
        <f t="shared" si="623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10"/>
        <v>40544</v>
      </c>
      <c r="D2696" s="4">
        <f t="shared" si="611"/>
        <v>0.72328767123287674</v>
      </c>
      <c r="E2696" s="3">
        <f t="shared" si="612"/>
        <v>2011</v>
      </c>
      <c r="F2696" s="3">
        <f t="shared" si="613"/>
        <v>9</v>
      </c>
      <c r="G2696" s="3">
        <f t="shared" si="614"/>
        <v>22</v>
      </c>
      <c r="H2696" s="3">
        <f t="shared" si="615"/>
        <v>10</v>
      </c>
      <c r="I2696" s="3">
        <f t="shared" si="616"/>
        <v>51</v>
      </c>
      <c r="J2696" s="3">
        <f t="shared" si="617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18"/>
        <v>YES</v>
      </c>
      <c r="Q2696" t="str">
        <f t="shared" si="619"/>
        <v>NO</v>
      </c>
      <c r="R2696" t="str">
        <f t="shared" si="620"/>
        <v>NO</v>
      </c>
      <c r="T2696" t="s">
        <v>3726</v>
      </c>
      <c r="U2696" t="str">
        <f t="shared" si="621"/>
        <v>Audrey St</v>
      </c>
      <c r="V2696" t="s">
        <v>202</v>
      </c>
      <c r="W2696" t="str">
        <f t="shared" si="622"/>
        <v>Vassar St</v>
      </c>
      <c r="X2696" t="str">
        <f>IF(ISBLANK(S2696),"Intersection","Non-Intersection")</f>
        <v>Intersection</v>
      </c>
      <c r="Y2696" t="s">
        <v>3727</v>
      </c>
      <c r="Z2696" t="str">
        <f t="shared" si="623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10"/>
        <v>40544</v>
      </c>
      <c r="D2697" s="4">
        <f t="shared" si="611"/>
        <v>0.72328767123287674</v>
      </c>
      <c r="E2697" s="3">
        <f t="shared" si="612"/>
        <v>2011</v>
      </c>
      <c r="F2697" s="3">
        <f t="shared" si="613"/>
        <v>9</v>
      </c>
      <c r="G2697" s="3">
        <f t="shared" si="614"/>
        <v>22</v>
      </c>
      <c r="H2697" s="3">
        <f t="shared" si="615"/>
        <v>11</v>
      </c>
      <c r="I2697" s="3">
        <f t="shared" si="616"/>
        <v>55</v>
      </c>
      <c r="J2697" s="3">
        <f t="shared" si="617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18"/>
        <v>YES</v>
      </c>
      <c r="Q2697" t="str">
        <f t="shared" si="619"/>
        <v>NO</v>
      </c>
      <c r="R2697" t="str">
        <f t="shared" si="620"/>
        <v>NO</v>
      </c>
      <c r="T2697" t="s">
        <v>186</v>
      </c>
      <c r="U2697" t="str">
        <f t="shared" si="621"/>
        <v>Concord Ave</v>
      </c>
      <c r="V2697" t="s">
        <v>1132</v>
      </c>
      <c r="W2697" t="str">
        <f t="shared" si="622"/>
        <v>Moulton St</v>
      </c>
      <c r="X2697" t="str">
        <f>IF(ISBLANK(S2697),"Intersection","Non-Intersection")</f>
        <v>Intersection</v>
      </c>
      <c r="Y2697" t="s">
        <v>1133</v>
      </c>
      <c r="Z2697" t="str">
        <f t="shared" si="623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10"/>
        <v>40544</v>
      </c>
      <c r="D2698" s="4">
        <f t="shared" si="611"/>
        <v>0.72328767123287674</v>
      </c>
      <c r="E2698" s="3">
        <f t="shared" si="612"/>
        <v>2011</v>
      </c>
      <c r="F2698" s="3">
        <f t="shared" si="613"/>
        <v>9</v>
      </c>
      <c r="G2698" s="3">
        <f t="shared" si="614"/>
        <v>22</v>
      </c>
      <c r="H2698" s="3">
        <f t="shared" si="615"/>
        <v>17</v>
      </c>
      <c r="I2698" s="3">
        <f t="shared" si="616"/>
        <v>46</v>
      </c>
      <c r="J2698" s="3">
        <f t="shared" si="617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18"/>
        <v>YES</v>
      </c>
      <c r="Q2698" t="str">
        <f t="shared" si="619"/>
        <v>NO</v>
      </c>
      <c r="R2698" t="str">
        <f t="shared" si="620"/>
        <v>NO</v>
      </c>
      <c r="S2698">
        <v>489</v>
      </c>
      <c r="T2698" t="s">
        <v>105</v>
      </c>
      <c r="U2698" t="str">
        <f t="shared" si="621"/>
        <v>Broadway</v>
      </c>
      <c r="V2698" t="s">
        <v>19</v>
      </c>
      <c r="W2698" t="str">
        <f t="shared" si="622"/>
        <v>Cambridge St</v>
      </c>
      <c r="X2698" t="str">
        <f>IF(ISBLANK(S2698),"Intersection","Non-Intersection")</f>
        <v>Non-Intersection</v>
      </c>
      <c r="Y2698" t="s">
        <v>3072</v>
      </c>
      <c r="Z2698" t="str">
        <f t="shared" si="623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10"/>
        <v>40544</v>
      </c>
      <c r="D2699" s="4">
        <f t="shared" si="611"/>
        <v>0.72602739726027399</v>
      </c>
      <c r="E2699" s="3">
        <f t="shared" si="612"/>
        <v>2011</v>
      </c>
      <c r="F2699" s="3">
        <f t="shared" si="613"/>
        <v>9</v>
      </c>
      <c r="G2699" s="3">
        <f t="shared" si="614"/>
        <v>23</v>
      </c>
      <c r="H2699" s="3">
        <f t="shared" si="615"/>
        <v>9</v>
      </c>
      <c r="I2699" s="3">
        <f t="shared" si="616"/>
        <v>49</v>
      </c>
      <c r="J2699" s="3">
        <f t="shared" si="617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18"/>
        <v>YES</v>
      </c>
      <c r="Q2699" t="str">
        <f t="shared" si="619"/>
        <v>NO</v>
      </c>
      <c r="R2699" t="str">
        <f t="shared" si="620"/>
        <v>YES</v>
      </c>
      <c r="T2699" t="s">
        <v>105</v>
      </c>
      <c r="U2699" t="str">
        <f t="shared" si="621"/>
        <v>Broadway</v>
      </c>
      <c r="V2699" t="s">
        <v>189</v>
      </c>
      <c r="W2699" t="str">
        <f t="shared" si="622"/>
        <v>Windsor St</v>
      </c>
      <c r="X2699" t="str">
        <f>IF(ISBLANK(S2699),"Intersection","Non-Intersection")</f>
        <v>Intersection</v>
      </c>
      <c r="Y2699" t="s">
        <v>477</v>
      </c>
      <c r="Z2699" t="str">
        <f t="shared" si="623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10"/>
        <v>40544</v>
      </c>
      <c r="D2700" s="4">
        <f t="shared" si="611"/>
        <v>0.72602739726027399</v>
      </c>
      <c r="E2700" s="3">
        <f t="shared" si="612"/>
        <v>2011</v>
      </c>
      <c r="F2700" s="3">
        <f t="shared" si="613"/>
        <v>9</v>
      </c>
      <c r="G2700" s="3">
        <f t="shared" si="614"/>
        <v>23</v>
      </c>
      <c r="H2700" s="3">
        <f t="shared" si="615"/>
        <v>11</v>
      </c>
      <c r="I2700" s="3">
        <f t="shared" si="616"/>
        <v>0</v>
      </c>
      <c r="J2700" s="3">
        <f t="shared" si="617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18"/>
        <v>YES</v>
      </c>
      <c r="Q2700" t="str">
        <f t="shared" si="619"/>
        <v>NO</v>
      </c>
      <c r="R2700" t="str">
        <f t="shared" si="620"/>
        <v>NO</v>
      </c>
      <c r="S2700">
        <v>100</v>
      </c>
      <c r="T2700" t="s">
        <v>1062</v>
      </c>
      <c r="U2700" t="str">
        <f t="shared" si="621"/>
        <v>Cambridgeside Pl</v>
      </c>
      <c r="W2700" t="str">
        <f t="shared" si="622"/>
        <v/>
      </c>
      <c r="X2700" t="str">
        <f>IF(ISBLANK(S2700),"Intersection","Non-Intersection")</f>
        <v>Non-Intersection</v>
      </c>
      <c r="Y2700" t="s">
        <v>1143</v>
      </c>
      <c r="Z2700" t="str">
        <f t="shared" si="623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10"/>
        <v>40544</v>
      </c>
      <c r="D2701" s="4">
        <f t="shared" si="611"/>
        <v>0.72602739726027399</v>
      </c>
      <c r="E2701" s="3">
        <f t="shared" si="612"/>
        <v>2011</v>
      </c>
      <c r="F2701" s="3">
        <f t="shared" si="613"/>
        <v>9</v>
      </c>
      <c r="G2701" s="3">
        <f t="shared" si="614"/>
        <v>23</v>
      </c>
      <c r="H2701" s="3">
        <f t="shared" si="615"/>
        <v>7</v>
      </c>
      <c r="I2701" s="3">
        <f t="shared" si="616"/>
        <v>44</v>
      </c>
      <c r="J2701" s="3">
        <f t="shared" si="617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18"/>
        <v>YES</v>
      </c>
      <c r="Q2701" t="str">
        <f t="shared" si="619"/>
        <v>NO</v>
      </c>
      <c r="R2701" t="str">
        <f t="shared" si="620"/>
        <v>NO</v>
      </c>
      <c r="S2701">
        <v>730</v>
      </c>
      <c r="T2701" t="s">
        <v>186</v>
      </c>
      <c r="U2701" t="str">
        <f t="shared" si="621"/>
        <v>Concord Ave</v>
      </c>
      <c r="W2701" t="str">
        <f t="shared" si="622"/>
        <v/>
      </c>
      <c r="X2701" t="str">
        <f>IF(ISBLANK(S2701),"Intersection","Non-Intersection")</f>
        <v>Non-Intersection</v>
      </c>
      <c r="Y2701" t="s">
        <v>3729</v>
      </c>
      <c r="Z2701" t="str">
        <f t="shared" si="623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10"/>
        <v>40544</v>
      </c>
      <c r="D2702" s="4">
        <f t="shared" si="611"/>
        <v>0.72876712328767124</v>
      </c>
      <c r="E2702" s="3">
        <f t="shared" si="612"/>
        <v>2011</v>
      </c>
      <c r="F2702" s="3">
        <f t="shared" si="613"/>
        <v>9</v>
      </c>
      <c r="G2702" s="3">
        <f t="shared" si="614"/>
        <v>24</v>
      </c>
      <c r="H2702" s="3">
        <f t="shared" si="615"/>
        <v>1</v>
      </c>
      <c r="I2702" s="3">
        <f t="shared" si="616"/>
        <v>44</v>
      </c>
      <c r="J2702" s="3">
        <f t="shared" si="617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18"/>
        <v>YES</v>
      </c>
      <c r="Q2702" t="str">
        <f t="shared" si="619"/>
        <v>NO</v>
      </c>
      <c r="R2702" t="str">
        <f t="shared" si="620"/>
        <v>NO</v>
      </c>
      <c r="S2702">
        <v>1201</v>
      </c>
      <c r="T2702" t="s">
        <v>14</v>
      </c>
      <c r="U2702" t="str">
        <f t="shared" si="621"/>
        <v>Massachusetts Ave</v>
      </c>
      <c r="W2702" t="str">
        <f t="shared" si="622"/>
        <v/>
      </c>
      <c r="X2702" t="str">
        <f>IF(ISBLANK(S2702),"Intersection","Non-Intersection")</f>
        <v>Non-Intersection</v>
      </c>
      <c r="Y2702" t="s">
        <v>3730</v>
      </c>
      <c r="Z2702" t="str">
        <f t="shared" si="623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10"/>
        <v>40544</v>
      </c>
      <c r="D2703" s="4">
        <f t="shared" si="611"/>
        <v>0.72876712328767124</v>
      </c>
      <c r="E2703" s="3">
        <f t="shared" si="612"/>
        <v>2011</v>
      </c>
      <c r="F2703" s="3">
        <f t="shared" si="613"/>
        <v>9</v>
      </c>
      <c r="G2703" s="3">
        <f t="shared" si="614"/>
        <v>24</v>
      </c>
      <c r="H2703" s="3">
        <f t="shared" si="615"/>
        <v>8</v>
      </c>
      <c r="I2703" s="3">
        <f t="shared" si="616"/>
        <v>45</v>
      </c>
      <c r="J2703" s="3">
        <f t="shared" si="617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18"/>
        <v>YES</v>
      </c>
      <c r="Q2703" t="str">
        <f t="shared" si="619"/>
        <v>NO</v>
      </c>
      <c r="R2703" t="str">
        <f t="shared" si="620"/>
        <v>NO</v>
      </c>
      <c r="T2703" t="s">
        <v>958</v>
      </c>
      <c r="U2703" t="str">
        <f t="shared" si="621"/>
        <v>Pacific St</v>
      </c>
      <c r="V2703" t="s">
        <v>3732</v>
      </c>
      <c r="W2703" t="str">
        <f t="shared" si="622"/>
        <v>Purrington St</v>
      </c>
      <c r="X2703" t="str">
        <f>IF(ISBLANK(S2703),"Intersection","Non-Intersection")</f>
        <v>Intersection</v>
      </c>
      <c r="Y2703" t="s">
        <v>3733</v>
      </c>
      <c r="Z2703" t="str">
        <f t="shared" si="623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10"/>
        <v>40544</v>
      </c>
      <c r="D2704" s="4">
        <f t="shared" si="611"/>
        <v>0.72876712328767124</v>
      </c>
      <c r="E2704" s="3">
        <f t="shared" si="612"/>
        <v>2011</v>
      </c>
      <c r="F2704" s="3">
        <f t="shared" si="613"/>
        <v>9</v>
      </c>
      <c r="G2704" s="3">
        <f t="shared" si="614"/>
        <v>24</v>
      </c>
      <c r="H2704" s="3">
        <f t="shared" si="615"/>
        <v>13</v>
      </c>
      <c r="I2704" s="3">
        <f t="shared" si="616"/>
        <v>30</v>
      </c>
      <c r="J2704" s="3">
        <f t="shared" si="617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18"/>
        <v>YES</v>
      </c>
      <c r="Q2704" t="str">
        <f t="shared" si="619"/>
        <v>NO</v>
      </c>
      <c r="R2704" t="str">
        <f t="shared" si="620"/>
        <v>NO</v>
      </c>
      <c r="S2704">
        <v>738</v>
      </c>
      <c r="T2704" t="s">
        <v>19</v>
      </c>
      <c r="U2704" t="str">
        <f t="shared" si="621"/>
        <v>Cambridge St</v>
      </c>
      <c r="W2704" t="str">
        <f t="shared" si="622"/>
        <v/>
      </c>
      <c r="X2704" t="str">
        <f>IF(ISBLANK(S2704),"Intersection","Non-Intersection")</f>
        <v>Non-Intersection</v>
      </c>
      <c r="Y2704" t="s">
        <v>3044</v>
      </c>
      <c r="Z2704" t="str">
        <f t="shared" si="623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10"/>
        <v>40544</v>
      </c>
      <c r="D2705" s="4">
        <f t="shared" si="611"/>
        <v>0.72876712328767124</v>
      </c>
      <c r="E2705" s="3">
        <f t="shared" si="612"/>
        <v>2011</v>
      </c>
      <c r="F2705" s="3">
        <f t="shared" si="613"/>
        <v>9</v>
      </c>
      <c r="G2705" s="3">
        <f t="shared" si="614"/>
        <v>24</v>
      </c>
      <c r="H2705" s="3">
        <f t="shared" si="615"/>
        <v>17</v>
      </c>
      <c r="I2705" s="3">
        <f t="shared" si="616"/>
        <v>0</v>
      </c>
      <c r="J2705" s="3">
        <f t="shared" si="617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18"/>
        <v>YES</v>
      </c>
      <c r="Q2705" t="str">
        <f t="shared" si="619"/>
        <v>NO</v>
      </c>
      <c r="R2705" t="str">
        <f t="shared" si="620"/>
        <v>NO</v>
      </c>
      <c r="S2705">
        <v>6</v>
      </c>
      <c r="T2705" t="s">
        <v>1177</v>
      </c>
      <c r="U2705" t="str">
        <f t="shared" si="621"/>
        <v>Plympton St</v>
      </c>
      <c r="W2705" t="str">
        <f t="shared" si="622"/>
        <v/>
      </c>
      <c r="X2705" t="str">
        <f>IF(ISBLANK(S2705),"Intersection","Non-Intersection")</f>
        <v>Non-Intersection</v>
      </c>
      <c r="Y2705" t="s">
        <v>3735</v>
      </c>
      <c r="Z2705" t="str">
        <f t="shared" si="623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10"/>
        <v>40544</v>
      </c>
      <c r="D2706" s="4">
        <f t="shared" si="611"/>
        <v>0.72876712328767124</v>
      </c>
      <c r="E2706" s="3">
        <f t="shared" si="612"/>
        <v>2011</v>
      </c>
      <c r="F2706" s="3">
        <f t="shared" si="613"/>
        <v>9</v>
      </c>
      <c r="G2706" s="3">
        <f t="shared" si="614"/>
        <v>24</v>
      </c>
      <c r="H2706" s="3">
        <f t="shared" si="615"/>
        <v>15</v>
      </c>
      <c r="I2706" s="3">
        <f t="shared" si="616"/>
        <v>59</v>
      </c>
      <c r="J2706" s="3">
        <f t="shared" si="617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18"/>
        <v>YES</v>
      </c>
      <c r="Q2706" t="str">
        <f t="shared" si="619"/>
        <v>NO</v>
      </c>
      <c r="R2706" t="str">
        <f t="shared" si="620"/>
        <v>NO</v>
      </c>
      <c r="S2706">
        <v>259</v>
      </c>
      <c r="T2706" t="s">
        <v>27</v>
      </c>
      <c r="U2706" t="str">
        <f t="shared" si="621"/>
        <v>Western Ave</v>
      </c>
      <c r="W2706" t="str">
        <f t="shared" si="622"/>
        <v/>
      </c>
      <c r="X2706" t="str">
        <f>IF(ISBLANK(S2706),"Intersection","Non-Intersection")</f>
        <v>Non-Intersection</v>
      </c>
      <c r="Y2706" t="s">
        <v>3737</v>
      </c>
      <c r="Z2706" t="str">
        <f t="shared" si="623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10"/>
        <v>40544</v>
      </c>
      <c r="D2707" s="4">
        <f t="shared" si="611"/>
        <v>0.72876712328767124</v>
      </c>
      <c r="E2707" s="3">
        <f t="shared" si="612"/>
        <v>2011</v>
      </c>
      <c r="F2707" s="3">
        <f t="shared" si="613"/>
        <v>9</v>
      </c>
      <c r="G2707" s="3">
        <f t="shared" si="614"/>
        <v>24</v>
      </c>
      <c r="H2707" s="3">
        <f t="shared" si="615"/>
        <v>20</v>
      </c>
      <c r="I2707" s="3">
        <f t="shared" si="616"/>
        <v>0</v>
      </c>
      <c r="J2707" s="3">
        <f t="shared" si="617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18"/>
        <v>YES</v>
      </c>
      <c r="Q2707" t="str">
        <f t="shared" si="619"/>
        <v>NO</v>
      </c>
      <c r="R2707" t="str">
        <f t="shared" si="620"/>
        <v>NO</v>
      </c>
      <c r="S2707">
        <v>288</v>
      </c>
      <c r="T2707" t="s">
        <v>745</v>
      </c>
      <c r="U2707" t="str">
        <f t="shared" si="621"/>
        <v>Norfolk St</v>
      </c>
      <c r="W2707" t="str">
        <f t="shared" si="622"/>
        <v/>
      </c>
      <c r="X2707" t="str">
        <f>IF(ISBLANK(S2707),"Intersection","Non-Intersection")</f>
        <v>Non-Intersection</v>
      </c>
      <c r="Y2707" t="s">
        <v>3739</v>
      </c>
      <c r="Z2707" t="str">
        <f t="shared" si="623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10"/>
        <v>40544</v>
      </c>
      <c r="D2708" s="4">
        <f t="shared" si="611"/>
        <v>0.73150684931506849</v>
      </c>
      <c r="E2708" s="3">
        <f t="shared" si="612"/>
        <v>2011</v>
      </c>
      <c r="F2708" s="3">
        <f t="shared" si="613"/>
        <v>9</v>
      </c>
      <c r="G2708" s="3">
        <f t="shared" si="614"/>
        <v>25</v>
      </c>
      <c r="H2708" s="3">
        <f t="shared" si="615"/>
        <v>12</v>
      </c>
      <c r="I2708" s="3">
        <f t="shared" si="616"/>
        <v>20</v>
      </c>
      <c r="J2708" s="3">
        <f t="shared" si="617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18"/>
        <v>YES</v>
      </c>
      <c r="Q2708" t="str">
        <f t="shared" si="619"/>
        <v>NO</v>
      </c>
      <c r="R2708" t="str">
        <f t="shared" si="620"/>
        <v>NO</v>
      </c>
      <c r="T2708" t="s">
        <v>74</v>
      </c>
      <c r="U2708" t="str">
        <f t="shared" si="621"/>
        <v>Hampshire St</v>
      </c>
      <c r="V2708" t="s">
        <v>342</v>
      </c>
      <c r="W2708" t="str">
        <f t="shared" si="622"/>
        <v>Prospect St</v>
      </c>
      <c r="X2708" t="str">
        <f>IF(ISBLANK(S2708),"Intersection","Non-Intersection")</f>
        <v>Intersection</v>
      </c>
      <c r="Y2708" t="s">
        <v>462</v>
      </c>
      <c r="Z2708" t="str">
        <f t="shared" si="623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10"/>
        <v>40544</v>
      </c>
      <c r="D2709" s="4">
        <f t="shared" si="611"/>
        <v>0.73150684931506849</v>
      </c>
      <c r="E2709" s="3">
        <f t="shared" si="612"/>
        <v>2011</v>
      </c>
      <c r="F2709" s="3">
        <f t="shared" si="613"/>
        <v>9</v>
      </c>
      <c r="G2709" s="3">
        <f t="shared" si="614"/>
        <v>25</v>
      </c>
      <c r="H2709" s="3">
        <f t="shared" si="615"/>
        <v>17</v>
      </c>
      <c r="I2709" s="3">
        <f t="shared" si="616"/>
        <v>26</v>
      </c>
      <c r="J2709" s="3">
        <f t="shared" si="617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18"/>
        <v>YES</v>
      </c>
      <c r="Q2709" t="str">
        <f t="shared" si="619"/>
        <v>NO</v>
      </c>
      <c r="R2709" t="str">
        <f t="shared" si="620"/>
        <v>NO</v>
      </c>
      <c r="S2709">
        <v>167</v>
      </c>
      <c r="T2709" t="s">
        <v>75</v>
      </c>
      <c r="U2709" t="str">
        <f t="shared" si="621"/>
        <v>Elm St</v>
      </c>
      <c r="W2709" t="str">
        <f t="shared" si="622"/>
        <v/>
      </c>
      <c r="X2709" t="str">
        <f>IF(ISBLANK(S2709),"Intersection","Non-Intersection")</f>
        <v>Non-Intersection</v>
      </c>
      <c r="Y2709" t="s">
        <v>3741</v>
      </c>
      <c r="Z2709" t="str">
        <f t="shared" si="623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10"/>
        <v>40544</v>
      </c>
      <c r="D2710" s="4">
        <f t="shared" si="611"/>
        <v>0.73424657534246573</v>
      </c>
      <c r="E2710" s="3">
        <f t="shared" si="612"/>
        <v>2011</v>
      </c>
      <c r="F2710" s="3">
        <f t="shared" si="613"/>
        <v>9</v>
      </c>
      <c r="G2710" s="3">
        <f t="shared" si="614"/>
        <v>26</v>
      </c>
      <c r="H2710" s="3">
        <f t="shared" si="615"/>
        <v>13</v>
      </c>
      <c r="I2710" s="3">
        <f t="shared" si="616"/>
        <v>30</v>
      </c>
      <c r="J2710" s="3">
        <f t="shared" si="617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18"/>
        <v>YES</v>
      </c>
      <c r="Q2710" t="str">
        <f t="shared" si="619"/>
        <v>NO</v>
      </c>
      <c r="R2710" t="str">
        <f t="shared" si="620"/>
        <v>NO</v>
      </c>
      <c r="S2710">
        <v>748</v>
      </c>
      <c r="T2710" t="s">
        <v>203</v>
      </c>
      <c r="U2710" t="str">
        <f t="shared" si="621"/>
        <v>Memorial Dr</v>
      </c>
      <c r="W2710" t="str">
        <f t="shared" si="622"/>
        <v/>
      </c>
      <c r="X2710" t="str">
        <f>IF(ISBLANK(S2710),"Intersection","Non-Intersection")</f>
        <v>Non-Intersection</v>
      </c>
      <c r="Y2710" t="s">
        <v>1731</v>
      </c>
      <c r="Z2710" t="str">
        <f t="shared" si="623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10"/>
        <v>40544</v>
      </c>
      <c r="D2711" s="4">
        <f t="shared" si="611"/>
        <v>0.73424657534246573</v>
      </c>
      <c r="E2711" s="3">
        <f t="shared" si="612"/>
        <v>2011</v>
      </c>
      <c r="F2711" s="3">
        <f t="shared" si="613"/>
        <v>9</v>
      </c>
      <c r="G2711" s="3">
        <f t="shared" si="614"/>
        <v>26</v>
      </c>
      <c r="H2711" s="3">
        <f t="shared" si="615"/>
        <v>7</v>
      </c>
      <c r="I2711" s="3">
        <f t="shared" si="616"/>
        <v>30</v>
      </c>
      <c r="J2711" s="3">
        <f t="shared" si="617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18"/>
        <v>YES</v>
      </c>
      <c r="Q2711" t="str">
        <f t="shared" si="619"/>
        <v>NO</v>
      </c>
      <c r="R2711" t="str">
        <f t="shared" si="620"/>
        <v>NO</v>
      </c>
      <c r="T2711" t="s">
        <v>1332</v>
      </c>
      <c r="U2711" t="str">
        <f t="shared" si="621"/>
        <v>Porter Rd</v>
      </c>
      <c r="W2711" t="str">
        <f t="shared" si="622"/>
        <v/>
      </c>
      <c r="X2711" t="str">
        <f>IF(ISBLANK(S2711),"Intersection","Non-Intersection")</f>
        <v>Intersection</v>
      </c>
      <c r="Y2711" t="s">
        <v>3743</v>
      </c>
      <c r="Z2711" t="str">
        <f t="shared" si="623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10"/>
        <v>40544</v>
      </c>
      <c r="D2712" s="4">
        <f t="shared" si="611"/>
        <v>0.73424657534246573</v>
      </c>
      <c r="E2712" s="3">
        <f t="shared" si="612"/>
        <v>2011</v>
      </c>
      <c r="F2712" s="3">
        <f t="shared" si="613"/>
        <v>9</v>
      </c>
      <c r="G2712" s="3">
        <f t="shared" si="614"/>
        <v>26</v>
      </c>
      <c r="H2712" s="3">
        <f t="shared" si="615"/>
        <v>7</v>
      </c>
      <c r="I2712" s="3">
        <f t="shared" si="616"/>
        <v>25</v>
      </c>
      <c r="J2712" s="3">
        <f t="shared" si="617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18"/>
        <v>YES</v>
      </c>
      <c r="Q2712" t="str">
        <f t="shared" si="619"/>
        <v>NO</v>
      </c>
      <c r="R2712" t="str">
        <f t="shared" si="620"/>
        <v>NO</v>
      </c>
      <c r="T2712" t="s">
        <v>14</v>
      </c>
      <c r="U2712" t="str">
        <f t="shared" si="621"/>
        <v>Massachusetts Ave</v>
      </c>
      <c r="V2712" t="s">
        <v>1426</v>
      </c>
      <c r="W2712" t="str">
        <f t="shared" si="622"/>
        <v>Rice St</v>
      </c>
      <c r="X2712" t="str">
        <f>IF(ISBLANK(S2712),"Intersection","Non-Intersection")</f>
        <v>Intersection</v>
      </c>
      <c r="Y2712" t="s">
        <v>2369</v>
      </c>
      <c r="Z2712" t="str">
        <f t="shared" si="623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10"/>
        <v>40544</v>
      </c>
      <c r="D2713" s="4">
        <f t="shared" si="611"/>
        <v>0.73424657534246573</v>
      </c>
      <c r="E2713" s="3">
        <f t="shared" si="612"/>
        <v>2011</v>
      </c>
      <c r="F2713" s="3">
        <f t="shared" si="613"/>
        <v>9</v>
      </c>
      <c r="G2713" s="3">
        <f t="shared" si="614"/>
        <v>26</v>
      </c>
      <c r="H2713" s="3">
        <f t="shared" si="615"/>
        <v>20</v>
      </c>
      <c r="I2713" s="3">
        <f t="shared" si="616"/>
        <v>23</v>
      </c>
      <c r="J2713" s="3">
        <f t="shared" si="617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18"/>
        <v>YES</v>
      </c>
      <c r="Q2713" t="str">
        <f t="shared" si="619"/>
        <v>NO</v>
      </c>
      <c r="R2713" t="str">
        <f t="shared" si="620"/>
        <v>NO</v>
      </c>
      <c r="T2713" t="s">
        <v>14</v>
      </c>
      <c r="U2713" t="str">
        <f t="shared" si="621"/>
        <v>Massachusetts Ave</v>
      </c>
      <c r="V2713" t="s">
        <v>1182</v>
      </c>
      <c r="W2713" t="str">
        <f t="shared" si="622"/>
        <v>Amherst St</v>
      </c>
      <c r="X2713" t="str">
        <f>IF(ISBLANK(S2713),"Intersection","Non-Intersection")</f>
        <v>Intersection</v>
      </c>
      <c r="Y2713" t="s">
        <v>1240</v>
      </c>
      <c r="Z2713" t="str">
        <f t="shared" si="623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10"/>
        <v>40544</v>
      </c>
      <c r="D2714" s="4">
        <f t="shared" si="611"/>
        <v>0.73698630136986298</v>
      </c>
      <c r="E2714" s="3">
        <f t="shared" si="612"/>
        <v>2011</v>
      </c>
      <c r="F2714" s="3">
        <f t="shared" si="613"/>
        <v>9</v>
      </c>
      <c r="G2714" s="3">
        <f t="shared" si="614"/>
        <v>27</v>
      </c>
      <c r="H2714" s="3">
        <f t="shared" si="615"/>
        <v>8</v>
      </c>
      <c r="I2714" s="3">
        <f t="shared" si="616"/>
        <v>55</v>
      </c>
      <c r="J2714" s="3">
        <f t="shared" si="617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18"/>
        <v>YES</v>
      </c>
      <c r="Q2714" t="str">
        <f t="shared" si="619"/>
        <v>NO</v>
      </c>
      <c r="R2714" t="str">
        <f t="shared" si="620"/>
        <v>NO</v>
      </c>
      <c r="T2714" t="s">
        <v>14</v>
      </c>
      <c r="U2714" t="str">
        <f t="shared" si="621"/>
        <v>Massachusetts Ave</v>
      </c>
      <c r="V2714" t="s">
        <v>119</v>
      </c>
      <c r="W2714" t="str">
        <f t="shared" si="622"/>
        <v>Albany St</v>
      </c>
      <c r="X2714" t="str">
        <f>IF(ISBLANK(S2714),"Intersection","Non-Intersection")</f>
        <v>Intersection</v>
      </c>
      <c r="Y2714" t="s">
        <v>247</v>
      </c>
      <c r="Z2714" t="str">
        <f t="shared" si="623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10"/>
        <v>40544</v>
      </c>
      <c r="D2715" s="4">
        <f t="shared" si="611"/>
        <v>0.73698630136986298</v>
      </c>
      <c r="E2715" s="3">
        <f t="shared" si="612"/>
        <v>2011</v>
      </c>
      <c r="F2715" s="3">
        <f t="shared" si="613"/>
        <v>9</v>
      </c>
      <c r="G2715" s="3">
        <f t="shared" si="614"/>
        <v>27</v>
      </c>
      <c r="H2715" s="3">
        <f t="shared" si="615"/>
        <v>11</v>
      </c>
      <c r="I2715" s="3">
        <f t="shared" si="616"/>
        <v>10</v>
      </c>
      <c r="J2715" s="3">
        <f t="shared" si="617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18"/>
        <v>YES</v>
      </c>
      <c r="Q2715" t="str">
        <f t="shared" si="619"/>
        <v>NO</v>
      </c>
      <c r="R2715" t="str">
        <f t="shared" si="620"/>
        <v>NO</v>
      </c>
      <c r="T2715" t="s">
        <v>74</v>
      </c>
      <c r="U2715" t="str">
        <f t="shared" si="621"/>
        <v>Hampshire St</v>
      </c>
      <c r="V2715" t="s">
        <v>2484</v>
      </c>
      <c r="W2715" t="str">
        <f t="shared" si="622"/>
        <v>Amory Pl</v>
      </c>
      <c r="X2715" t="str">
        <f>IF(ISBLANK(S2715),"Intersection","Non-Intersection")</f>
        <v>Intersection</v>
      </c>
      <c r="Y2715" t="s">
        <v>3744</v>
      </c>
      <c r="Z2715" t="str">
        <f t="shared" si="623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10"/>
        <v>40544</v>
      </c>
      <c r="D2716" s="4">
        <f t="shared" si="611"/>
        <v>0.73698630136986298</v>
      </c>
      <c r="E2716" s="3">
        <f t="shared" si="612"/>
        <v>2011</v>
      </c>
      <c r="F2716" s="3">
        <f t="shared" si="613"/>
        <v>9</v>
      </c>
      <c r="G2716" s="3">
        <f t="shared" si="614"/>
        <v>27</v>
      </c>
      <c r="H2716" s="3">
        <f t="shared" si="615"/>
        <v>12</v>
      </c>
      <c r="I2716" s="3">
        <f t="shared" si="616"/>
        <v>30</v>
      </c>
      <c r="J2716" s="3">
        <f t="shared" si="617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18"/>
        <v>YES</v>
      </c>
      <c r="Q2716" t="str">
        <f t="shared" si="619"/>
        <v>NO</v>
      </c>
      <c r="R2716" t="str">
        <f t="shared" si="620"/>
        <v>NO</v>
      </c>
      <c r="T2716" t="s">
        <v>1960</v>
      </c>
      <c r="U2716" t="str">
        <f t="shared" si="621"/>
        <v>Farwell Pl</v>
      </c>
      <c r="V2716" t="s">
        <v>199</v>
      </c>
      <c r="W2716" t="str">
        <f t="shared" si="622"/>
        <v>Brattle St</v>
      </c>
      <c r="X2716" t="str">
        <f>IF(ISBLANK(S2716),"Intersection","Non-Intersection")</f>
        <v>Intersection</v>
      </c>
      <c r="Y2716" t="s">
        <v>3745</v>
      </c>
      <c r="Z2716" t="str">
        <f t="shared" si="623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10"/>
        <v>40544</v>
      </c>
      <c r="D2717" s="4">
        <f t="shared" si="611"/>
        <v>0.73972602739726023</v>
      </c>
      <c r="E2717" s="3">
        <f t="shared" si="612"/>
        <v>2011</v>
      </c>
      <c r="F2717" s="3">
        <f t="shared" si="613"/>
        <v>9</v>
      </c>
      <c r="G2717" s="3">
        <f t="shared" si="614"/>
        <v>28</v>
      </c>
      <c r="H2717" s="3">
        <f t="shared" si="615"/>
        <v>9</v>
      </c>
      <c r="I2717" s="3">
        <f t="shared" si="616"/>
        <v>5</v>
      </c>
      <c r="J2717" s="3">
        <f t="shared" si="617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18"/>
        <v>YES</v>
      </c>
      <c r="Q2717" t="str">
        <f t="shared" si="619"/>
        <v>YES</v>
      </c>
      <c r="R2717" t="str">
        <f t="shared" si="620"/>
        <v>NO</v>
      </c>
      <c r="T2717" t="s">
        <v>19</v>
      </c>
      <c r="U2717" t="str">
        <f t="shared" si="621"/>
        <v>Cambridge St</v>
      </c>
      <c r="V2717" t="s">
        <v>75</v>
      </c>
      <c r="W2717" t="str">
        <f t="shared" si="622"/>
        <v>Elm St</v>
      </c>
      <c r="X2717" t="str">
        <f>IF(ISBLANK(S2717),"Intersection","Non-Intersection")</f>
        <v>Intersection</v>
      </c>
      <c r="Y2717" t="s">
        <v>321</v>
      </c>
      <c r="Z2717" t="str">
        <f t="shared" si="623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10"/>
        <v>40544</v>
      </c>
      <c r="D2718" s="4">
        <f t="shared" si="611"/>
        <v>0.73972602739726023</v>
      </c>
      <c r="E2718" s="3">
        <f t="shared" si="612"/>
        <v>2011</v>
      </c>
      <c r="F2718" s="3">
        <f t="shared" si="613"/>
        <v>9</v>
      </c>
      <c r="G2718" s="3">
        <f t="shared" si="614"/>
        <v>28</v>
      </c>
      <c r="H2718" s="3">
        <f t="shared" si="615"/>
        <v>12</v>
      </c>
      <c r="I2718" s="3">
        <f t="shared" si="616"/>
        <v>11</v>
      </c>
      <c r="J2718" s="3">
        <f t="shared" si="617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18"/>
        <v>YES</v>
      </c>
      <c r="Q2718" t="str">
        <f t="shared" si="619"/>
        <v>NO</v>
      </c>
      <c r="R2718" t="str">
        <f t="shared" si="620"/>
        <v>NO</v>
      </c>
      <c r="T2718" t="s">
        <v>316</v>
      </c>
      <c r="U2718" t="str">
        <f t="shared" si="621"/>
        <v>Bishop Allen Dr</v>
      </c>
      <c r="V2718" t="s">
        <v>315</v>
      </c>
      <c r="W2718" t="str">
        <f t="shared" si="622"/>
        <v>Essex St</v>
      </c>
      <c r="X2718" t="str">
        <f>IF(ISBLANK(S2718),"Intersection","Non-Intersection")</f>
        <v>Intersection</v>
      </c>
      <c r="Y2718" t="s">
        <v>3185</v>
      </c>
      <c r="Z2718" t="str">
        <f t="shared" si="623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10"/>
        <v>40544</v>
      </c>
      <c r="D2719" s="4">
        <f t="shared" si="611"/>
        <v>0.73972602739726023</v>
      </c>
      <c r="E2719" s="3">
        <f t="shared" si="612"/>
        <v>2011</v>
      </c>
      <c r="F2719" s="3">
        <f t="shared" si="613"/>
        <v>9</v>
      </c>
      <c r="G2719" s="3">
        <f t="shared" si="614"/>
        <v>28</v>
      </c>
      <c r="H2719" s="3">
        <f t="shared" si="615"/>
        <v>10</v>
      </c>
      <c r="I2719" s="3">
        <f t="shared" si="616"/>
        <v>25</v>
      </c>
      <c r="J2719" s="3">
        <f t="shared" si="617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18"/>
        <v>YES</v>
      </c>
      <c r="Q2719" t="str">
        <f t="shared" si="619"/>
        <v>NO</v>
      </c>
      <c r="R2719" t="str">
        <f t="shared" si="620"/>
        <v>NO</v>
      </c>
      <c r="T2719" t="s">
        <v>315</v>
      </c>
      <c r="U2719" t="str">
        <f t="shared" si="621"/>
        <v>Essex St</v>
      </c>
      <c r="V2719" t="s">
        <v>316</v>
      </c>
      <c r="W2719" t="str">
        <f t="shared" si="622"/>
        <v>Bishop Allen Dr</v>
      </c>
      <c r="X2719" t="str">
        <f>IF(ISBLANK(S2719),"Intersection","Non-Intersection")</f>
        <v>Intersection</v>
      </c>
      <c r="Y2719" t="s">
        <v>317</v>
      </c>
      <c r="Z2719" t="str">
        <f t="shared" si="623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10"/>
        <v>40544</v>
      </c>
      <c r="D2720" s="4">
        <f t="shared" si="611"/>
        <v>0.74246575342465748</v>
      </c>
      <c r="E2720" s="3">
        <f t="shared" si="612"/>
        <v>2011</v>
      </c>
      <c r="F2720" s="3">
        <f t="shared" si="613"/>
        <v>9</v>
      </c>
      <c r="G2720" s="3">
        <f t="shared" si="614"/>
        <v>29</v>
      </c>
      <c r="H2720" s="3">
        <f t="shared" si="615"/>
        <v>1</v>
      </c>
      <c r="I2720" s="3">
        <f t="shared" si="616"/>
        <v>30</v>
      </c>
      <c r="J2720" s="3">
        <f t="shared" si="617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18"/>
        <v>YES</v>
      </c>
      <c r="Q2720" t="str">
        <f t="shared" si="619"/>
        <v>NO</v>
      </c>
      <c r="R2720" t="str">
        <f t="shared" si="620"/>
        <v>NO</v>
      </c>
      <c r="S2720">
        <v>277</v>
      </c>
      <c r="T2720" t="s">
        <v>15</v>
      </c>
      <c r="U2720" t="str">
        <f t="shared" si="621"/>
        <v>Rindge Ave</v>
      </c>
      <c r="W2720" t="str">
        <f t="shared" si="622"/>
        <v/>
      </c>
      <c r="X2720" t="str">
        <f>IF(ISBLANK(S2720),"Intersection","Non-Intersection")</f>
        <v>Non-Intersection</v>
      </c>
      <c r="Y2720" t="s">
        <v>3746</v>
      </c>
      <c r="Z2720" t="str">
        <f t="shared" si="623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10"/>
        <v>40544</v>
      </c>
      <c r="D2721" s="4">
        <f t="shared" si="611"/>
        <v>0.74246575342465748</v>
      </c>
      <c r="E2721" s="3">
        <f t="shared" si="612"/>
        <v>2011</v>
      </c>
      <c r="F2721" s="3">
        <f t="shared" si="613"/>
        <v>9</v>
      </c>
      <c r="G2721" s="3">
        <f t="shared" si="614"/>
        <v>29</v>
      </c>
      <c r="H2721" s="3">
        <f t="shared" si="615"/>
        <v>19</v>
      </c>
      <c r="I2721" s="3">
        <f t="shared" si="616"/>
        <v>9</v>
      </c>
      <c r="J2721" s="3">
        <f t="shared" si="617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18"/>
        <v>YES</v>
      </c>
      <c r="Q2721" t="str">
        <f t="shared" si="619"/>
        <v>NO</v>
      </c>
      <c r="R2721" t="str">
        <f t="shared" si="620"/>
        <v>NO</v>
      </c>
      <c r="T2721" t="s">
        <v>108</v>
      </c>
      <c r="U2721" t="str">
        <f t="shared" si="621"/>
        <v>Franklin St</v>
      </c>
      <c r="V2721" t="s">
        <v>41</v>
      </c>
      <c r="W2721" t="str">
        <f t="shared" si="622"/>
        <v>River St</v>
      </c>
      <c r="X2721" t="str">
        <f>IF(ISBLANK(S2721),"Intersection","Non-Intersection")</f>
        <v>Intersection</v>
      </c>
      <c r="Y2721" t="s">
        <v>3748</v>
      </c>
      <c r="Z2721" t="str">
        <f t="shared" si="623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10"/>
        <v>40544</v>
      </c>
      <c r="D2722" s="4">
        <f t="shared" si="611"/>
        <v>0.74520547945205484</v>
      </c>
      <c r="E2722" s="3">
        <f t="shared" si="612"/>
        <v>2011</v>
      </c>
      <c r="F2722" s="3">
        <f t="shared" si="613"/>
        <v>9</v>
      </c>
      <c r="G2722" s="3">
        <f t="shared" si="614"/>
        <v>30</v>
      </c>
      <c r="H2722" s="3">
        <f t="shared" si="615"/>
        <v>10</v>
      </c>
      <c r="I2722" s="3">
        <f t="shared" si="616"/>
        <v>25</v>
      </c>
      <c r="J2722" s="3">
        <f t="shared" si="617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18"/>
        <v>YES</v>
      </c>
      <c r="Q2722" t="str">
        <f t="shared" si="619"/>
        <v>NO</v>
      </c>
      <c r="R2722" t="str">
        <f t="shared" si="620"/>
        <v>NO</v>
      </c>
      <c r="T2722" t="s">
        <v>42</v>
      </c>
      <c r="U2722" t="str">
        <f t="shared" si="621"/>
        <v>Putnam Ave</v>
      </c>
      <c r="V2722" t="s">
        <v>27</v>
      </c>
      <c r="W2722" t="str">
        <f t="shared" si="622"/>
        <v>Western Ave</v>
      </c>
      <c r="X2722" t="str">
        <f>IF(ISBLANK(S2722),"Intersection","Non-Intersection")</f>
        <v>Intersection</v>
      </c>
      <c r="Y2722" t="s">
        <v>3749</v>
      </c>
      <c r="Z2722" t="str">
        <f t="shared" si="623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10"/>
        <v>40544</v>
      </c>
      <c r="D2723" s="4">
        <f t="shared" si="611"/>
        <v>0.74520547945205484</v>
      </c>
      <c r="E2723" s="3">
        <f t="shared" si="612"/>
        <v>2011</v>
      </c>
      <c r="F2723" s="3">
        <f t="shared" si="613"/>
        <v>9</v>
      </c>
      <c r="G2723" s="3">
        <f t="shared" si="614"/>
        <v>30</v>
      </c>
      <c r="H2723" s="3">
        <f t="shared" si="615"/>
        <v>16</v>
      </c>
      <c r="I2723" s="3">
        <f t="shared" si="616"/>
        <v>40</v>
      </c>
      <c r="J2723" s="3">
        <f t="shared" si="617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18"/>
        <v>YES</v>
      </c>
      <c r="Q2723" t="str">
        <f t="shared" si="619"/>
        <v>NO</v>
      </c>
      <c r="R2723" t="str">
        <f t="shared" si="620"/>
        <v>NO</v>
      </c>
      <c r="T2723" t="s">
        <v>14</v>
      </c>
      <c r="U2723" t="str">
        <f t="shared" si="621"/>
        <v>Massachusetts Ave</v>
      </c>
      <c r="V2723" t="s">
        <v>185</v>
      </c>
      <c r="W2723" t="str">
        <f t="shared" si="622"/>
        <v>Garden St</v>
      </c>
      <c r="X2723" t="str">
        <f>IF(ISBLANK(S2723),"Intersection","Non-Intersection")</f>
        <v>Intersection</v>
      </c>
      <c r="Y2723" t="s">
        <v>1247</v>
      </c>
      <c r="Z2723" t="str">
        <f t="shared" si="623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10"/>
        <v>40544</v>
      </c>
      <c r="D2724" s="4">
        <f t="shared" si="611"/>
        <v>0.74520547945205484</v>
      </c>
      <c r="E2724" s="3">
        <f t="shared" si="612"/>
        <v>2011</v>
      </c>
      <c r="F2724" s="3">
        <f t="shared" si="613"/>
        <v>9</v>
      </c>
      <c r="G2724" s="3">
        <f t="shared" si="614"/>
        <v>30</v>
      </c>
      <c r="H2724" s="3">
        <f t="shared" si="615"/>
        <v>17</v>
      </c>
      <c r="I2724" s="3">
        <f t="shared" si="616"/>
        <v>48</v>
      </c>
      <c r="J2724" s="3">
        <f t="shared" si="617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18"/>
        <v>YES</v>
      </c>
      <c r="Q2724" t="str">
        <f t="shared" si="619"/>
        <v>NO</v>
      </c>
      <c r="R2724" t="str">
        <f t="shared" si="620"/>
        <v>NO</v>
      </c>
      <c r="T2724" t="s">
        <v>14</v>
      </c>
      <c r="U2724" t="str">
        <f t="shared" si="621"/>
        <v>Massachusetts Ave</v>
      </c>
      <c r="V2724" t="s">
        <v>185</v>
      </c>
      <c r="W2724" t="str">
        <f t="shared" si="622"/>
        <v>Garden St</v>
      </c>
      <c r="X2724" t="str">
        <f>IF(ISBLANK(S2724),"Intersection","Non-Intersection")</f>
        <v>Intersection</v>
      </c>
      <c r="Y2724" t="s">
        <v>1247</v>
      </c>
      <c r="Z2724" t="str">
        <f t="shared" si="623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10"/>
        <v>40544</v>
      </c>
      <c r="D2725" s="4">
        <f t="shared" si="611"/>
        <v>0.74520547945205484</v>
      </c>
      <c r="E2725" s="3">
        <f t="shared" si="612"/>
        <v>2011</v>
      </c>
      <c r="F2725" s="3">
        <f t="shared" si="613"/>
        <v>9</v>
      </c>
      <c r="G2725" s="3">
        <f t="shared" si="614"/>
        <v>30</v>
      </c>
      <c r="H2725" s="3">
        <f t="shared" si="615"/>
        <v>19</v>
      </c>
      <c r="I2725" s="3">
        <f t="shared" si="616"/>
        <v>2</v>
      </c>
      <c r="J2725" s="3">
        <f t="shared" si="617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18"/>
        <v>YES</v>
      </c>
      <c r="Q2725" t="str">
        <f t="shared" si="619"/>
        <v>YES</v>
      </c>
      <c r="R2725" t="str">
        <f t="shared" si="620"/>
        <v>NO</v>
      </c>
      <c r="S2725">
        <v>850</v>
      </c>
      <c r="T2725" t="s">
        <v>14</v>
      </c>
      <c r="U2725" t="str">
        <f t="shared" si="621"/>
        <v>Massachusetts Ave</v>
      </c>
      <c r="W2725" t="str">
        <f t="shared" si="622"/>
        <v/>
      </c>
      <c r="X2725" t="str">
        <f>IF(ISBLANK(S2725),"Intersection","Non-Intersection")</f>
        <v>Non-Intersection</v>
      </c>
      <c r="Y2725" t="s">
        <v>3750</v>
      </c>
      <c r="Z2725" t="str">
        <f t="shared" si="623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10"/>
        <v>40544</v>
      </c>
      <c r="D2726" s="4">
        <f t="shared" si="611"/>
        <v>0.74520547945205484</v>
      </c>
      <c r="E2726" s="3">
        <f t="shared" si="612"/>
        <v>2011</v>
      </c>
      <c r="F2726" s="3">
        <f t="shared" si="613"/>
        <v>9</v>
      </c>
      <c r="G2726" s="3">
        <f t="shared" si="614"/>
        <v>30</v>
      </c>
      <c r="H2726" s="3">
        <f t="shared" si="615"/>
        <v>17</v>
      </c>
      <c r="I2726" s="3">
        <f t="shared" si="616"/>
        <v>0</v>
      </c>
      <c r="J2726" s="3">
        <f t="shared" si="617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18"/>
        <v>NO</v>
      </c>
      <c r="Q2726" t="str">
        <f t="shared" si="619"/>
        <v>NO</v>
      </c>
      <c r="R2726" t="str">
        <f t="shared" si="620"/>
        <v>NO</v>
      </c>
      <c r="S2726">
        <v>5</v>
      </c>
      <c r="T2726" t="s">
        <v>70</v>
      </c>
      <c r="U2726" t="str">
        <f t="shared" si="621"/>
        <v>Pearl St</v>
      </c>
      <c r="V2726" t="s">
        <v>42</v>
      </c>
      <c r="W2726" t="str">
        <f t="shared" si="622"/>
        <v>Putnam Ave</v>
      </c>
      <c r="X2726" t="str">
        <f>IF(ISBLANK(S2726),"Intersection","Non-Intersection")</f>
        <v>Non-Intersection</v>
      </c>
      <c r="Y2726" t="s">
        <v>3752</v>
      </c>
      <c r="Z2726" t="str">
        <f t="shared" si="623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10"/>
        <v>40544</v>
      </c>
      <c r="D2727" s="4">
        <f t="shared" si="611"/>
        <v>0.74794520547945209</v>
      </c>
      <c r="E2727" s="3">
        <f t="shared" si="612"/>
        <v>2011</v>
      </c>
      <c r="F2727" s="3">
        <f t="shared" si="613"/>
        <v>10</v>
      </c>
      <c r="G2727" s="3">
        <f t="shared" si="614"/>
        <v>1</v>
      </c>
      <c r="H2727" s="3">
        <f t="shared" si="615"/>
        <v>10</v>
      </c>
      <c r="I2727" s="3">
        <f t="shared" si="616"/>
        <v>15</v>
      </c>
      <c r="J2727" s="3">
        <f t="shared" si="617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18"/>
        <v>YES</v>
      </c>
      <c r="Q2727" t="str">
        <f t="shared" si="619"/>
        <v>NO</v>
      </c>
      <c r="R2727" t="str">
        <f t="shared" si="620"/>
        <v>NO</v>
      </c>
      <c r="T2727" t="s">
        <v>19</v>
      </c>
      <c r="U2727" t="str">
        <f t="shared" si="621"/>
        <v>Cambridge St</v>
      </c>
      <c r="W2727" t="str">
        <f t="shared" si="622"/>
        <v/>
      </c>
      <c r="X2727" t="str">
        <f>IF(ISBLANK(S2727),"Intersection","Non-Intersection")</f>
        <v>Intersection</v>
      </c>
      <c r="Y2727" t="s">
        <v>2237</v>
      </c>
      <c r="Z2727" t="str">
        <f t="shared" si="623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10"/>
        <v>40544</v>
      </c>
      <c r="D2728" s="4">
        <f t="shared" si="611"/>
        <v>0.74794520547945209</v>
      </c>
      <c r="E2728" s="3">
        <f t="shared" si="612"/>
        <v>2011</v>
      </c>
      <c r="F2728" s="3">
        <f t="shared" si="613"/>
        <v>10</v>
      </c>
      <c r="G2728" s="3">
        <f t="shared" si="614"/>
        <v>1</v>
      </c>
      <c r="H2728" s="3">
        <f t="shared" si="615"/>
        <v>15</v>
      </c>
      <c r="I2728" s="3">
        <f t="shared" si="616"/>
        <v>45</v>
      </c>
      <c r="J2728" s="3">
        <f t="shared" si="617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18"/>
        <v>YES</v>
      </c>
      <c r="Q2728" t="str">
        <f t="shared" si="619"/>
        <v>NO</v>
      </c>
      <c r="R2728" t="str">
        <f t="shared" si="620"/>
        <v>NO</v>
      </c>
      <c r="S2728">
        <v>1493</v>
      </c>
      <c r="T2728" t="s">
        <v>19</v>
      </c>
      <c r="U2728" t="str">
        <f t="shared" si="621"/>
        <v>Cambridge St</v>
      </c>
      <c r="W2728" t="str">
        <f t="shared" si="622"/>
        <v/>
      </c>
      <c r="X2728" t="str">
        <f>IF(ISBLANK(S2728),"Intersection","Non-Intersection")</f>
        <v>Non-Intersection</v>
      </c>
      <c r="Y2728" t="s">
        <v>1660</v>
      </c>
      <c r="Z2728" t="str">
        <f t="shared" si="623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10"/>
        <v>40544</v>
      </c>
      <c r="D2729" s="4">
        <f t="shared" si="611"/>
        <v>0.74794520547945209</v>
      </c>
      <c r="E2729" s="3">
        <f t="shared" si="612"/>
        <v>2011</v>
      </c>
      <c r="F2729" s="3">
        <f t="shared" si="613"/>
        <v>10</v>
      </c>
      <c r="G2729" s="3">
        <f t="shared" si="614"/>
        <v>1</v>
      </c>
      <c r="H2729" s="3">
        <f t="shared" si="615"/>
        <v>20</v>
      </c>
      <c r="I2729" s="3">
        <f t="shared" si="616"/>
        <v>15</v>
      </c>
      <c r="J2729" s="3">
        <f t="shared" si="617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18"/>
        <v>YES</v>
      </c>
      <c r="Q2729" t="str">
        <f t="shared" si="619"/>
        <v>NO</v>
      </c>
      <c r="R2729" t="str">
        <f t="shared" si="620"/>
        <v>NO</v>
      </c>
      <c r="S2729">
        <v>29</v>
      </c>
      <c r="T2729" t="s">
        <v>185</v>
      </c>
      <c r="U2729" t="str">
        <f t="shared" si="621"/>
        <v>Garden St</v>
      </c>
      <c r="W2729" t="str">
        <f t="shared" si="622"/>
        <v/>
      </c>
      <c r="X2729" t="str">
        <f>IF(ISBLANK(S2729),"Intersection","Non-Intersection")</f>
        <v>Non-Intersection</v>
      </c>
      <c r="Y2729" t="s">
        <v>3754</v>
      </c>
      <c r="Z2729" t="str">
        <f t="shared" si="623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10"/>
        <v>40544</v>
      </c>
      <c r="D2730" s="4">
        <f t="shared" si="611"/>
        <v>0.74794520547945209</v>
      </c>
      <c r="E2730" s="3">
        <f t="shared" si="612"/>
        <v>2011</v>
      </c>
      <c r="F2730" s="3">
        <f t="shared" si="613"/>
        <v>10</v>
      </c>
      <c r="G2730" s="3">
        <f t="shared" si="614"/>
        <v>1</v>
      </c>
      <c r="H2730" s="3">
        <f t="shared" si="615"/>
        <v>21</v>
      </c>
      <c r="I2730" s="3">
        <f t="shared" si="616"/>
        <v>10</v>
      </c>
      <c r="J2730" s="3">
        <f t="shared" si="617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18"/>
        <v>YES</v>
      </c>
      <c r="Q2730" t="str">
        <f t="shared" si="619"/>
        <v>NO</v>
      </c>
      <c r="R2730" t="str">
        <f t="shared" si="620"/>
        <v>NO</v>
      </c>
      <c r="T2730" t="s">
        <v>326</v>
      </c>
      <c r="U2730" t="str">
        <f t="shared" si="621"/>
        <v>Jfk St</v>
      </c>
      <c r="V2730" t="s">
        <v>1223</v>
      </c>
      <c r="W2730" t="str">
        <f t="shared" si="622"/>
        <v>Winthrop Sq</v>
      </c>
      <c r="X2730" t="str">
        <f>IF(ISBLANK(S2730),"Intersection","Non-Intersection")</f>
        <v>Intersection</v>
      </c>
      <c r="Y2730" t="s">
        <v>3756</v>
      </c>
      <c r="Z2730" t="str">
        <f t="shared" si="623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10"/>
        <v>40544</v>
      </c>
      <c r="D2731" s="4">
        <f t="shared" si="611"/>
        <v>0.74794520547945209</v>
      </c>
      <c r="E2731" s="3">
        <f t="shared" si="612"/>
        <v>2011</v>
      </c>
      <c r="F2731" s="3">
        <f t="shared" si="613"/>
        <v>10</v>
      </c>
      <c r="G2731" s="3">
        <f t="shared" si="614"/>
        <v>1</v>
      </c>
      <c r="H2731" s="3">
        <f t="shared" si="615"/>
        <v>23</v>
      </c>
      <c r="I2731" s="3">
        <f t="shared" si="616"/>
        <v>55</v>
      </c>
      <c r="J2731" s="3">
        <f t="shared" si="617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18"/>
        <v>YES</v>
      </c>
      <c r="Q2731" t="str">
        <f t="shared" si="619"/>
        <v>NO</v>
      </c>
      <c r="R2731" t="str">
        <f t="shared" si="620"/>
        <v>NO</v>
      </c>
      <c r="S2731">
        <v>812</v>
      </c>
      <c r="T2731" t="s">
        <v>203</v>
      </c>
      <c r="U2731" t="str">
        <f t="shared" si="621"/>
        <v>Memorial Dr</v>
      </c>
      <c r="W2731" t="str">
        <f t="shared" si="622"/>
        <v/>
      </c>
      <c r="X2731" t="str">
        <f>IF(ISBLANK(S2731),"Intersection","Non-Intersection")</f>
        <v>Non-Intersection</v>
      </c>
      <c r="Y2731" t="s">
        <v>1634</v>
      </c>
      <c r="Z2731" t="str">
        <f t="shared" si="623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10"/>
        <v>40544</v>
      </c>
      <c r="D2732" s="4">
        <f t="shared" si="611"/>
        <v>0.74794520547945209</v>
      </c>
      <c r="E2732" s="3">
        <f t="shared" si="612"/>
        <v>2011</v>
      </c>
      <c r="F2732" s="3">
        <f t="shared" si="613"/>
        <v>10</v>
      </c>
      <c r="G2732" s="3">
        <f t="shared" si="614"/>
        <v>1</v>
      </c>
      <c r="H2732" s="3">
        <f t="shared" si="615"/>
        <v>11</v>
      </c>
      <c r="I2732" s="3">
        <f t="shared" si="616"/>
        <v>39</v>
      </c>
      <c r="J2732" s="3">
        <f t="shared" si="617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18"/>
        <v>YES</v>
      </c>
      <c r="Q2732" t="str">
        <f t="shared" si="619"/>
        <v>NO</v>
      </c>
      <c r="R2732" t="str">
        <f t="shared" si="620"/>
        <v>NO</v>
      </c>
      <c r="T2732" t="s">
        <v>198</v>
      </c>
      <c r="U2732" t="str">
        <f t="shared" si="621"/>
        <v>Mount Auburn St</v>
      </c>
      <c r="V2732" t="s">
        <v>229</v>
      </c>
      <c r="W2732" t="str">
        <f t="shared" si="622"/>
        <v>Dewolfe St</v>
      </c>
      <c r="X2732" t="str">
        <f>IF(ISBLANK(S2732),"Intersection","Non-Intersection")</f>
        <v>Intersection</v>
      </c>
      <c r="Y2732" t="s">
        <v>1927</v>
      </c>
      <c r="Z2732" t="str">
        <f t="shared" si="623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10"/>
        <v>40544</v>
      </c>
      <c r="D2733" s="4">
        <f t="shared" si="611"/>
        <v>0.75068493150684934</v>
      </c>
      <c r="E2733" s="3">
        <f t="shared" si="612"/>
        <v>2011</v>
      </c>
      <c r="F2733" s="3">
        <f t="shared" si="613"/>
        <v>10</v>
      </c>
      <c r="G2733" s="3">
        <f t="shared" si="614"/>
        <v>2</v>
      </c>
      <c r="H2733" s="3">
        <f t="shared" si="615"/>
        <v>9</v>
      </c>
      <c r="I2733" s="3">
        <f t="shared" si="616"/>
        <v>59</v>
      </c>
      <c r="J2733" s="3">
        <f t="shared" si="617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18"/>
        <v>NO</v>
      </c>
      <c r="Q2733" t="str">
        <f t="shared" si="619"/>
        <v>NO</v>
      </c>
      <c r="R2733" t="str">
        <f t="shared" si="620"/>
        <v>NO</v>
      </c>
      <c r="S2733">
        <v>100</v>
      </c>
      <c r="T2733" t="s">
        <v>192</v>
      </c>
      <c r="U2733" t="str">
        <f t="shared" si="621"/>
        <v>Hancock St</v>
      </c>
      <c r="W2733" t="str">
        <f t="shared" si="622"/>
        <v/>
      </c>
      <c r="X2733" t="str">
        <f>IF(ISBLANK(S2733),"Intersection","Non-Intersection")</f>
        <v>Non-Intersection</v>
      </c>
      <c r="Y2733" t="s">
        <v>3757</v>
      </c>
      <c r="Z2733" t="str">
        <f t="shared" si="623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10"/>
        <v>40544</v>
      </c>
      <c r="D2734" s="4">
        <f t="shared" si="611"/>
        <v>0.75068493150684934</v>
      </c>
      <c r="E2734" s="3">
        <f t="shared" si="612"/>
        <v>2011</v>
      </c>
      <c r="F2734" s="3">
        <f t="shared" si="613"/>
        <v>10</v>
      </c>
      <c r="G2734" s="3">
        <f t="shared" si="614"/>
        <v>2</v>
      </c>
      <c r="H2734" s="3">
        <f t="shared" si="615"/>
        <v>23</v>
      </c>
      <c r="I2734" s="3">
        <f t="shared" si="616"/>
        <v>0</v>
      </c>
      <c r="J2734" s="3">
        <f t="shared" si="617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18"/>
        <v>YES</v>
      </c>
      <c r="Q2734" t="str">
        <f t="shared" si="619"/>
        <v>YES</v>
      </c>
      <c r="R2734" t="str">
        <f t="shared" si="620"/>
        <v>NO</v>
      </c>
      <c r="S2734">
        <v>32</v>
      </c>
      <c r="T2734" t="s">
        <v>202</v>
      </c>
      <c r="U2734" t="str">
        <f t="shared" si="621"/>
        <v>Vassar St</v>
      </c>
      <c r="W2734" t="str">
        <f t="shared" si="622"/>
        <v/>
      </c>
      <c r="X2734" t="str">
        <f>IF(ISBLANK(S2734),"Intersection","Non-Intersection")</f>
        <v>Non-Intersection</v>
      </c>
      <c r="Y2734" t="s">
        <v>3759</v>
      </c>
      <c r="Z2734" t="str">
        <f t="shared" si="623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10"/>
        <v>40544</v>
      </c>
      <c r="D2735" s="4">
        <f t="shared" si="611"/>
        <v>0.75068493150684934</v>
      </c>
      <c r="E2735" s="3">
        <f t="shared" si="612"/>
        <v>2011</v>
      </c>
      <c r="F2735" s="3">
        <f t="shared" si="613"/>
        <v>10</v>
      </c>
      <c r="G2735" s="3">
        <f t="shared" si="614"/>
        <v>2</v>
      </c>
      <c r="H2735" s="3">
        <f t="shared" si="615"/>
        <v>18</v>
      </c>
      <c r="I2735" s="3">
        <f t="shared" si="616"/>
        <v>59</v>
      </c>
      <c r="J2735" s="3">
        <f t="shared" si="617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18"/>
        <v>YES</v>
      </c>
      <c r="Q2735" t="str">
        <f t="shared" si="619"/>
        <v>NO</v>
      </c>
      <c r="R2735" t="str">
        <f t="shared" si="620"/>
        <v>NO</v>
      </c>
      <c r="T2735" t="s">
        <v>3761</v>
      </c>
      <c r="U2735" t="str">
        <f t="shared" si="621"/>
        <v>Winslow St</v>
      </c>
      <c r="W2735" t="str">
        <f t="shared" si="622"/>
        <v/>
      </c>
      <c r="X2735" t="str">
        <f>IF(ISBLANK(S2735),"Intersection","Non-Intersection")</f>
        <v>Intersection</v>
      </c>
      <c r="Y2735" t="s">
        <v>3762</v>
      </c>
      <c r="Z2735" t="str">
        <f t="shared" si="623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10"/>
        <v>40544</v>
      </c>
      <c r="D2736" s="4">
        <f t="shared" si="611"/>
        <v>0.75068493150684934</v>
      </c>
      <c r="E2736" s="3">
        <f t="shared" si="612"/>
        <v>2011</v>
      </c>
      <c r="F2736" s="3">
        <f t="shared" si="613"/>
        <v>10</v>
      </c>
      <c r="G2736" s="3">
        <f t="shared" si="614"/>
        <v>2</v>
      </c>
      <c r="H2736" s="3">
        <f t="shared" si="615"/>
        <v>12</v>
      </c>
      <c r="I2736" s="3">
        <f t="shared" si="616"/>
        <v>59</v>
      </c>
      <c r="J2736" s="3">
        <f t="shared" si="617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18"/>
        <v>YES</v>
      </c>
      <c r="Q2736" t="str">
        <f t="shared" si="619"/>
        <v>YES</v>
      </c>
      <c r="R2736" t="str">
        <f t="shared" si="620"/>
        <v>NO</v>
      </c>
      <c r="S2736">
        <v>303</v>
      </c>
      <c r="T2736" t="s">
        <v>105</v>
      </c>
      <c r="U2736" t="str">
        <f t="shared" si="621"/>
        <v>Broadway</v>
      </c>
      <c r="V2736" t="s">
        <v>667</v>
      </c>
      <c r="W2736" t="str">
        <f t="shared" si="622"/>
        <v>Tremont St</v>
      </c>
      <c r="X2736" t="str">
        <f>IF(ISBLANK(S2736),"Intersection","Non-Intersection")</f>
        <v>Non-Intersection</v>
      </c>
      <c r="Y2736" t="s">
        <v>3763</v>
      </c>
      <c r="Z2736" t="str">
        <f t="shared" si="623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10"/>
        <v>40544</v>
      </c>
      <c r="D2737" s="4">
        <f t="shared" si="611"/>
        <v>0.75342465753424659</v>
      </c>
      <c r="E2737" s="3">
        <f t="shared" si="612"/>
        <v>2011</v>
      </c>
      <c r="F2737" s="3">
        <f t="shared" si="613"/>
        <v>10</v>
      </c>
      <c r="G2737" s="3">
        <f t="shared" si="614"/>
        <v>3</v>
      </c>
      <c r="H2737" s="3">
        <f t="shared" si="615"/>
        <v>12</v>
      </c>
      <c r="I2737" s="3">
        <f t="shared" si="616"/>
        <v>14</v>
      </c>
      <c r="J2737" s="3">
        <f t="shared" si="617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18"/>
        <v>YES</v>
      </c>
      <c r="Q2737" t="str">
        <f t="shared" si="619"/>
        <v>NO</v>
      </c>
      <c r="R2737" t="str">
        <f t="shared" si="620"/>
        <v>NO</v>
      </c>
      <c r="S2737">
        <v>34</v>
      </c>
      <c r="T2737" t="s">
        <v>238</v>
      </c>
      <c r="U2737" t="str">
        <f t="shared" si="621"/>
        <v>Kirkland St</v>
      </c>
      <c r="W2737" t="str">
        <f t="shared" si="622"/>
        <v/>
      </c>
      <c r="X2737" t="str">
        <f>IF(ISBLANK(S2737),"Intersection","Non-Intersection")</f>
        <v>Non-Intersection</v>
      </c>
      <c r="Y2737" t="s">
        <v>3765</v>
      </c>
      <c r="Z2737" t="str">
        <f t="shared" si="623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10"/>
        <v>40544</v>
      </c>
      <c r="D2738" s="4">
        <f t="shared" si="611"/>
        <v>0.75342465753424659</v>
      </c>
      <c r="E2738" s="3">
        <f t="shared" si="612"/>
        <v>2011</v>
      </c>
      <c r="F2738" s="3">
        <f t="shared" si="613"/>
        <v>10</v>
      </c>
      <c r="G2738" s="3">
        <f t="shared" si="614"/>
        <v>3</v>
      </c>
      <c r="H2738" s="3">
        <f t="shared" si="615"/>
        <v>11</v>
      </c>
      <c r="I2738" s="3">
        <f t="shared" si="616"/>
        <v>7</v>
      </c>
      <c r="J2738" s="3">
        <f t="shared" si="617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18"/>
        <v>YES</v>
      </c>
      <c r="Q2738" t="str">
        <f t="shared" si="619"/>
        <v>NO</v>
      </c>
      <c r="R2738" t="str">
        <f t="shared" si="620"/>
        <v>NO</v>
      </c>
      <c r="S2738">
        <v>725</v>
      </c>
      <c r="T2738" t="s">
        <v>186</v>
      </c>
      <c r="U2738" t="str">
        <f t="shared" si="621"/>
        <v>Concord Ave</v>
      </c>
      <c r="W2738" t="str">
        <f t="shared" si="622"/>
        <v/>
      </c>
      <c r="X2738" t="str">
        <f>IF(ISBLANK(S2738),"Intersection","Non-Intersection")</f>
        <v>Non-Intersection</v>
      </c>
      <c r="Y2738" t="s">
        <v>617</v>
      </c>
      <c r="Z2738" t="str">
        <f t="shared" si="623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10"/>
        <v>40544</v>
      </c>
      <c r="D2739" s="4">
        <f t="shared" si="611"/>
        <v>0.75342465753424659</v>
      </c>
      <c r="E2739" s="3">
        <f t="shared" si="612"/>
        <v>2011</v>
      </c>
      <c r="F2739" s="3">
        <f t="shared" si="613"/>
        <v>10</v>
      </c>
      <c r="G2739" s="3">
        <f t="shared" si="614"/>
        <v>3</v>
      </c>
      <c r="H2739" s="3">
        <f t="shared" si="615"/>
        <v>8</v>
      </c>
      <c r="I2739" s="3">
        <f t="shared" si="616"/>
        <v>10</v>
      </c>
      <c r="J2739" s="3">
        <f t="shared" si="617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18"/>
        <v>YES</v>
      </c>
      <c r="Q2739" t="str">
        <f t="shared" si="619"/>
        <v>NO</v>
      </c>
      <c r="R2739" t="str">
        <f t="shared" si="620"/>
        <v>NO</v>
      </c>
      <c r="T2739" t="s">
        <v>74</v>
      </c>
      <c r="U2739" t="str">
        <f t="shared" si="621"/>
        <v>Hampshire St</v>
      </c>
      <c r="V2739" t="s">
        <v>1053</v>
      </c>
      <c r="W2739" t="str">
        <f t="shared" si="622"/>
        <v>Clark St</v>
      </c>
      <c r="X2739" t="str">
        <f>IF(ISBLANK(S2739),"Intersection","Non-Intersection")</f>
        <v>Intersection</v>
      </c>
      <c r="Y2739" t="s">
        <v>1054</v>
      </c>
      <c r="Z2739" t="str">
        <f t="shared" si="623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10"/>
        <v>40544</v>
      </c>
      <c r="D2740" s="4">
        <f t="shared" si="611"/>
        <v>0.75616438356164384</v>
      </c>
      <c r="E2740" s="3">
        <f t="shared" si="612"/>
        <v>2011</v>
      </c>
      <c r="F2740" s="3">
        <f t="shared" si="613"/>
        <v>10</v>
      </c>
      <c r="G2740" s="3">
        <f t="shared" si="614"/>
        <v>4</v>
      </c>
      <c r="H2740" s="3">
        <f t="shared" si="615"/>
        <v>9</v>
      </c>
      <c r="I2740" s="3">
        <f t="shared" si="616"/>
        <v>0</v>
      </c>
      <c r="J2740" s="3">
        <f t="shared" si="617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18"/>
        <v>YES</v>
      </c>
      <c r="Q2740" t="str">
        <f t="shared" si="619"/>
        <v>NO</v>
      </c>
      <c r="R2740" t="str">
        <f t="shared" si="620"/>
        <v>NO</v>
      </c>
      <c r="T2740" t="s">
        <v>14</v>
      </c>
      <c r="U2740" t="str">
        <f t="shared" si="621"/>
        <v>Massachusetts Ave</v>
      </c>
      <c r="V2740" t="s">
        <v>498</v>
      </c>
      <c r="W2740" t="str">
        <f t="shared" si="622"/>
        <v>Ellery St</v>
      </c>
      <c r="X2740" t="str">
        <f>IF(ISBLANK(S2740),"Intersection","Non-Intersection")</f>
        <v>Intersection</v>
      </c>
      <c r="Y2740" t="s">
        <v>2747</v>
      </c>
      <c r="Z2740" t="str">
        <f t="shared" si="623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10"/>
        <v>40544</v>
      </c>
      <c r="D2741" s="4">
        <f t="shared" si="611"/>
        <v>0.75616438356164384</v>
      </c>
      <c r="E2741" s="3">
        <f t="shared" si="612"/>
        <v>2011</v>
      </c>
      <c r="F2741" s="3">
        <f t="shared" si="613"/>
        <v>10</v>
      </c>
      <c r="G2741" s="3">
        <f t="shared" si="614"/>
        <v>4</v>
      </c>
      <c r="H2741" s="3">
        <f t="shared" si="615"/>
        <v>9</v>
      </c>
      <c r="I2741" s="3">
        <f t="shared" si="616"/>
        <v>0</v>
      </c>
      <c r="J2741" s="3">
        <f t="shared" si="617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18"/>
        <v>YES</v>
      </c>
      <c r="Q2741" t="str">
        <f t="shared" si="619"/>
        <v>NO</v>
      </c>
      <c r="R2741" t="str">
        <f t="shared" si="620"/>
        <v>NO</v>
      </c>
      <c r="S2741">
        <v>201</v>
      </c>
      <c r="T2741" t="s">
        <v>202</v>
      </c>
      <c r="U2741" t="str">
        <f t="shared" si="621"/>
        <v>Vassar St</v>
      </c>
      <c r="W2741" t="str">
        <f t="shared" si="622"/>
        <v/>
      </c>
      <c r="X2741" t="str">
        <f>IF(ISBLANK(S2741),"Intersection","Non-Intersection")</f>
        <v>Non-Intersection</v>
      </c>
      <c r="Y2741" t="s">
        <v>2721</v>
      </c>
      <c r="Z2741" t="str">
        <f t="shared" si="623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10"/>
        <v>40544</v>
      </c>
      <c r="D2742" s="4">
        <f t="shared" si="611"/>
        <v>0.75616438356164384</v>
      </c>
      <c r="E2742" s="3">
        <f t="shared" si="612"/>
        <v>2011</v>
      </c>
      <c r="F2742" s="3">
        <f t="shared" si="613"/>
        <v>10</v>
      </c>
      <c r="G2742" s="3">
        <f t="shared" si="614"/>
        <v>4</v>
      </c>
      <c r="H2742" s="3">
        <f t="shared" si="615"/>
        <v>11</v>
      </c>
      <c r="I2742" s="3">
        <f t="shared" si="616"/>
        <v>54</v>
      </c>
      <c r="J2742" s="3">
        <f t="shared" si="617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18"/>
        <v>YES</v>
      </c>
      <c r="Q2742" t="str">
        <f t="shared" si="619"/>
        <v>NO</v>
      </c>
      <c r="R2742" t="str">
        <f t="shared" si="620"/>
        <v>NO</v>
      </c>
      <c r="S2742">
        <v>89</v>
      </c>
      <c r="T2742" t="s">
        <v>75</v>
      </c>
      <c r="U2742" t="str">
        <f t="shared" si="621"/>
        <v>Elm St</v>
      </c>
      <c r="W2742" t="str">
        <f t="shared" si="622"/>
        <v/>
      </c>
      <c r="X2742" t="str">
        <f>IF(ISBLANK(S2742),"Intersection","Non-Intersection")</f>
        <v>Non-Intersection</v>
      </c>
      <c r="Y2742" t="s">
        <v>3767</v>
      </c>
      <c r="Z2742" t="str">
        <f t="shared" si="623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10"/>
        <v>40544</v>
      </c>
      <c r="D2743" s="4">
        <f t="shared" si="611"/>
        <v>0.75616438356164384</v>
      </c>
      <c r="E2743" s="3">
        <f t="shared" si="612"/>
        <v>2011</v>
      </c>
      <c r="F2743" s="3">
        <f t="shared" si="613"/>
        <v>10</v>
      </c>
      <c r="G2743" s="3">
        <f t="shared" si="614"/>
        <v>4</v>
      </c>
      <c r="H2743" s="3">
        <f t="shared" si="615"/>
        <v>15</v>
      </c>
      <c r="I2743" s="3">
        <f t="shared" si="616"/>
        <v>59</v>
      </c>
      <c r="J2743" s="3">
        <f t="shared" si="617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18"/>
        <v>YES</v>
      </c>
      <c r="Q2743" t="str">
        <f t="shared" si="619"/>
        <v>NO</v>
      </c>
      <c r="R2743" t="str">
        <f t="shared" si="620"/>
        <v>NO</v>
      </c>
      <c r="T2743" t="s">
        <v>19</v>
      </c>
      <c r="U2743" t="str">
        <f t="shared" si="621"/>
        <v>Cambridge St</v>
      </c>
      <c r="V2743" t="s">
        <v>134</v>
      </c>
      <c r="W2743" t="str">
        <f t="shared" si="622"/>
        <v>Quincy St</v>
      </c>
      <c r="X2743" t="str">
        <f>IF(ISBLANK(S2743),"Intersection","Non-Intersection")</f>
        <v>Intersection</v>
      </c>
      <c r="Y2743" t="s">
        <v>150</v>
      </c>
      <c r="Z2743" t="str">
        <f t="shared" si="623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10"/>
        <v>40544</v>
      </c>
      <c r="D2744" s="4">
        <f t="shared" si="611"/>
        <v>0.75616438356164384</v>
      </c>
      <c r="E2744" s="3">
        <f t="shared" si="612"/>
        <v>2011</v>
      </c>
      <c r="F2744" s="3">
        <f t="shared" si="613"/>
        <v>10</v>
      </c>
      <c r="G2744" s="3">
        <f t="shared" si="614"/>
        <v>4</v>
      </c>
      <c r="H2744" s="3">
        <f t="shared" si="615"/>
        <v>17</v>
      </c>
      <c r="I2744" s="3">
        <f t="shared" si="616"/>
        <v>52</v>
      </c>
      <c r="J2744" s="3">
        <f t="shared" si="617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18"/>
        <v>YES</v>
      </c>
      <c r="Q2744" t="str">
        <f t="shared" si="619"/>
        <v>NO</v>
      </c>
      <c r="R2744" t="str">
        <f t="shared" si="620"/>
        <v>NO</v>
      </c>
      <c r="S2744">
        <v>34</v>
      </c>
      <c r="T2744" t="s">
        <v>166</v>
      </c>
      <c r="U2744" t="str">
        <f t="shared" si="621"/>
        <v>Oxford Ave</v>
      </c>
      <c r="W2744" t="str">
        <f t="shared" si="622"/>
        <v/>
      </c>
      <c r="X2744" t="str">
        <f>IF(ISBLANK(S2744),"Intersection","Non-Intersection")</f>
        <v>Non-Intersection</v>
      </c>
      <c r="Y2744" t="s">
        <v>3769</v>
      </c>
      <c r="Z2744" t="str">
        <f t="shared" si="623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10"/>
        <v>40544</v>
      </c>
      <c r="D2745" s="4">
        <f t="shared" si="611"/>
        <v>0.75616438356164384</v>
      </c>
      <c r="E2745" s="3">
        <f t="shared" si="612"/>
        <v>2011</v>
      </c>
      <c r="F2745" s="3">
        <f t="shared" si="613"/>
        <v>10</v>
      </c>
      <c r="G2745" s="3">
        <f t="shared" si="614"/>
        <v>4</v>
      </c>
      <c r="H2745" s="3">
        <f t="shared" si="615"/>
        <v>18</v>
      </c>
      <c r="I2745" s="3">
        <f t="shared" si="616"/>
        <v>53</v>
      </c>
      <c r="J2745" s="3">
        <f t="shared" si="617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18"/>
        <v>YES</v>
      </c>
      <c r="Q2745" t="str">
        <f t="shared" si="619"/>
        <v>NO</v>
      </c>
      <c r="R2745" t="str">
        <f t="shared" si="620"/>
        <v>NO</v>
      </c>
      <c r="S2745">
        <v>11</v>
      </c>
      <c r="T2745" t="s">
        <v>166</v>
      </c>
      <c r="U2745" t="str">
        <f t="shared" si="621"/>
        <v>Oxford Ave</v>
      </c>
      <c r="W2745" t="str">
        <f t="shared" si="622"/>
        <v/>
      </c>
      <c r="X2745" t="str">
        <f>IF(ISBLANK(S2745),"Intersection","Non-Intersection")</f>
        <v>Non-Intersection</v>
      </c>
      <c r="Y2745" t="s">
        <v>3771</v>
      </c>
      <c r="Z2745" t="str">
        <f t="shared" si="623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24">EOMONTH(B2746,MONTH(B2746)*-1)+1</f>
        <v>40544</v>
      </c>
      <c r="D2746" s="4">
        <f t="shared" ref="D2746:D2806" si="625">YEARFRAC(C2746,B2746,1)</f>
        <v>0.75616438356164384</v>
      </c>
      <c r="E2746" s="3">
        <f t="shared" ref="E2746:E2806" si="626">YEAR(B2746)</f>
        <v>2011</v>
      </c>
      <c r="F2746" s="3">
        <f t="shared" ref="F2746:F2806" si="627">MONTH(B2746)</f>
        <v>10</v>
      </c>
      <c r="G2746" s="3">
        <f t="shared" ref="G2746:G2806" si="628">DAY(B2746)</f>
        <v>4</v>
      </c>
      <c r="H2746" s="3">
        <f t="shared" ref="H2746:H2806" si="629">HOUR(B2746)</f>
        <v>20</v>
      </c>
      <c r="I2746" s="3">
        <f t="shared" ref="I2746:I2806" si="630">MINUTE(B2746)</f>
        <v>6</v>
      </c>
      <c r="J2746" s="3">
        <f t="shared" ref="J2746:J2806" si="631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32">IF(OR(N2746="Auto",O2746="Auto"),"YES",IF(OR(N2746="Taxi",O2746="Taxi"),"YES",IF(OR(N2746="Van",O2746="Van"),"YES",IF(OR(N2746="Truck",O2746="Truck"),"YES","NO"))))</f>
        <v>YES</v>
      </c>
      <c r="Q2746" t="str">
        <f t="shared" ref="Q2746:Q2806" si="633">IF(OR(N2746="Bicycle",O2746="Bicycle"),"YES","NO")</f>
        <v>YES</v>
      </c>
      <c r="R2746" t="str">
        <f t="shared" ref="R2746:R2806" si="634">IF(OR(N2746="Pedestrian",O2746="Pedestrian"),"YES","NO")</f>
        <v>NO</v>
      </c>
      <c r="T2746" t="s">
        <v>74</v>
      </c>
      <c r="U2746" t="str">
        <f t="shared" si="621"/>
        <v>Hampshire St</v>
      </c>
      <c r="V2746" t="s">
        <v>75</v>
      </c>
      <c r="W2746" t="str">
        <f t="shared" si="622"/>
        <v>Elm St</v>
      </c>
      <c r="X2746" t="str">
        <f>IF(ISBLANK(S2746),"Intersection","Non-Intersection")</f>
        <v>Intersection</v>
      </c>
      <c r="Y2746" t="s">
        <v>76</v>
      </c>
      <c r="Z2746" t="str">
        <f t="shared" si="623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24"/>
        <v>40544</v>
      </c>
      <c r="D2747" s="4">
        <f t="shared" si="625"/>
        <v>0.75616438356164384</v>
      </c>
      <c r="E2747" s="3">
        <f t="shared" si="626"/>
        <v>2011</v>
      </c>
      <c r="F2747" s="3">
        <f t="shared" si="627"/>
        <v>10</v>
      </c>
      <c r="G2747" s="3">
        <f t="shared" si="628"/>
        <v>4</v>
      </c>
      <c r="H2747" s="3">
        <f t="shared" si="629"/>
        <v>21</v>
      </c>
      <c r="I2747" s="3">
        <f t="shared" si="630"/>
        <v>30</v>
      </c>
      <c r="J2747" s="3">
        <f t="shared" si="631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32"/>
        <v>YES</v>
      </c>
      <c r="Q2747" t="str">
        <f t="shared" si="633"/>
        <v>NO</v>
      </c>
      <c r="R2747" t="str">
        <f t="shared" si="634"/>
        <v>YES</v>
      </c>
      <c r="S2747">
        <v>235</v>
      </c>
      <c r="T2747" t="s">
        <v>119</v>
      </c>
      <c r="U2747" t="str">
        <f t="shared" si="621"/>
        <v>Albany St</v>
      </c>
      <c r="W2747" t="str">
        <f t="shared" si="622"/>
        <v/>
      </c>
      <c r="X2747" t="str">
        <f>IF(ISBLANK(S2747),"Intersection","Non-Intersection")</f>
        <v>Non-Intersection</v>
      </c>
      <c r="Y2747" t="s">
        <v>3773</v>
      </c>
      <c r="Z2747" t="str">
        <f t="shared" si="623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24"/>
        <v>40544</v>
      </c>
      <c r="D2748" s="4">
        <f t="shared" si="625"/>
        <v>0.75890410958904109</v>
      </c>
      <c r="E2748" s="3">
        <f t="shared" si="626"/>
        <v>2011</v>
      </c>
      <c r="F2748" s="3">
        <f t="shared" si="627"/>
        <v>10</v>
      </c>
      <c r="G2748" s="3">
        <f t="shared" si="628"/>
        <v>5</v>
      </c>
      <c r="H2748" s="3">
        <f t="shared" si="629"/>
        <v>9</v>
      </c>
      <c r="I2748" s="3">
        <f t="shared" si="630"/>
        <v>0</v>
      </c>
      <c r="J2748" s="3">
        <f t="shared" si="631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32"/>
        <v>YES</v>
      </c>
      <c r="Q2748" t="str">
        <f t="shared" si="633"/>
        <v>NO</v>
      </c>
      <c r="R2748" t="str">
        <f t="shared" si="634"/>
        <v>NO</v>
      </c>
      <c r="S2748">
        <v>28</v>
      </c>
      <c r="T2748" t="s">
        <v>167</v>
      </c>
      <c r="U2748" t="str">
        <f t="shared" si="621"/>
        <v>Wendell St</v>
      </c>
      <c r="W2748" t="str">
        <f t="shared" si="622"/>
        <v/>
      </c>
      <c r="X2748" t="str">
        <f>IF(ISBLANK(S2748),"Intersection","Non-Intersection")</f>
        <v>Non-Intersection</v>
      </c>
      <c r="Y2748" t="s">
        <v>3775</v>
      </c>
      <c r="Z2748" t="str">
        <f t="shared" si="623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24"/>
        <v>40544</v>
      </c>
      <c r="D2749" s="4">
        <f t="shared" si="625"/>
        <v>0.75890410958904109</v>
      </c>
      <c r="E2749" s="3">
        <f t="shared" si="626"/>
        <v>2011</v>
      </c>
      <c r="F2749" s="3">
        <f t="shared" si="627"/>
        <v>10</v>
      </c>
      <c r="G2749" s="3">
        <f t="shared" si="628"/>
        <v>5</v>
      </c>
      <c r="H2749" s="3">
        <f t="shared" si="629"/>
        <v>11</v>
      </c>
      <c r="I2749" s="3">
        <f t="shared" si="630"/>
        <v>10</v>
      </c>
      <c r="J2749" s="3">
        <f t="shared" si="631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32"/>
        <v>YES</v>
      </c>
      <c r="Q2749" t="str">
        <f t="shared" si="633"/>
        <v>NO</v>
      </c>
      <c r="R2749" t="str">
        <f t="shared" si="634"/>
        <v>NO</v>
      </c>
      <c r="T2749" t="s">
        <v>142</v>
      </c>
      <c r="U2749" t="str">
        <f t="shared" si="621"/>
        <v>Huron Ave</v>
      </c>
      <c r="V2749" t="s">
        <v>2136</v>
      </c>
      <c r="W2749" t="str">
        <f t="shared" si="622"/>
        <v>Gurney St</v>
      </c>
      <c r="X2749" t="str">
        <f>IF(ISBLANK(S2749),"Intersection","Non-Intersection")</f>
        <v>Intersection</v>
      </c>
      <c r="Y2749" t="s">
        <v>2137</v>
      </c>
      <c r="Z2749" t="str">
        <f t="shared" si="623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24"/>
        <v>40544</v>
      </c>
      <c r="D2750" s="4">
        <f t="shared" si="625"/>
        <v>0.75890410958904109</v>
      </c>
      <c r="E2750" s="3">
        <f t="shared" si="626"/>
        <v>2011</v>
      </c>
      <c r="F2750" s="3">
        <f t="shared" si="627"/>
        <v>10</v>
      </c>
      <c r="G2750" s="3">
        <f t="shared" si="628"/>
        <v>5</v>
      </c>
      <c r="H2750" s="3">
        <f t="shared" si="629"/>
        <v>15</v>
      </c>
      <c r="I2750" s="3">
        <f t="shared" si="630"/>
        <v>0</v>
      </c>
      <c r="J2750" s="3">
        <f t="shared" si="631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32"/>
        <v>YES</v>
      </c>
      <c r="Q2750" t="str">
        <f t="shared" si="633"/>
        <v>NO</v>
      </c>
      <c r="R2750" t="str">
        <f t="shared" si="634"/>
        <v>NO</v>
      </c>
      <c r="S2750">
        <v>73</v>
      </c>
      <c r="T2750" t="s">
        <v>37</v>
      </c>
      <c r="U2750" t="str">
        <f t="shared" si="621"/>
        <v>Magazine St</v>
      </c>
      <c r="W2750" t="str">
        <f t="shared" si="622"/>
        <v/>
      </c>
      <c r="X2750" t="str">
        <f>IF(ISBLANK(S2750),"Intersection","Non-Intersection")</f>
        <v>Non-Intersection</v>
      </c>
      <c r="Y2750" t="s">
        <v>3777</v>
      </c>
      <c r="Z2750" t="str">
        <f t="shared" si="623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24"/>
        <v>40544</v>
      </c>
      <c r="D2751" s="4">
        <f t="shared" si="625"/>
        <v>0.75890410958904109</v>
      </c>
      <c r="E2751" s="3">
        <f t="shared" si="626"/>
        <v>2011</v>
      </c>
      <c r="F2751" s="3">
        <f t="shared" si="627"/>
        <v>10</v>
      </c>
      <c r="G2751" s="3">
        <f t="shared" si="628"/>
        <v>5</v>
      </c>
      <c r="H2751" s="3">
        <f t="shared" si="629"/>
        <v>16</v>
      </c>
      <c r="I2751" s="3">
        <f t="shared" si="630"/>
        <v>5</v>
      </c>
      <c r="J2751" s="3">
        <f t="shared" si="631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32"/>
        <v>YES</v>
      </c>
      <c r="Q2751" t="str">
        <f t="shared" si="633"/>
        <v>NO</v>
      </c>
      <c r="R2751" t="str">
        <f t="shared" si="634"/>
        <v>NO</v>
      </c>
      <c r="S2751">
        <v>1151</v>
      </c>
      <c r="T2751" t="s">
        <v>19</v>
      </c>
      <c r="U2751" t="str">
        <f t="shared" si="621"/>
        <v>Cambridge St</v>
      </c>
      <c r="W2751" t="str">
        <f t="shared" si="622"/>
        <v/>
      </c>
      <c r="X2751" t="str">
        <f>IF(ISBLANK(S2751),"Intersection","Non-Intersection")</f>
        <v>Non-Intersection</v>
      </c>
      <c r="Y2751" t="s">
        <v>3779</v>
      </c>
      <c r="Z2751" t="str">
        <f t="shared" si="623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24"/>
        <v>40544</v>
      </c>
      <c r="D2752" s="4">
        <f t="shared" si="625"/>
        <v>0.75890410958904109</v>
      </c>
      <c r="E2752" s="3">
        <f t="shared" si="626"/>
        <v>2011</v>
      </c>
      <c r="F2752" s="3">
        <f t="shared" si="627"/>
        <v>10</v>
      </c>
      <c r="G2752" s="3">
        <f t="shared" si="628"/>
        <v>5</v>
      </c>
      <c r="H2752" s="3">
        <f t="shared" si="629"/>
        <v>16</v>
      </c>
      <c r="I2752" s="3">
        <f t="shared" si="630"/>
        <v>50</v>
      </c>
      <c r="J2752" s="3">
        <f t="shared" si="631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32"/>
        <v>YES</v>
      </c>
      <c r="Q2752" t="str">
        <f t="shared" si="633"/>
        <v>NO</v>
      </c>
      <c r="R2752" t="str">
        <f t="shared" si="634"/>
        <v>NO</v>
      </c>
      <c r="S2752">
        <v>36</v>
      </c>
      <c r="T2752" t="s">
        <v>2609</v>
      </c>
      <c r="U2752" t="str">
        <f t="shared" si="621"/>
        <v>Parker St</v>
      </c>
      <c r="W2752" t="str">
        <f t="shared" si="622"/>
        <v/>
      </c>
      <c r="X2752" t="str">
        <f>IF(ISBLANK(S2752),"Intersection","Non-Intersection")</f>
        <v>Non-Intersection</v>
      </c>
      <c r="Y2752" t="s">
        <v>3781</v>
      </c>
      <c r="Z2752" t="str">
        <f t="shared" si="623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24"/>
        <v>40544</v>
      </c>
      <c r="D2753" s="4">
        <f t="shared" si="625"/>
        <v>0.76164383561643834</v>
      </c>
      <c r="E2753" s="3">
        <f t="shared" si="626"/>
        <v>2011</v>
      </c>
      <c r="F2753" s="3">
        <f t="shared" si="627"/>
        <v>10</v>
      </c>
      <c r="G2753" s="3">
        <f t="shared" si="628"/>
        <v>6</v>
      </c>
      <c r="H2753" s="3">
        <f t="shared" si="629"/>
        <v>7</v>
      </c>
      <c r="I2753" s="3">
        <f t="shared" si="630"/>
        <v>19</v>
      </c>
      <c r="J2753" s="3">
        <f t="shared" si="631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32"/>
        <v>YES</v>
      </c>
      <c r="Q2753" t="str">
        <f t="shared" si="633"/>
        <v>YES</v>
      </c>
      <c r="R2753" t="str">
        <f t="shared" si="634"/>
        <v>NO</v>
      </c>
      <c r="T2753" t="s">
        <v>105</v>
      </c>
      <c r="U2753" t="str">
        <f t="shared" si="621"/>
        <v>Broadway</v>
      </c>
      <c r="V2753" t="s">
        <v>189</v>
      </c>
      <c r="W2753" t="str">
        <f t="shared" si="622"/>
        <v>Windsor St</v>
      </c>
      <c r="X2753" t="str">
        <f>IF(ISBLANK(S2753),"Intersection","Non-Intersection")</f>
        <v>Intersection</v>
      </c>
      <c r="Y2753" t="s">
        <v>477</v>
      </c>
      <c r="Z2753" t="str">
        <f t="shared" si="623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24"/>
        <v>40544</v>
      </c>
      <c r="D2754" s="4">
        <f t="shared" si="625"/>
        <v>0.76164383561643834</v>
      </c>
      <c r="E2754" s="3">
        <f t="shared" si="626"/>
        <v>2011</v>
      </c>
      <c r="F2754" s="3">
        <f t="shared" si="627"/>
        <v>10</v>
      </c>
      <c r="G2754" s="3">
        <f t="shared" si="628"/>
        <v>6</v>
      </c>
      <c r="H2754" s="3">
        <f t="shared" si="629"/>
        <v>6</v>
      </c>
      <c r="I2754" s="3">
        <f t="shared" si="630"/>
        <v>30</v>
      </c>
      <c r="J2754" s="3">
        <f t="shared" si="631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32"/>
        <v>YES</v>
      </c>
      <c r="Q2754" t="str">
        <f t="shared" si="633"/>
        <v>NO</v>
      </c>
      <c r="R2754" t="str">
        <f t="shared" si="634"/>
        <v>NO</v>
      </c>
      <c r="T2754" t="s">
        <v>199</v>
      </c>
      <c r="U2754" t="str">
        <f t="shared" si="621"/>
        <v>Brattle St</v>
      </c>
      <c r="V2754" t="s">
        <v>198</v>
      </c>
      <c r="W2754" t="str">
        <f t="shared" si="622"/>
        <v>Mount Auburn St</v>
      </c>
      <c r="X2754" t="str">
        <f>IF(ISBLANK(S2754),"Intersection","Non-Intersection")</f>
        <v>Intersection</v>
      </c>
      <c r="Y2754" t="s">
        <v>1759</v>
      </c>
      <c r="Z2754" t="str">
        <f t="shared" si="623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24"/>
        <v>40544</v>
      </c>
      <c r="D2755" s="4">
        <f t="shared" si="625"/>
        <v>0.76164383561643834</v>
      </c>
      <c r="E2755" s="3">
        <f t="shared" si="626"/>
        <v>2011</v>
      </c>
      <c r="F2755" s="3">
        <f t="shared" si="627"/>
        <v>10</v>
      </c>
      <c r="G2755" s="3">
        <f t="shared" si="628"/>
        <v>6</v>
      </c>
      <c r="H2755" s="3">
        <f t="shared" si="629"/>
        <v>13</v>
      </c>
      <c r="I2755" s="3">
        <f t="shared" si="630"/>
        <v>30</v>
      </c>
      <c r="J2755" s="3">
        <f t="shared" si="631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32"/>
        <v>YES</v>
      </c>
      <c r="Q2755" t="str">
        <f t="shared" si="633"/>
        <v>NO</v>
      </c>
      <c r="R2755" t="str">
        <f t="shared" si="634"/>
        <v>NO</v>
      </c>
      <c r="S2755">
        <v>705</v>
      </c>
      <c r="T2755" t="s">
        <v>186</v>
      </c>
      <c r="U2755" t="str">
        <f t="shared" ref="U2755:U2818" si="635">TRIM(PROPER(T2755))</f>
        <v>Concord Ave</v>
      </c>
      <c r="W2755" t="str">
        <f t="shared" ref="W2755:W2818" si="636">TRIM(PROPER(V2755))</f>
        <v/>
      </c>
      <c r="X2755" t="str">
        <f>IF(ISBLANK(S2755),"Intersection","Non-Intersection")</f>
        <v>Non-Intersection</v>
      </c>
      <c r="Y2755" t="s">
        <v>3783</v>
      </c>
      <c r="Z2755" t="str">
        <f t="shared" ref="Z2755:Z2818" si="637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24"/>
        <v>40544</v>
      </c>
      <c r="D2756" s="4">
        <f t="shared" si="625"/>
        <v>0.76438356164383559</v>
      </c>
      <c r="E2756" s="3">
        <f t="shared" si="626"/>
        <v>2011</v>
      </c>
      <c r="F2756" s="3">
        <f t="shared" si="627"/>
        <v>10</v>
      </c>
      <c r="G2756" s="3">
        <f t="shared" si="628"/>
        <v>7</v>
      </c>
      <c r="H2756" s="3">
        <f t="shared" si="629"/>
        <v>9</v>
      </c>
      <c r="I2756" s="3">
        <f t="shared" si="630"/>
        <v>31</v>
      </c>
      <c r="J2756" s="3">
        <f t="shared" si="631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32"/>
        <v>YES</v>
      </c>
      <c r="Q2756" t="str">
        <f t="shared" si="633"/>
        <v>NO</v>
      </c>
      <c r="R2756" t="str">
        <f t="shared" si="634"/>
        <v>NO</v>
      </c>
      <c r="T2756" t="s">
        <v>42</v>
      </c>
      <c r="U2756" t="str">
        <f t="shared" si="635"/>
        <v>Putnam Ave</v>
      </c>
      <c r="V2756" t="s">
        <v>1024</v>
      </c>
      <c r="W2756" t="str">
        <f t="shared" si="636"/>
        <v>Kinnaird St</v>
      </c>
      <c r="X2756" t="str">
        <f>IF(ISBLANK(S2756),"Intersection","Non-Intersection")</f>
        <v>Intersection</v>
      </c>
      <c r="Y2756" t="s">
        <v>2183</v>
      </c>
      <c r="Z2756" t="str">
        <f t="shared" si="637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24"/>
        <v>40544</v>
      </c>
      <c r="D2757" s="4">
        <f t="shared" si="625"/>
        <v>0.76438356164383559</v>
      </c>
      <c r="E2757" s="3">
        <f t="shared" si="626"/>
        <v>2011</v>
      </c>
      <c r="F2757" s="3">
        <f t="shared" si="627"/>
        <v>10</v>
      </c>
      <c r="G2757" s="3">
        <f t="shared" si="628"/>
        <v>7</v>
      </c>
      <c r="H2757" s="3">
        <f t="shared" si="629"/>
        <v>9</v>
      </c>
      <c r="I2757" s="3">
        <f t="shared" si="630"/>
        <v>40</v>
      </c>
      <c r="J2757" s="3">
        <f t="shared" si="631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32"/>
        <v>NO</v>
      </c>
      <c r="Q2757" t="str">
        <f t="shared" si="633"/>
        <v>YES</v>
      </c>
      <c r="R2757" t="str">
        <f t="shared" si="634"/>
        <v>YES</v>
      </c>
      <c r="S2757">
        <v>583</v>
      </c>
      <c r="T2757" t="s">
        <v>198</v>
      </c>
      <c r="U2757" t="str">
        <f t="shared" si="635"/>
        <v>Mount Auburn St</v>
      </c>
      <c r="W2757" t="str">
        <f t="shared" si="636"/>
        <v/>
      </c>
      <c r="X2757" t="str">
        <f>IF(ISBLANK(S2757),"Intersection","Non-Intersection")</f>
        <v>Non-Intersection</v>
      </c>
      <c r="Y2757" t="s">
        <v>3785</v>
      </c>
      <c r="Z2757" t="str">
        <f t="shared" si="637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24"/>
        <v>40544</v>
      </c>
      <c r="D2758" s="4">
        <f t="shared" si="625"/>
        <v>0.76438356164383559</v>
      </c>
      <c r="E2758" s="3">
        <f t="shared" si="626"/>
        <v>2011</v>
      </c>
      <c r="F2758" s="3">
        <f t="shared" si="627"/>
        <v>10</v>
      </c>
      <c r="G2758" s="3">
        <f t="shared" si="628"/>
        <v>7</v>
      </c>
      <c r="H2758" s="3">
        <f t="shared" si="629"/>
        <v>9</v>
      </c>
      <c r="I2758" s="3">
        <f t="shared" si="630"/>
        <v>59</v>
      </c>
      <c r="J2758" s="3">
        <f t="shared" si="631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32"/>
        <v>YES</v>
      </c>
      <c r="Q2758" t="str">
        <f t="shared" si="633"/>
        <v>NO</v>
      </c>
      <c r="R2758" t="str">
        <f t="shared" si="634"/>
        <v>NO</v>
      </c>
      <c r="S2758">
        <v>316</v>
      </c>
      <c r="T2758" t="s">
        <v>587</v>
      </c>
      <c r="U2758" t="str">
        <f t="shared" si="635"/>
        <v>Webster Ave</v>
      </c>
      <c r="W2758" t="str">
        <f t="shared" si="636"/>
        <v/>
      </c>
      <c r="X2758" t="str">
        <f>IF(ISBLANK(S2758),"Intersection","Non-Intersection")</f>
        <v>Non-Intersection</v>
      </c>
      <c r="Y2758" t="s">
        <v>3787</v>
      </c>
      <c r="Z2758" t="str">
        <f t="shared" si="637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24"/>
        <v>40544</v>
      </c>
      <c r="D2759" s="4">
        <f t="shared" si="625"/>
        <v>0.76438356164383559</v>
      </c>
      <c r="E2759" s="3">
        <f t="shared" si="626"/>
        <v>2011</v>
      </c>
      <c r="F2759" s="3">
        <f t="shared" si="627"/>
        <v>10</v>
      </c>
      <c r="G2759" s="3">
        <f t="shared" si="628"/>
        <v>7</v>
      </c>
      <c r="H2759" s="3">
        <f t="shared" si="629"/>
        <v>13</v>
      </c>
      <c r="I2759" s="3">
        <f t="shared" si="630"/>
        <v>44</v>
      </c>
      <c r="J2759" s="3">
        <f t="shared" si="631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32"/>
        <v>YES</v>
      </c>
      <c r="Q2759" t="str">
        <f t="shared" si="633"/>
        <v>NO</v>
      </c>
      <c r="R2759" t="str">
        <f t="shared" si="634"/>
        <v>NO</v>
      </c>
      <c r="S2759">
        <v>1783</v>
      </c>
      <c r="T2759" t="s">
        <v>14</v>
      </c>
      <c r="U2759" t="str">
        <f t="shared" si="635"/>
        <v>Massachusetts Ave</v>
      </c>
      <c r="V2759" t="s">
        <v>3789</v>
      </c>
      <c r="W2759" t="str">
        <f t="shared" si="636"/>
        <v>Frost Ter</v>
      </c>
      <c r="X2759" t="str">
        <f>IF(ISBLANK(S2759),"Intersection","Non-Intersection")</f>
        <v>Non-Intersection</v>
      </c>
      <c r="Y2759" t="s">
        <v>2228</v>
      </c>
      <c r="Z2759" t="str">
        <f t="shared" si="637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24"/>
        <v>40544</v>
      </c>
      <c r="D2760" s="4">
        <f t="shared" si="625"/>
        <v>0.76438356164383559</v>
      </c>
      <c r="E2760" s="3">
        <f t="shared" si="626"/>
        <v>2011</v>
      </c>
      <c r="F2760" s="3">
        <f t="shared" si="627"/>
        <v>10</v>
      </c>
      <c r="G2760" s="3">
        <f t="shared" si="628"/>
        <v>7</v>
      </c>
      <c r="H2760" s="3">
        <f t="shared" si="629"/>
        <v>15</v>
      </c>
      <c r="I2760" s="3">
        <f t="shared" si="630"/>
        <v>45</v>
      </c>
      <c r="J2760" s="3">
        <f t="shared" si="631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32"/>
        <v>YES</v>
      </c>
      <c r="Q2760" t="str">
        <f t="shared" si="633"/>
        <v>NO</v>
      </c>
      <c r="R2760" t="str">
        <f t="shared" si="634"/>
        <v>NO</v>
      </c>
      <c r="T2760" t="s">
        <v>14</v>
      </c>
      <c r="U2760" t="str">
        <f t="shared" si="635"/>
        <v>Massachusetts Ave</v>
      </c>
      <c r="V2760" t="s">
        <v>213</v>
      </c>
      <c r="W2760" t="str">
        <f t="shared" si="636"/>
        <v>Washburn Ave</v>
      </c>
      <c r="X2760" t="str">
        <f>IF(ISBLANK(S2760),"Intersection","Non-Intersection")</f>
        <v>Intersection</v>
      </c>
      <c r="Y2760" t="s">
        <v>214</v>
      </c>
      <c r="Z2760" t="str">
        <f t="shared" si="637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24"/>
        <v>40544</v>
      </c>
      <c r="D2761" s="4">
        <f t="shared" si="625"/>
        <v>0.76438356164383559</v>
      </c>
      <c r="E2761" s="3">
        <f t="shared" si="626"/>
        <v>2011</v>
      </c>
      <c r="F2761" s="3">
        <f t="shared" si="627"/>
        <v>10</v>
      </c>
      <c r="G2761" s="3">
        <f t="shared" si="628"/>
        <v>7</v>
      </c>
      <c r="H2761" s="3">
        <f t="shared" si="629"/>
        <v>16</v>
      </c>
      <c r="I2761" s="3">
        <f t="shared" si="630"/>
        <v>43</v>
      </c>
      <c r="J2761" s="3">
        <f t="shared" si="631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32"/>
        <v>YES</v>
      </c>
      <c r="Q2761" t="str">
        <f t="shared" si="633"/>
        <v>YES</v>
      </c>
      <c r="R2761" t="str">
        <f t="shared" si="634"/>
        <v>NO</v>
      </c>
      <c r="T2761" t="s">
        <v>14</v>
      </c>
      <c r="U2761" t="str">
        <f t="shared" si="635"/>
        <v>Massachusetts Ave</v>
      </c>
      <c r="V2761" t="s">
        <v>3790</v>
      </c>
      <c r="W2761" t="str">
        <f t="shared" si="636"/>
        <v>Newport Rd</v>
      </c>
      <c r="X2761" t="str">
        <f>IF(ISBLANK(S2761),"Intersection","Non-Intersection")</f>
        <v>Intersection</v>
      </c>
      <c r="Y2761" t="s">
        <v>3791</v>
      </c>
      <c r="Z2761" t="str">
        <f t="shared" si="637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24"/>
        <v>40544</v>
      </c>
      <c r="D2762" s="4">
        <f t="shared" si="625"/>
        <v>0.76712328767123283</v>
      </c>
      <c r="E2762" s="3">
        <f t="shared" si="626"/>
        <v>2011</v>
      </c>
      <c r="F2762" s="3">
        <f t="shared" si="627"/>
        <v>10</v>
      </c>
      <c r="G2762" s="3">
        <f t="shared" si="628"/>
        <v>8</v>
      </c>
      <c r="H2762" s="3">
        <f t="shared" si="629"/>
        <v>0</v>
      </c>
      <c r="I2762" s="3">
        <f t="shared" si="630"/>
        <v>59</v>
      </c>
      <c r="J2762" s="3">
        <f t="shared" si="631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32"/>
        <v>YES</v>
      </c>
      <c r="Q2762" t="str">
        <f t="shared" si="633"/>
        <v>NO</v>
      </c>
      <c r="R2762" t="str">
        <f t="shared" si="634"/>
        <v>NO</v>
      </c>
      <c r="T2762" t="s">
        <v>453</v>
      </c>
      <c r="U2762" t="str">
        <f t="shared" si="635"/>
        <v>Brookline St</v>
      </c>
      <c r="V2762" t="s">
        <v>14</v>
      </c>
      <c r="W2762" t="str">
        <f t="shared" si="636"/>
        <v>Massachusetts Ave</v>
      </c>
      <c r="X2762" t="str">
        <f>IF(ISBLANK(S2762),"Intersection","Non-Intersection")</f>
        <v>Intersection</v>
      </c>
      <c r="Y2762" t="s">
        <v>1622</v>
      </c>
      <c r="Z2762" t="str">
        <f t="shared" si="637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24"/>
        <v>40544</v>
      </c>
      <c r="D2763" s="4">
        <f t="shared" si="625"/>
        <v>0.76712328767123283</v>
      </c>
      <c r="E2763" s="3">
        <f t="shared" si="626"/>
        <v>2011</v>
      </c>
      <c r="F2763" s="3">
        <f t="shared" si="627"/>
        <v>10</v>
      </c>
      <c r="G2763" s="3">
        <f t="shared" si="628"/>
        <v>8</v>
      </c>
      <c r="H2763" s="3">
        <f t="shared" si="629"/>
        <v>8</v>
      </c>
      <c r="I2763" s="3">
        <f t="shared" si="630"/>
        <v>19</v>
      </c>
      <c r="J2763" s="3">
        <f t="shared" si="631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32"/>
        <v>YES</v>
      </c>
      <c r="Q2763" t="str">
        <f t="shared" si="633"/>
        <v>NO</v>
      </c>
      <c r="R2763" t="str">
        <f t="shared" si="634"/>
        <v>NO</v>
      </c>
      <c r="S2763">
        <v>372</v>
      </c>
      <c r="T2763" t="s">
        <v>342</v>
      </c>
      <c r="U2763" t="str">
        <f t="shared" si="635"/>
        <v>Prospect St</v>
      </c>
      <c r="W2763" t="str">
        <f t="shared" si="636"/>
        <v/>
      </c>
      <c r="X2763" t="str">
        <f>IF(ISBLANK(S2763),"Intersection","Non-Intersection")</f>
        <v>Non-Intersection</v>
      </c>
      <c r="Y2763" t="s">
        <v>3793</v>
      </c>
      <c r="Z2763" t="str">
        <f t="shared" si="637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24"/>
        <v>40544</v>
      </c>
      <c r="D2764" s="4">
        <f t="shared" si="625"/>
        <v>0.76986301369863008</v>
      </c>
      <c r="E2764" s="3">
        <f t="shared" si="626"/>
        <v>2011</v>
      </c>
      <c r="F2764" s="3">
        <f t="shared" si="627"/>
        <v>10</v>
      </c>
      <c r="G2764" s="3">
        <f t="shared" si="628"/>
        <v>9</v>
      </c>
      <c r="H2764" s="3">
        <f t="shared" si="629"/>
        <v>15</v>
      </c>
      <c r="I2764" s="3">
        <f t="shared" si="630"/>
        <v>58</v>
      </c>
      <c r="J2764" s="3">
        <f t="shared" si="631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32"/>
        <v>YES</v>
      </c>
      <c r="Q2764" t="str">
        <f t="shared" si="633"/>
        <v>NO</v>
      </c>
      <c r="R2764" t="str">
        <f t="shared" si="634"/>
        <v>NO</v>
      </c>
      <c r="T2764" t="s">
        <v>14</v>
      </c>
      <c r="U2764" t="str">
        <f t="shared" si="635"/>
        <v>Massachusetts Ave</v>
      </c>
      <c r="V2764" t="s">
        <v>185</v>
      </c>
      <c r="W2764" t="str">
        <f t="shared" si="636"/>
        <v>Garden St</v>
      </c>
      <c r="X2764" t="str">
        <f>IF(ISBLANK(S2764),"Intersection","Non-Intersection")</f>
        <v>Intersection</v>
      </c>
      <c r="Y2764" t="s">
        <v>1247</v>
      </c>
      <c r="Z2764" t="str">
        <f t="shared" si="637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24"/>
        <v>40544</v>
      </c>
      <c r="D2765" s="4">
        <f t="shared" si="625"/>
        <v>0.76986301369863008</v>
      </c>
      <c r="E2765" s="3">
        <f t="shared" si="626"/>
        <v>2011</v>
      </c>
      <c r="F2765" s="3">
        <f t="shared" si="627"/>
        <v>10</v>
      </c>
      <c r="G2765" s="3">
        <f t="shared" si="628"/>
        <v>9</v>
      </c>
      <c r="H2765" s="3">
        <f t="shared" si="629"/>
        <v>12</v>
      </c>
      <c r="I2765" s="3">
        <f t="shared" si="630"/>
        <v>30</v>
      </c>
      <c r="J2765" s="3">
        <f t="shared" si="631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32"/>
        <v>YES</v>
      </c>
      <c r="Q2765" t="str">
        <f t="shared" si="633"/>
        <v>NO</v>
      </c>
      <c r="R2765" t="str">
        <f t="shared" si="634"/>
        <v>NO</v>
      </c>
      <c r="S2765">
        <v>344</v>
      </c>
      <c r="T2765" t="s">
        <v>105</v>
      </c>
      <c r="U2765" t="str">
        <f t="shared" si="635"/>
        <v>Broadway</v>
      </c>
      <c r="W2765" t="str">
        <f t="shared" si="636"/>
        <v/>
      </c>
      <c r="X2765" t="str">
        <f>IF(ISBLANK(S2765),"Intersection","Non-Intersection")</f>
        <v>Non-Intersection</v>
      </c>
      <c r="Y2765" t="s">
        <v>3795</v>
      </c>
      <c r="Z2765" t="str">
        <f t="shared" si="637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24"/>
        <v>40544</v>
      </c>
      <c r="D2766" s="4">
        <f t="shared" si="625"/>
        <v>0.76986301369863008</v>
      </c>
      <c r="E2766" s="3">
        <f t="shared" si="626"/>
        <v>2011</v>
      </c>
      <c r="F2766" s="3">
        <f t="shared" si="627"/>
        <v>10</v>
      </c>
      <c r="G2766" s="3">
        <f t="shared" si="628"/>
        <v>9</v>
      </c>
      <c r="H2766" s="3">
        <f t="shared" si="629"/>
        <v>23</v>
      </c>
      <c r="I2766" s="3">
        <f t="shared" si="630"/>
        <v>0</v>
      </c>
      <c r="J2766" s="3">
        <f t="shared" si="631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32"/>
        <v>YES</v>
      </c>
      <c r="Q2766" t="str">
        <f t="shared" si="633"/>
        <v>NO</v>
      </c>
      <c r="R2766" t="str">
        <f t="shared" si="634"/>
        <v>NO</v>
      </c>
      <c r="S2766">
        <v>699</v>
      </c>
      <c r="T2766" t="s">
        <v>198</v>
      </c>
      <c r="U2766" t="str">
        <f t="shared" si="635"/>
        <v>Mount Auburn St</v>
      </c>
      <c r="W2766" t="str">
        <f t="shared" si="636"/>
        <v/>
      </c>
      <c r="X2766" t="str">
        <f>IF(ISBLANK(S2766),"Intersection","Non-Intersection")</f>
        <v>Non-Intersection</v>
      </c>
      <c r="Y2766" t="s">
        <v>585</v>
      </c>
      <c r="Z2766" t="str">
        <f t="shared" si="637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24"/>
        <v>40544</v>
      </c>
      <c r="D2767" s="4">
        <f t="shared" si="625"/>
        <v>0.76986301369863008</v>
      </c>
      <c r="E2767" s="3">
        <f t="shared" si="626"/>
        <v>2011</v>
      </c>
      <c r="F2767" s="3">
        <f t="shared" si="627"/>
        <v>10</v>
      </c>
      <c r="G2767" s="3">
        <f t="shared" si="628"/>
        <v>9</v>
      </c>
      <c r="H2767" s="3">
        <f t="shared" si="629"/>
        <v>14</v>
      </c>
      <c r="I2767" s="3">
        <f t="shared" si="630"/>
        <v>35</v>
      </c>
      <c r="J2767" s="3">
        <f t="shared" si="631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32"/>
        <v>YES</v>
      </c>
      <c r="Q2767" t="str">
        <f t="shared" si="633"/>
        <v>NO</v>
      </c>
      <c r="R2767" t="str">
        <f t="shared" si="634"/>
        <v>NO</v>
      </c>
      <c r="T2767" t="s">
        <v>108</v>
      </c>
      <c r="U2767" t="str">
        <f t="shared" si="635"/>
        <v>Franklin St</v>
      </c>
      <c r="V2767" t="s">
        <v>2240</v>
      </c>
      <c r="W2767" t="str">
        <f t="shared" si="636"/>
        <v>Bay St</v>
      </c>
      <c r="X2767" t="str">
        <f>IF(ISBLANK(S2767),"Intersection","Non-Intersection")</f>
        <v>Intersection</v>
      </c>
      <c r="Y2767" t="s">
        <v>3797</v>
      </c>
      <c r="Z2767" t="str">
        <f t="shared" si="637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24"/>
        <v>40544</v>
      </c>
      <c r="D2768" s="4">
        <f t="shared" si="625"/>
        <v>0.77260273972602744</v>
      </c>
      <c r="E2768" s="3">
        <f t="shared" si="626"/>
        <v>2011</v>
      </c>
      <c r="F2768" s="3">
        <f t="shared" si="627"/>
        <v>10</v>
      </c>
      <c r="G2768" s="3">
        <f t="shared" si="628"/>
        <v>10</v>
      </c>
      <c r="H2768" s="3">
        <f t="shared" si="629"/>
        <v>15</v>
      </c>
      <c r="I2768" s="3">
        <f t="shared" si="630"/>
        <v>0</v>
      </c>
      <c r="J2768" s="3">
        <f t="shared" si="631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32"/>
        <v>YES</v>
      </c>
      <c r="Q2768" t="str">
        <f t="shared" si="633"/>
        <v>NO</v>
      </c>
      <c r="R2768" t="str">
        <f t="shared" si="634"/>
        <v>NO</v>
      </c>
      <c r="T2768" t="s">
        <v>74</v>
      </c>
      <c r="U2768" t="str">
        <f t="shared" si="635"/>
        <v>Hampshire St</v>
      </c>
      <c r="V2768" t="s">
        <v>19</v>
      </c>
      <c r="W2768" t="str">
        <f t="shared" si="636"/>
        <v>Cambridge St</v>
      </c>
      <c r="X2768" t="str">
        <f>IF(ISBLANK(S2768),"Intersection","Non-Intersection")</f>
        <v>Intersection</v>
      </c>
      <c r="Y2768" t="s">
        <v>2236</v>
      </c>
      <c r="Z2768" t="str">
        <f t="shared" si="637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24"/>
        <v>40544</v>
      </c>
      <c r="D2769" s="4">
        <f t="shared" si="625"/>
        <v>0.77260273972602744</v>
      </c>
      <c r="E2769" s="3">
        <f t="shared" si="626"/>
        <v>2011</v>
      </c>
      <c r="F2769" s="3">
        <f t="shared" si="627"/>
        <v>10</v>
      </c>
      <c r="G2769" s="3">
        <f t="shared" si="628"/>
        <v>10</v>
      </c>
      <c r="H2769" s="3">
        <f t="shared" si="629"/>
        <v>21</v>
      </c>
      <c r="I2769" s="3">
        <f t="shared" si="630"/>
        <v>30</v>
      </c>
      <c r="J2769" s="3">
        <f t="shared" si="631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32"/>
        <v>YES</v>
      </c>
      <c r="Q2769" t="str">
        <f t="shared" si="633"/>
        <v>NO</v>
      </c>
      <c r="R2769" t="str">
        <f t="shared" si="634"/>
        <v>NO</v>
      </c>
      <c r="S2769">
        <v>279</v>
      </c>
      <c r="T2769" t="s">
        <v>41</v>
      </c>
      <c r="U2769" t="str">
        <f t="shared" si="635"/>
        <v>River St</v>
      </c>
      <c r="W2769" t="str">
        <f t="shared" si="636"/>
        <v/>
      </c>
      <c r="X2769" t="str">
        <f>IF(ISBLANK(S2769),"Intersection","Non-Intersection")</f>
        <v>Non-Intersection</v>
      </c>
      <c r="Y2769" t="s">
        <v>3799</v>
      </c>
      <c r="Z2769" t="str">
        <f t="shared" si="637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24"/>
        <v>40544</v>
      </c>
      <c r="D2770" s="4">
        <f t="shared" si="625"/>
        <v>0.77534246575342469</v>
      </c>
      <c r="E2770" s="3">
        <f t="shared" si="626"/>
        <v>2011</v>
      </c>
      <c r="F2770" s="3">
        <f t="shared" si="627"/>
        <v>10</v>
      </c>
      <c r="G2770" s="3">
        <f t="shared" si="628"/>
        <v>11</v>
      </c>
      <c r="H2770" s="3">
        <f t="shared" si="629"/>
        <v>11</v>
      </c>
      <c r="I2770" s="3">
        <f t="shared" si="630"/>
        <v>19</v>
      </c>
      <c r="J2770" s="3">
        <f t="shared" si="631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32"/>
        <v>YES</v>
      </c>
      <c r="Q2770" t="str">
        <f t="shared" si="633"/>
        <v>NO</v>
      </c>
      <c r="R2770" t="str">
        <f t="shared" si="634"/>
        <v>NO</v>
      </c>
      <c r="S2770">
        <v>184</v>
      </c>
      <c r="T2770" t="s">
        <v>133</v>
      </c>
      <c r="U2770" t="str">
        <f t="shared" si="635"/>
        <v>Harvard St</v>
      </c>
      <c r="W2770" t="str">
        <f t="shared" si="636"/>
        <v/>
      </c>
      <c r="X2770" t="str">
        <f>IF(ISBLANK(S2770),"Intersection","Non-Intersection")</f>
        <v>Non-Intersection</v>
      </c>
      <c r="Y2770" t="s">
        <v>3801</v>
      </c>
      <c r="Z2770" t="str">
        <f t="shared" si="637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24"/>
        <v>40544</v>
      </c>
      <c r="D2771" s="4">
        <f t="shared" si="625"/>
        <v>0.77534246575342469</v>
      </c>
      <c r="E2771" s="3">
        <f t="shared" si="626"/>
        <v>2011</v>
      </c>
      <c r="F2771" s="3">
        <f t="shared" si="627"/>
        <v>10</v>
      </c>
      <c r="G2771" s="3">
        <f t="shared" si="628"/>
        <v>11</v>
      </c>
      <c r="H2771" s="3">
        <f t="shared" si="629"/>
        <v>9</v>
      </c>
      <c r="I2771" s="3">
        <f t="shared" si="630"/>
        <v>0</v>
      </c>
      <c r="J2771" s="3">
        <f t="shared" si="631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32"/>
        <v>YES</v>
      </c>
      <c r="Q2771" t="str">
        <f t="shared" si="633"/>
        <v>YES</v>
      </c>
      <c r="R2771" t="str">
        <f t="shared" si="634"/>
        <v>NO</v>
      </c>
      <c r="S2771">
        <v>738</v>
      </c>
      <c r="T2771" t="s">
        <v>19</v>
      </c>
      <c r="U2771" t="str">
        <f t="shared" si="635"/>
        <v>Cambridge St</v>
      </c>
      <c r="W2771" t="str">
        <f t="shared" si="636"/>
        <v/>
      </c>
      <c r="X2771" t="str">
        <f>IF(ISBLANK(S2771),"Intersection","Non-Intersection")</f>
        <v>Non-Intersection</v>
      </c>
      <c r="Y2771" t="s">
        <v>3044</v>
      </c>
      <c r="Z2771" t="str">
        <f t="shared" si="637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24"/>
        <v>40544</v>
      </c>
      <c r="D2772" s="4">
        <f t="shared" si="625"/>
        <v>0.77534246575342469</v>
      </c>
      <c r="E2772" s="3">
        <f t="shared" si="626"/>
        <v>2011</v>
      </c>
      <c r="F2772" s="3">
        <f t="shared" si="627"/>
        <v>10</v>
      </c>
      <c r="G2772" s="3">
        <f t="shared" si="628"/>
        <v>11</v>
      </c>
      <c r="H2772" s="3">
        <f t="shared" si="629"/>
        <v>17</v>
      </c>
      <c r="I2772" s="3">
        <f t="shared" si="630"/>
        <v>48</v>
      </c>
      <c r="J2772" s="3">
        <f t="shared" si="631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32"/>
        <v>YES</v>
      </c>
      <c r="Q2772" t="str">
        <f t="shared" si="633"/>
        <v>YES</v>
      </c>
      <c r="R2772" t="str">
        <f t="shared" si="634"/>
        <v>NO</v>
      </c>
      <c r="T2772" t="s">
        <v>19</v>
      </c>
      <c r="U2772" t="str">
        <f t="shared" si="635"/>
        <v>Cambridge St</v>
      </c>
      <c r="V2772" t="s">
        <v>1739</v>
      </c>
      <c r="W2772" t="str">
        <f t="shared" si="636"/>
        <v>Harding St</v>
      </c>
      <c r="X2772" t="str">
        <f>IF(ISBLANK(S2772),"Intersection","Non-Intersection")</f>
        <v>Intersection</v>
      </c>
      <c r="Y2772" t="s">
        <v>1740</v>
      </c>
      <c r="Z2772" t="str">
        <f t="shared" si="637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24"/>
        <v>40544</v>
      </c>
      <c r="D2773" s="4">
        <f t="shared" si="625"/>
        <v>0.77534246575342469</v>
      </c>
      <c r="E2773" s="3">
        <f t="shared" si="626"/>
        <v>2011</v>
      </c>
      <c r="F2773" s="3">
        <f t="shared" si="627"/>
        <v>10</v>
      </c>
      <c r="G2773" s="3">
        <f t="shared" si="628"/>
        <v>11</v>
      </c>
      <c r="H2773" s="3">
        <f t="shared" si="629"/>
        <v>6</v>
      </c>
      <c r="I2773" s="3">
        <f t="shared" si="630"/>
        <v>59</v>
      </c>
      <c r="J2773" s="3">
        <f t="shared" si="631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32"/>
        <v>YES</v>
      </c>
      <c r="Q2773" t="str">
        <f t="shared" si="633"/>
        <v>NO</v>
      </c>
      <c r="R2773" t="str">
        <f t="shared" si="634"/>
        <v>NO</v>
      </c>
      <c r="S2773">
        <v>350</v>
      </c>
      <c r="T2773" t="s">
        <v>3803</v>
      </c>
      <c r="U2773" t="str">
        <f t="shared" si="635"/>
        <v>Kendall St</v>
      </c>
      <c r="W2773" t="str">
        <f t="shared" si="636"/>
        <v/>
      </c>
      <c r="X2773" t="str">
        <f>IF(ISBLANK(S2773),"Intersection","Non-Intersection")</f>
        <v>Non-Intersection</v>
      </c>
      <c r="Y2773" t="s">
        <v>3804</v>
      </c>
      <c r="Z2773" t="str">
        <f t="shared" si="637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24"/>
        <v>40544</v>
      </c>
      <c r="D2774" s="4">
        <f t="shared" si="625"/>
        <v>0.77808219178082194</v>
      </c>
      <c r="E2774" s="3">
        <f t="shared" si="626"/>
        <v>2011</v>
      </c>
      <c r="F2774" s="3">
        <f t="shared" si="627"/>
        <v>10</v>
      </c>
      <c r="G2774" s="3">
        <f t="shared" si="628"/>
        <v>12</v>
      </c>
      <c r="H2774" s="3">
        <f t="shared" si="629"/>
        <v>10</v>
      </c>
      <c r="I2774" s="3">
        <f t="shared" si="630"/>
        <v>54</v>
      </c>
      <c r="J2774" s="3">
        <f t="shared" si="631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32"/>
        <v>NO</v>
      </c>
      <c r="Q2774" t="str">
        <f t="shared" si="633"/>
        <v>NO</v>
      </c>
      <c r="R2774" t="str">
        <f t="shared" si="634"/>
        <v>NO</v>
      </c>
      <c r="T2774" t="s">
        <v>74</v>
      </c>
      <c r="U2774" t="str">
        <f t="shared" si="635"/>
        <v>Hampshire St</v>
      </c>
      <c r="V2774" t="s">
        <v>19</v>
      </c>
      <c r="W2774" t="str">
        <f t="shared" si="636"/>
        <v>Cambridge St</v>
      </c>
      <c r="X2774" t="str">
        <f>IF(ISBLANK(S2774),"Intersection","Non-Intersection")</f>
        <v>Intersection</v>
      </c>
      <c r="Y2774" t="s">
        <v>2236</v>
      </c>
      <c r="Z2774" t="str">
        <f t="shared" si="637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24"/>
        <v>40544</v>
      </c>
      <c r="D2775" s="4">
        <f t="shared" si="625"/>
        <v>0.77808219178082194</v>
      </c>
      <c r="E2775" s="3">
        <f t="shared" si="626"/>
        <v>2011</v>
      </c>
      <c r="F2775" s="3">
        <f t="shared" si="627"/>
        <v>10</v>
      </c>
      <c r="G2775" s="3">
        <f t="shared" si="628"/>
        <v>12</v>
      </c>
      <c r="H2775" s="3">
        <f t="shared" si="629"/>
        <v>12</v>
      </c>
      <c r="I2775" s="3">
        <f t="shared" si="630"/>
        <v>40</v>
      </c>
      <c r="J2775" s="3">
        <f t="shared" si="631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32"/>
        <v>YES</v>
      </c>
      <c r="Q2775" t="str">
        <f t="shared" si="633"/>
        <v>NO</v>
      </c>
      <c r="R2775" t="str">
        <f t="shared" si="634"/>
        <v>YES</v>
      </c>
      <c r="T2775" t="s">
        <v>587</v>
      </c>
      <c r="U2775" t="str">
        <f t="shared" si="635"/>
        <v>Webster Ave</v>
      </c>
      <c r="V2775" t="s">
        <v>124</v>
      </c>
      <c r="W2775" t="str">
        <f t="shared" si="636"/>
        <v>York St</v>
      </c>
      <c r="X2775" t="str">
        <f>IF(ISBLANK(S2775),"Intersection","Non-Intersection")</f>
        <v>Intersection</v>
      </c>
      <c r="Y2775" t="s">
        <v>3806</v>
      </c>
      <c r="Z2775" t="str">
        <f t="shared" si="637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24"/>
        <v>40544</v>
      </c>
      <c r="D2776" s="4">
        <f t="shared" si="625"/>
        <v>0.77808219178082194</v>
      </c>
      <c r="E2776" s="3">
        <f t="shared" si="626"/>
        <v>2011</v>
      </c>
      <c r="F2776" s="3">
        <f t="shared" si="627"/>
        <v>10</v>
      </c>
      <c r="G2776" s="3">
        <f t="shared" si="628"/>
        <v>12</v>
      </c>
      <c r="H2776" s="3">
        <f t="shared" si="629"/>
        <v>19</v>
      </c>
      <c r="I2776" s="3">
        <f t="shared" si="630"/>
        <v>32</v>
      </c>
      <c r="J2776" s="3">
        <f t="shared" si="631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32"/>
        <v>YES</v>
      </c>
      <c r="Q2776" t="str">
        <f t="shared" si="633"/>
        <v>YES</v>
      </c>
      <c r="R2776" t="str">
        <f t="shared" si="634"/>
        <v>NO</v>
      </c>
      <c r="S2776">
        <v>1555</v>
      </c>
      <c r="T2776" t="s">
        <v>14</v>
      </c>
      <c r="U2776" t="str">
        <f t="shared" si="635"/>
        <v>Massachusetts Ave</v>
      </c>
      <c r="W2776" t="str">
        <f t="shared" si="636"/>
        <v/>
      </c>
      <c r="X2776" t="str">
        <f>IF(ISBLANK(S2776),"Intersection","Non-Intersection")</f>
        <v>Non-Intersection</v>
      </c>
      <c r="Y2776" t="s">
        <v>969</v>
      </c>
      <c r="Z2776" t="str">
        <f t="shared" si="637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24"/>
        <v>40544</v>
      </c>
      <c r="D2777" s="4">
        <f t="shared" si="625"/>
        <v>0.77808219178082194</v>
      </c>
      <c r="E2777" s="3">
        <f t="shared" si="626"/>
        <v>2011</v>
      </c>
      <c r="F2777" s="3">
        <f t="shared" si="627"/>
        <v>10</v>
      </c>
      <c r="G2777" s="3">
        <f t="shared" si="628"/>
        <v>12</v>
      </c>
      <c r="H2777" s="3">
        <f t="shared" si="629"/>
        <v>17</v>
      </c>
      <c r="I2777" s="3">
        <f t="shared" si="630"/>
        <v>6</v>
      </c>
      <c r="J2777" s="3">
        <f t="shared" si="631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32"/>
        <v>YES</v>
      </c>
      <c r="Q2777" t="str">
        <f t="shared" si="633"/>
        <v>NO</v>
      </c>
      <c r="R2777" t="str">
        <f t="shared" si="634"/>
        <v>NO</v>
      </c>
      <c r="S2777">
        <v>10</v>
      </c>
      <c r="T2777" t="s">
        <v>1211</v>
      </c>
      <c r="U2777" t="str">
        <f t="shared" si="635"/>
        <v>Mifflin Pl</v>
      </c>
      <c r="W2777" t="str">
        <f t="shared" si="636"/>
        <v/>
      </c>
      <c r="X2777" t="str">
        <f>IF(ISBLANK(S2777),"Intersection","Non-Intersection")</f>
        <v>Non-Intersection</v>
      </c>
      <c r="Y2777" t="s">
        <v>3808</v>
      </c>
      <c r="Z2777" t="str">
        <f t="shared" si="637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24"/>
        <v>40544</v>
      </c>
      <c r="D2778" s="4">
        <f t="shared" si="625"/>
        <v>0.78082191780821919</v>
      </c>
      <c r="E2778" s="3">
        <f t="shared" si="626"/>
        <v>2011</v>
      </c>
      <c r="F2778" s="3">
        <f t="shared" si="627"/>
        <v>10</v>
      </c>
      <c r="G2778" s="3">
        <f t="shared" si="628"/>
        <v>13</v>
      </c>
      <c r="H2778" s="3">
        <f t="shared" si="629"/>
        <v>9</v>
      </c>
      <c r="I2778" s="3">
        <f t="shared" si="630"/>
        <v>0</v>
      </c>
      <c r="J2778" s="3">
        <f t="shared" si="631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32"/>
        <v>YES</v>
      </c>
      <c r="Q2778" t="str">
        <f t="shared" si="633"/>
        <v>NO</v>
      </c>
      <c r="R2778" t="str">
        <f t="shared" si="634"/>
        <v>NO</v>
      </c>
      <c r="T2778" t="s">
        <v>53</v>
      </c>
      <c r="U2778" t="str">
        <f t="shared" si="635"/>
        <v>Monsignor Obrien Hwy</v>
      </c>
      <c r="W2778" t="str">
        <f t="shared" si="636"/>
        <v/>
      </c>
      <c r="X2778" t="str">
        <f>IF(ISBLANK(S2778),"Intersection","Non-Intersection")</f>
        <v>Intersection</v>
      </c>
      <c r="Y2778" t="s">
        <v>3810</v>
      </c>
      <c r="Z2778" t="str">
        <f t="shared" si="637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24"/>
        <v>40544</v>
      </c>
      <c r="D2779" s="4">
        <f t="shared" si="625"/>
        <v>0.78082191780821919</v>
      </c>
      <c r="E2779" s="3">
        <f t="shared" si="626"/>
        <v>2011</v>
      </c>
      <c r="F2779" s="3">
        <f t="shared" si="627"/>
        <v>10</v>
      </c>
      <c r="G2779" s="3">
        <f t="shared" si="628"/>
        <v>13</v>
      </c>
      <c r="H2779" s="3">
        <f t="shared" si="629"/>
        <v>9</v>
      </c>
      <c r="I2779" s="3">
        <f t="shared" si="630"/>
        <v>14</v>
      </c>
      <c r="J2779" s="3">
        <f t="shared" si="631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32"/>
        <v>YES</v>
      </c>
      <c r="Q2779" t="str">
        <f t="shared" si="633"/>
        <v>NO</v>
      </c>
      <c r="R2779" t="str">
        <f t="shared" si="634"/>
        <v>YES</v>
      </c>
      <c r="T2779" t="s">
        <v>27</v>
      </c>
      <c r="U2779" t="str">
        <f t="shared" si="635"/>
        <v>Western Ave</v>
      </c>
      <c r="V2779" t="s">
        <v>757</v>
      </c>
      <c r="W2779" t="str">
        <f t="shared" si="636"/>
        <v>Blackstone St</v>
      </c>
      <c r="X2779" t="str">
        <f>IF(ISBLANK(S2779),"Intersection","Non-Intersection")</f>
        <v>Intersection</v>
      </c>
      <c r="Y2779" t="s">
        <v>1405</v>
      </c>
      <c r="Z2779" t="str">
        <f t="shared" si="637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24"/>
        <v>40544</v>
      </c>
      <c r="D2780" s="4">
        <f t="shared" si="625"/>
        <v>0.78082191780821919</v>
      </c>
      <c r="E2780" s="3">
        <f t="shared" si="626"/>
        <v>2011</v>
      </c>
      <c r="F2780" s="3">
        <f t="shared" si="627"/>
        <v>10</v>
      </c>
      <c r="G2780" s="3">
        <f t="shared" si="628"/>
        <v>13</v>
      </c>
      <c r="H2780" s="3">
        <f t="shared" si="629"/>
        <v>9</v>
      </c>
      <c r="I2780" s="3">
        <f t="shared" si="630"/>
        <v>24</v>
      </c>
      <c r="J2780" s="3">
        <f t="shared" si="631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32"/>
        <v>YES</v>
      </c>
      <c r="Q2780" t="str">
        <f t="shared" si="633"/>
        <v>NO</v>
      </c>
      <c r="R2780" t="str">
        <f t="shared" si="634"/>
        <v>NO</v>
      </c>
      <c r="T2780" t="s">
        <v>19</v>
      </c>
      <c r="U2780" t="str">
        <f t="shared" si="635"/>
        <v>Cambridge St</v>
      </c>
      <c r="V2780" t="s">
        <v>803</v>
      </c>
      <c r="W2780" t="str">
        <f t="shared" si="636"/>
        <v>Line St</v>
      </c>
      <c r="X2780" t="str">
        <f>IF(ISBLANK(S2780),"Intersection","Non-Intersection")</f>
        <v>Intersection</v>
      </c>
      <c r="Y2780" t="s">
        <v>1561</v>
      </c>
      <c r="Z2780" t="str">
        <f t="shared" si="637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24"/>
        <v>40544</v>
      </c>
      <c r="D2781" s="4">
        <f t="shared" si="625"/>
        <v>0.78082191780821919</v>
      </c>
      <c r="E2781" s="3">
        <f t="shared" si="626"/>
        <v>2011</v>
      </c>
      <c r="F2781" s="3">
        <f t="shared" si="627"/>
        <v>10</v>
      </c>
      <c r="G2781" s="3">
        <f t="shared" si="628"/>
        <v>13</v>
      </c>
      <c r="H2781" s="3">
        <f t="shared" si="629"/>
        <v>11</v>
      </c>
      <c r="I2781" s="3">
        <f t="shared" si="630"/>
        <v>0</v>
      </c>
      <c r="J2781" s="3">
        <f t="shared" si="631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32"/>
        <v>YES</v>
      </c>
      <c r="Q2781" t="str">
        <f t="shared" si="633"/>
        <v>NO</v>
      </c>
      <c r="R2781" t="str">
        <f t="shared" si="634"/>
        <v>NO</v>
      </c>
      <c r="T2781" t="s">
        <v>170</v>
      </c>
      <c r="U2781" t="str">
        <f t="shared" si="635"/>
        <v>Alewife Brook Pky</v>
      </c>
      <c r="W2781" t="str">
        <f t="shared" si="636"/>
        <v/>
      </c>
      <c r="X2781" t="str">
        <f>IF(ISBLANK(S2781),"Intersection","Non-Intersection")</f>
        <v>Intersection</v>
      </c>
      <c r="Y2781" t="s">
        <v>604</v>
      </c>
      <c r="Z2781" t="str">
        <f t="shared" si="637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24"/>
        <v>40544</v>
      </c>
      <c r="D2782" s="4">
        <f t="shared" si="625"/>
        <v>0.78082191780821919</v>
      </c>
      <c r="E2782" s="3">
        <f t="shared" si="626"/>
        <v>2011</v>
      </c>
      <c r="F2782" s="3">
        <f t="shared" si="627"/>
        <v>10</v>
      </c>
      <c r="G2782" s="3">
        <f t="shared" si="628"/>
        <v>13</v>
      </c>
      <c r="H2782" s="3">
        <f t="shared" si="629"/>
        <v>11</v>
      </c>
      <c r="I2782" s="3">
        <f t="shared" si="630"/>
        <v>52</v>
      </c>
      <c r="J2782" s="3">
        <f t="shared" si="631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32"/>
        <v>YES</v>
      </c>
      <c r="Q2782" t="str">
        <f t="shared" si="633"/>
        <v>NO</v>
      </c>
      <c r="R2782" t="str">
        <f t="shared" si="634"/>
        <v>NO</v>
      </c>
      <c r="T2782" t="s">
        <v>41</v>
      </c>
      <c r="U2782" t="str">
        <f t="shared" si="635"/>
        <v>River St</v>
      </c>
      <c r="V2782" t="s">
        <v>178</v>
      </c>
      <c r="W2782" t="str">
        <f t="shared" si="636"/>
        <v>Pleasant St</v>
      </c>
      <c r="X2782" t="str">
        <f>IF(ISBLANK(S2782),"Intersection","Non-Intersection")</f>
        <v>Intersection</v>
      </c>
      <c r="Y2782" t="s">
        <v>2037</v>
      </c>
      <c r="Z2782" t="str">
        <f t="shared" si="637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24"/>
        <v>40544</v>
      </c>
      <c r="D2783" s="4">
        <f t="shared" si="625"/>
        <v>0.78082191780821919</v>
      </c>
      <c r="E2783" s="3">
        <f t="shared" si="626"/>
        <v>2011</v>
      </c>
      <c r="F2783" s="3">
        <f t="shared" si="627"/>
        <v>10</v>
      </c>
      <c r="G2783" s="3">
        <f t="shared" si="628"/>
        <v>13</v>
      </c>
      <c r="H2783" s="3">
        <f t="shared" si="629"/>
        <v>12</v>
      </c>
      <c r="I2783" s="3">
        <f t="shared" si="630"/>
        <v>0</v>
      </c>
      <c r="J2783" s="3">
        <f t="shared" si="631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32"/>
        <v>YES</v>
      </c>
      <c r="Q2783" t="str">
        <f t="shared" si="633"/>
        <v>NO</v>
      </c>
      <c r="R2783" t="str">
        <f t="shared" si="634"/>
        <v>NO</v>
      </c>
      <c r="T2783" t="s">
        <v>14</v>
      </c>
      <c r="U2783" t="str">
        <f t="shared" si="635"/>
        <v>Massachusetts Ave</v>
      </c>
      <c r="V2783" t="s">
        <v>754</v>
      </c>
      <c r="W2783" t="str">
        <f t="shared" si="636"/>
        <v>Clarendon Ave</v>
      </c>
      <c r="X2783" t="str">
        <f>IF(ISBLANK(S2783),"Intersection","Non-Intersection")</f>
        <v>Intersection</v>
      </c>
      <c r="Y2783" t="s">
        <v>1965</v>
      </c>
      <c r="Z2783" t="str">
        <f t="shared" si="637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24"/>
        <v>40544</v>
      </c>
      <c r="D2784" s="4">
        <f t="shared" si="625"/>
        <v>0.78082191780821919</v>
      </c>
      <c r="E2784" s="3">
        <f t="shared" si="626"/>
        <v>2011</v>
      </c>
      <c r="F2784" s="3">
        <f t="shared" si="627"/>
        <v>10</v>
      </c>
      <c r="G2784" s="3">
        <f t="shared" si="628"/>
        <v>13</v>
      </c>
      <c r="H2784" s="3">
        <f t="shared" si="629"/>
        <v>15</v>
      </c>
      <c r="I2784" s="3">
        <f t="shared" si="630"/>
        <v>43</v>
      </c>
      <c r="J2784" s="3">
        <f t="shared" si="631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32"/>
        <v>YES</v>
      </c>
      <c r="Q2784" t="str">
        <f t="shared" si="633"/>
        <v>NO</v>
      </c>
      <c r="R2784" t="str">
        <f t="shared" si="634"/>
        <v>NO</v>
      </c>
      <c r="T2784" t="s">
        <v>209</v>
      </c>
      <c r="U2784" t="str">
        <f t="shared" si="635"/>
        <v>Binney St</v>
      </c>
      <c r="V2784" t="s">
        <v>760</v>
      </c>
      <c r="W2784" t="str">
        <f t="shared" si="636"/>
        <v>Fulkerson St</v>
      </c>
      <c r="X2784" t="str">
        <f>IF(ISBLANK(S2784),"Intersection","Non-Intersection")</f>
        <v>Intersection</v>
      </c>
      <c r="Y2784" t="s">
        <v>1532</v>
      </c>
      <c r="Z2784" t="str">
        <f t="shared" si="637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24"/>
        <v>40544</v>
      </c>
      <c r="D2785" s="4">
        <f t="shared" si="625"/>
        <v>0.78082191780821919</v>
      </c>
      <c r="E2785" s="3">
        <f t="shared" si="626"/>
        <v>2011</v>
      </c>
      <c r="F2785" s="3">
        <f t="shared" si="627"/>
        <v>10</v>
      </c>
      <c r="G2785" s="3">
        <f t="shared" si="628"/>
        <v>13</v>
      </c>
      <c r="H2785" s="3">
        <f t="shared" si="629"/>
        <v>21</v>
      </c>
      <c r="I2785" s="3">
        <f t="shared" si="630"/>
        <v>1</v>
      </c>
      <c r="J2785" s="3">
        <f t="shared" si="631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32"/>
        <v>YES</v>
      </c>
      <c r="Q2785" t="str">
        <f t="shared" si="633"/>
        <v>NO</v>
      </c>
      <c r="R2785" t="str">
        <f t="shared" si="634"/>
        <v>NO</v>
      </c>
      <c r="T2785" t="s">
        <v>105</v>
      </c>
      <c r="U2785" t="str">
        <f t="shared" si="635"/>
        <v>Broadway</v>
      </c>
      <c r="V2785" t="s">
        <v>189</v>
      </c>
      <c r="W2785" t="str">
        <f t="shared" si="636"/>
        <v>Windsor St</v>
      </c>
      <c r="X2785" t="str">
        <f>IF(ISBLANK(S2785),"Intersection","Non-Intersection")</f>
        <v>Intersection</v>
      </c>
      <c r="Y2785" t="s">
        <v>477</v>
      </c>
      <c r="Z2785" t="str">
        <f t="shared" si="637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24"/>
        <v>40544</v>
      </c>
      <c r="D2786" s="4">
        <f t="shared" si="625"/>
        <v>0.78082191780821919</v>
      </c>
      <c r="E2786" s="3">
        <f t="shared" si="626"/>
        <v>2011</v>
      </c>
      <c r="F2786" s="3">
        <f t="shared" si="627"/>
        <v>10</v>
      </c>
      <c r="G2786" s="3">
        <f t="shared" si="628"/>
        <v>13</v>
      </c>
      <c r="H2786" s="3">
        <f t="shared" si="629"/>
        <v>12</v>
      </c>
      <c r="I2786" s="3">
        <f t="shared" si="630"/>
        <v>30</v>
      </c>
      <c r="J2786" s="3">
        <f t="shared" si="631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32"/>
        <v>YES</v>
      </c>
      <c r="Q2786" t="str">
        <f t="shared" si="633"/>
        <v>NO</v>
      </c>
      <c r="R2786" t="str">
        <f t="shared" si="634"/>
        <v>NO</v>
      </c>
      <c r="T2786" t="s">
        <v>178</v>
      </c>
      <c r="U2786" t="str">
        <f t="shared" si="635"/>
        <v>Pleasant St</v>
      </c>
      <c r="V2786" t="s">
        <v>42</v>
      </c>
      <c r="W2786" t="str">
        <f t="shared" si="636"/>
        <v>Putnam Ave</v>
      </c>
      <c r="X2786" t="str">
        <f>IF(ISBLANK(S2786),"Intersection","Non-Intersection")</f>
        <v>Intersection</v>
      </c>
      <c r="Y2786" t="s">
        <v>3811</v>
      </c>
      <c r="Z2786" t="str">
        <f t="shared" si="637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24"/>
        <v>40544</v>
      </c>
      <c r="D2787" s="4">
        <f t="shared" si="625"/>
        <v>0.78082191780821919</v>
      </c>
      <c r="E2787" s="3">
        <f t="shared" si="626"/>
        <v>2011</v>
      </c>
      <c r="F2787" s="3">
        <f t="shared" si="627"/>
        <v>10</v>
      </c>
      <c r="G2787" s="3">
        <f t="shared" si="628"/>
        <v>13</v>
      </c>
      <c r="H2787" s="3">
        <f t="shared" si="629"/>
        <v>11</v>
      </c>
      <c r="I2787" s="3">
        <f t="shared" si="630"/>
        <v>4</v>
      </c>
      <c r="J2787" s="3">
        <f t="shared" si="631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32"/>
        <v>YES</v>
      </c>
      <c r="Q2787" t="str">
        <f t="shared" si="633"/>
        <v>NO</v>
      </c>
      <c r="R2787" t="str">
        <f t="shared" si="634"/>
        <v>YES</v>
      </c>
      <c r="T2787" t="s">
        <v>14</v>
      </c>
      <c r="U2787" t="str">
        <f t="shared" si="635"/>
        <v>Massachusetts Ave</v>
      </c>
      <c r="V2787" t="s">
        <v>550</v>
      </c>
      <c r="W2787" t="str">
        <f t="shared" si="636"/>
        <v>Upland Rd</v>
      </c>
      <c r="X2787" t="str">
        <f>IF(ISBLANK(S2787),"Intersection","Non-Intersection")</f>
        <v>Intersection</v>
      </c>
      <c r="Y2787" t="s">
        <v>551</v>
      </c>
      <c r="Z2787" t="str">
        <f t="shared" si="637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24"/>
        <v>40544</v>
      </c>
      <c r="D2788" s="4">
        <f t="shared" si="625"/>
        <v>0.78082191780821919</v>
      </c>
      <c r="E2788" s="3">
        <f t="shared" si="626"/>
        <v>2011</v>
      </c>
      <c r="F2788" s="3">
        <f t="shared" si="627"/>
        <v>10</v>
      </c>
      <c r="G2788" s="3">
        <f t="shared" si="628"/>
        <v>13</v>
      </c>
      <c r="H2788" s="3">
        <f t="shared" si="629"/>
        <v>14</v>
      </c>
      <c r="I2788" s="3">
        <f t="shared" si="630"/>
        <v>10</v>
      </c>
      <c r="J2788" s="3">
        <f t="shared" si="631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32"/>
        <v>YES</v>
      </c>
      <c r="Q2788" t="str">
        <f t="shared" si="633"/>
        <v>NO</v>
      </c>
      <c r="R2788" t="str">
        <f t="shared" si="634"/>
        <v>NO</v>
      </c>
      <c r="T2788" t="s">
        <v>326</v>
      </c>
      <c r="U2788" t="str">
        <f t="shared" si="635"/>
        <v>Jfk St</v>
      </c>
      <c r="V2788" t="s">
        <v>203</v>
      </c>
      <c r="W2788" t="str">
        <f t="shared" si="636"/>
        <v>Memorial Dr</v>
      </c>
      <c r="X2788" t="str">
        <f>IF(ISBLANK(S2788),"Intersection","Non-Intersection")</f>
        <v>Intersection</v>
      </c>
      <c r="Y2788" t="s">
        <v>2827</v>
      </c>
      <c r="Z2788" t="str">
        <f t="shared" si="637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24"/>
        <v>40544</v>
      </c>
      <c r="D2789" s="4">
        <f t="shared" si="625"/>
        <v>0.78356164383561644</v>
      </c>
      <c r="E2789" s="3">
        <f t="shared" si="626"/>
        <v>2011</v>
      </c>
      <c r="F2789" s="3">
        <f t="shared" si="627"/>
        <v>10</v>
      </c>
      <c r="G2789" s="3">
        <f t="shared" si="628"/>
        <v>14</v>
      </c>
      <c r="H2789" s="3">
        <f t="shared" si="629"/>
        <v>1</v>
      </c>
      <c r="I2789" s="3">
        <f t="shared" si="630"/>
        <v>15</v>
      </c>
      <c r="J2789" s="3">
        <f t="shared" si="631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32"/>
        <v>YES</v>
      </c>
      <c r="Q2789" t="str">
        <f t="shared" si="633"/>
        <v>NO</v>
      </c>
      <c r="R2789" t="str">
        <f t="shared" si="634"/>
        <v>NO</v>
      </c>
      <c r="S2789">
        <v>1667</v>
      </c>
      <c r="T2789" t="s">
        <v>14</v>
      </c>
      <c r="U2789" t="str">
        <f t="shared" si="635"/>
        <v>Massachusetts Ave</v>
      </c>
      <c r="W2789" t="str">
        <f t="shared" si="636"/>
        <v/>
      </c>
      <c r="X2789" t="str">
        <f>IF(ISBLANK(S2789),"Intersection","Non-Intersection")</f>
        <v>Non-Intersection</v>
      </c>
      <c r="Y2789" t="s">
        <v>3812</v>
      </c>
      <c r="Z2789" t="str">
        <f t="shared" si="637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24"/>
        <v>40544</v>
      </c>
      <c r="D2790" s="4">
        <f t="shared" si="625"/>
        <v>0.78356164383561644</v>
      </c>
      <c r="E2790" s="3">
        <f t="shared" si="626"/>
        <v>2011</v>
      </c>
      <c r="F2790" s="3">
        <f t="shared" si="627"/>
        <v>10</v>
      </c>
      <c r="G2790" s="3">
        <f t="shared" si="628"/>
        <v>14</v>
      </c>
      <c r="H2790" s="3">
        <f t="shared" si="629"/>
        <v>9</v>
      </c>
      <c r="I2790" s="3">
        <f t="shared" si="630"/>
        <v>39</v>
      </c>
      <c r="J2790" s="3">
        <f t="shared" si="631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32"/>
        <v>YES</v>
      </c>
      <c r="Q2790" t="str">
        <f t="shared" si="633"/>
        <v>NO</v>
      </c>
      <c r="R2790" t="str">
        <f t="shared" si="634"/>
        <v>NO</v>
      </c>
      <c r="T2790" t="s">
        <v>105</v>
      </c>
      <c r="U2790" t="str">
        <f t="shared" si="635"/>
        <v>Broadway</v>
      </c>
      <c r="V2790" t="s">
        <v>189</v>
      </c>
      <c r="W2790" t="str">
        <f t="shared" si="636"/>
        <v>Windsor St</v>
      </c>
      <c r="X2790" t="str">
        <f>IF(ISBLANK(S2790),"Intersection","Non-Intersection")</f>
        <v>Intersection</v>
      </c>
      <c r="Y2790" t="s">
        <v>477</v>
      </c>
      <c r="Z2790" t="str">
        <f t="shared" si="637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24"/>
        <v>40544</v>
      </c>
      <c r="D2791" s="4">
        <f t="shared" si="625"/>
        <v>0.78356164383561644</v>
      </c>
      <c r="E2791" s="3">
        <f t="shared" si="626"/>
        <v>2011</v>
      </c>
      <c r="F2791" s="3">
        <f t="shared" si="627"/>
        <v>10</v>
      </c>
      <c r="G2791" s="3">
        <f t="shared" si="628"/>
        <v>14</v>
      </c>
      <c r="H2791" s="3">
        <f t="shared" si="629"/>
        <v>7</v>
      </c>
      <c r="I2791" s="3">
        <f t="shared" si="630"/>
        <v>44</v>
      </c>
      <c r="J2791" s="3">
        <f t="shared" si="631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32"/>
        <v>YES</v>
      </c>
      <c r="Q2791" t="str">
        <f t="shared" si="633"/>
        <v>NO</v>
      </c>
      <c r="R2791" t="str">
        <f t="shared" si="634"/>
        <v>NO</v>
      </c>
      <c r="T2791" t="s">
        <v>42</v>
      </c>
      <c r="U2791" t="str">
        <f t="shared" si="635"/>
        <v>Putnam Ave</v>
      </c>
      <c r="V2791" t="s">
        <v>27</v>
      </c>
      <c r="W2791" t="str">
        <f t="shared" si="636"/>
        <v>Western Ave</v>
      </c>
      <c r="X2791" t="str">
        <f>IF(ISBLANK(S2791),"Intersection","Non-Intersection")</f>
        <v>Intersection</v>
      </c>
      <c r="Y2791" t="s">
        <v>3749</v>
      </c>
      <c r="Z2791" t="str">
        <f t="shared" si="637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24"/>
        <v>40544</v>
      </c>
      <c r="D2792" s="4">
        <f t="shared" si="625"/>
        <v>0.78356164383561644</v>
      </c>
      <c r="E2792" s="3">
        <f t="shared" si="626"/>
        <v>2011</v>
      </c>
      <c r="F2792" s="3">
        <f t="shared" si="627"/>
        <v>10</v>
      </c>
      <c r="G2792" s="3">
        <f t="shared" si="628"/>
        <v>14</v>
      </c>
      <c r="H2792" s="3">
        <f t="shared" si="629"/>
        <v>8</v>
      </c>
      <c r="I2792" s="3">
        <f t="shared" si="630"/>
        <v>26</v>
      </c>
      <c r="J2792" s="3">
        <f t="shared" si="631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32"/>
        <v>YES</v>
      </c>
      <c r="Q2792" t="str">
        <f t="shared" si="633"/>
        <v>YES</v>
      </c>
      <c r="R2792" t="str">
        <f t="shared" si="634"/>
        <v>NO</v>
      </c>
      <c r="S2792">
        <v>1000</v>
      </c>
      <c r="T2792" t="s">
        <v>19</v>
      </c>
      <c r="U2792" t="str">
        <f t="shared" si="635"/>
        <v>Cambridge St</v>
      </c>
      <c r="W2792" t="str">
        <f t="shared" si="636"/>
        <v/>
      </c>
      <c r="X2792" t="str">
        <f>IF(ISBLANK(S2792),"Intersection","Non-Intersection")</f>
        <v>Non-Intersection</v>
      </c>
      <c r="Y2792" t="s">
        <v>3814</v>
      </c>
      <c r="Z2792" t="str">
        <f t="shared" si="637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24"/>
        <v>40544</v>
      </c>
      <c r="D2793" s="4">
        <f t="shared" si="625"/>
        <v>0.78356164383561644</v>
      </c>
      <c r="E2793" s="3">
        <f t="shared" si="626"/>
        <v>2011</v>
      </c>
      <c r="F2793" s="3">
        <f t="shared" si="627"/>
        <v>10</v>
      </c>
      <c r="G2793" s="3">
        <f t="shared" si="628"/>
        <v>14</v>
      </c>
      <c r="H2793" s="3">
        <f t="shared" si="629"/>
        <v>8</v>
      </c>
      <c r="I2793" s="3">
        <f t="shared" si="630"/>
        <v>29</v>
      </c>
      <c r="J2793" s="3">
        <f t="shared" si="631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32"/>
        <v>YES</v>
      </c>
      <c r="Q2793" t="str">
        <f t="shared" si="633"/>
        <v>YES</v>
      </c>
      <c r="R2793" t="str">
        <f t="shared" si="634"/>
        <v>NO</v>
      </c>
      <c r="T2793" t="s">
        <v>198</v>
      </c>
      <c r="U2793" t="str">
        <f t="shared" si="635"/>
        <v>Mount Auburn St</v>
      </c>
      <c r="V2793" t="s">
        <v>464</v>
      </c>
      <c r="W2793" t="str">
        <f t="shared" si="636"/>
        <v>Aberdeen Way</v>
      </c>
      <c r="X2793" t="str">
        <f>IF(ISBLANK(S2793),"Intersection","Non-Intersection")</f>
        <v>Intersection</v>
      </c>
      <c r="Y2793" t="s">
        <v>1666</v>
      </c>
      <c r="Z2793" t="str">
        <f t="shared" si="637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24"/>
        <v>40544</v>
      </c>
      <c r="D2794" s="4">
        <f t="shared" si="625"/>
        <v>0.78356164383561644</v>
      </c>
      <c r="E2794" s="3">
        <f t="shared" si="626"/>
        <v>2011</v>
      </c>
      <c r="F2794" s="3">
        <f t="shared" si="627"/>
        <v>10</v>
      </c>
      <c r="G2794" s="3">
        <f t="shared" si="628"/>
        <v>14</v>
      </c>
      <c r="H2794" s="3">
        <f t="shared" si="629"/>
        <v>19</v>
      </c>
      <c r="I2794" s="3">
        <f t="shared" si="630"/>
        <v>31</v>
      </c>
      <c r="J2794" s="3">
        <f t="shared" si="631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32"/>
        <v>YES</v>
      </c>
      <c r="Q2794" t="str">
        <f t="shared" si="633"/>
        <v>NO</v>
      </c>
      <c r="R2794" t="str">
        <f t="shared" si="634"/>
        <v>NO</v>
      </c>
      <c r="T2794" t="s">
        <v>19</v>
      </c>
      <c r="U2794" t="str">
        <f t="shared" si="635"/>
        <v>Cambridge St</v>
      </c>
      <c r="V2794" t="s">
        <v>75</v>
      </c>
      <c r="W2794" t="str">
        <f t="shared" si="636"/>
        <v>Elm St</v>
      </c>
      <c r="X2794" t="str">
        <f>IF(ISBLANK(S2794),"Intersection","Non-Intersection")</f>
        <v>Intersection</v>
      </c>
      <c r="Y2794" t="s">
        <v>321</v>
      </c>
      <c r="Z2794" t="str">
        <f t="shared" si="637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24"/>
        <v>40544</v>
      </c>
      <c r="D2795" s="4">
        <f t="shared" si="625"/>
        <v>0.78356164383561644</v>
      </c>
      <c r="E2795" s="3">
        <f t="shared" si="626"/>
        <v>2011</v>
      </c>
      <c r="F2795" s="3">
        <f t="shared" si="627"/>
        <v>10</v>
      </c>
      <c r="G2795" s="3">
        <f t="shared" si="628"/>
        <v>14</v>
      </c>
      <c r="H2795" s="3">
        <f t="shared" si="629"/>
        <v>7</v>
      </c>
      <c r="I2795" s="3">
        <f t="shared" si="630"/>
        <v>30</v>
      </c>
      <c r="J2795" s="3">
        <f t="shared" si="631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32"/>
        <v>YES</v>
      </c>
      <c r="Q2795" t="str">
        <f t="shared" si="633"/>
        <v>NO</v>
      </c>
      <c r="R2795" t="str">
        <f t="shared" si="634"/>
        <v>NO</v>
      </c>
      <c r="T2795" t="s">
        <v>185</v>
      </c>
      <c r="U2795" t="str">
        <f t="shared" si="635"/>
        <v>Garden St</v>
      </c>
      <c r="V2795" t="s">
        <v>14</v>
      </c>
      <c r="W2795" t="str">
        <f t="shared" si="636"/>
        <v>Massachusetts Ave</v>
      </c>
      <c r="X2795" t="str">
        <f>IF(ISBLANK(S2795),"Intersection","Non-Intersection")</f>
        <v>Intersection</v>
      </c>
      <c r="Y2795" t="s">
        <v>1003</v>
      </c>
      <c r="Z2795" t="str">
        <f t="shared" si="637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24"/>
        <v>40544</v>
      </c>
      <c r="D2796" s="4">
        <f t="shared" si="625"/>
        <v>0.78356164383561644</v>
      </c>
      <c r="E2796" s="3">
        <f t="shared" si="626"/>
        <v>2011</v>
      </c>
      <c r="F2796" s="3">
        <f t="shared" si="627"/>
        <v>10</v>
      </c>
      <c r="G2796" s="3">
        <f t="shared" si="628"/>
        <v>14</v>
      </c>
      <c r="H2796" s="3">
        <f t="shared" si="629"/>
        <v>7</v>
      </c>
      <c r="I2796" s="3">
        <f t="shared" si="630"/>
        <v>44</v>
      </c>
      <c r="J2796" s="3">
        <f t="shared" si="631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32"/>
        <v>YES</v>
      </c>
      <c r="Q2796" t="str">
        <f t="shared" si="633"/>
        <v>YES</v>
      </c>
      <c r="R2796" t="str">
        <f t="shared" si="634"/>
        <v>NO</v>
      </c>
      <c r="T2796" t="s">
        <v>209</v>
      </c>
      <c r="U2796" t="str">
        <f t="shared" si="635"/>
        <v>Binney St</v>
      </c>
      <c r="V2796" t="s">
        <v>147</v>
      </c>
      <c r="W2796" t="str">
        <f t="shared" si="636"/>
        <v>Sixth St</v>
      </c>
      <c r="X2796" t="str">
        <f>IF(ISBLANK(S2796),"Intersection","Non-Intersection")</f>
        <v>Intersection</v>
      </c>
      <c r="Y2796" t="s">
        <v>1876</v>
      </c>
      <c r="Z2796" t="str">
        <f t="shared" si="637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24"/>
        <v>40544</v>
      </c>
      <c r="D2797" s="4">
        <f t="shared" si="625"/>
        <v>0.78356164383561644</v>
      </c>
      <c r="E2797" s="3">
        <f t="shared" si="626"/>
        <v>2011</v>
      </c>
      <c r="F2797" s="3">
        <f t="shared" si="627"/>
        <v>10</v>
      </c>
      <c r="G2797" s="3">
        <f t="shared" si="628"/>
        <v>14</v>
      </c>
      <c r="H2797" s="3">
        <f t="shared" si="629"/>
        <v>15</v>
      </c>
      <c r="I2797" s="3">
        <f t="shared" si="630"/>
        <v>14</v>
      </c>
      <c r="J2797" s="3">
        <f t="shared" si="631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32"/>
        <v>YES</v>
      </c>
      <c r="Q2797" t="str">
        <f t="shared" si="633"/>
        <v>NO</v>
      </c>
      <c r="R2797" t="str">
        <f t="shared" si="634"/>
        <v>NO</v>
      </c>
      <c r="T2797" t="s">
        <v>186</v>
      </c>
      <c r="U2797" t="str">
        <f t="shared" si="635"/>
        <v>Concord Ave</v>
      </c>
      <c r="V2797" t="s">
        <v>287</v>
      </c>
      <c r="W2797" t="str">
        <f t="shared" si="636"/>
        <v>Alpine St</v>
      </c>
      <c r="X2797" t="str">
        <f>IF(ISBLANK(S2797),"Intersection","Non-Intersection")</f>
        <v>Intersection</v>
      </c>
      <c r="Y2797" t="s">
        <v>1130</v>
      </c>
      <c r="Z2797" t="str">
        <f t="shared" si="637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24"/>
        <v>40544</v>
      </c>
      <c r="D2798" s="4">
        <f t="shared" si="625"/>
        <v>0.78356164383561644</v>
      </c>
      <c r="E2798" s="3">
        <f t="shared" si="626"/>
        <v>2011</v>
      </c>
      <c r="F2798" s="3">
        <f t="shared" si="627"/>
        <v>10</v>
      </c>
      <c r="G2798" s="3">
        <f t="shared" si="628"/>
        <v>14</v>
      </c>
      <c r="H2798" s="3">
        <f t="shared" si="629"/>
        <v>9</v>
      </c>
      <c r="I2798" s="3">
        <f t="shared" si="630"/>
        <v>4</v>
      </c>
      <c r="J2798" s="3">
        <f t="shared" si="631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32"/>
        <v>YES</v>
      </c>
      <c r="Q2798" t="str">
        <f t="shared" si="633"/>
        <v>NO</v>
      </c>
      <c r="R2798" t="str">
        <f t="shared" si="634"/>
        <v>NO</v>
      </c>
      <c r="T2798" t="s">
        <v>185</v>
      </c>
      <c r="U2798" t="str">
        <f t="shared" si="635"/>
        <v>Garden St</v>
      </c>
      <c r="V2798" t="s">
        <v>14</v>
      </c>
      <c r="W2798" t="str">
        <f t="shared" si="636"/>
        <v>Massachusetts Ave</v>
      </c>
      <c r="X2798" t="str">
        <f>IF(ISBLANK(S2798),"Intersection","Non-Intersection")</f>
        <v>Intersection</v>
      </c>
      <c r="Y2798" t="s">
        <v>1003</v>
      </c>
      <c r="Z2798" t="str">
        <f t="shared" si="637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24"/>
        <v>40544</v>
      </c>
      <c r="D2799" s="4">
        <f t="shared" si="625"/>
        <v>0.78356164383561644</v>
      </c>
      <c r="E2799" s="3">
        <f t="shared" si="626"/>
        <v>2011</v>
      </c>
      <c r="F2799" s="3">
        <f t="shared" si="627"/>
        <v>10</v>
      </c>
      <c r="G2799" s="3">
        <f t="shared" si="628"/>
        <v>14</v>
      </c>
      <c r="H2799" s="3">
        <f t="shared" si="629"/>
        <v>12</v>
      </c>
      <c r="I2799" s="3">
        <f t="shared" si="630"/>
        <v>14</v>
      </c>
      <c r="J2799" s="3">
        <f t="shared" si="631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32"/>
        <v>YES</v>
      </c>
      <c r="Q2799" t="str">
        <f t="shared" si="633"/>
        <v>NO</v>
      </c>
      <c r="R2799" t="str">
        <f t="shared" si="634"/>
        <v>NO</v>
      </c>
      <c r="T2799" t="s">
        <v>805</v>
      </c>
      <c r="U2799" t="str">
        <f t="shared" si="635"/>
        <v>Trowbridge St</v>
      </c>
      <c r="V2799" t="s">
        <v>133</v>
      </c>
      <c r="W2799" t="str">
        <f t="shared" si="636"/>
        <v>Harvard St</v>
      </c>
      <c r="X2799" t="str">
        <f>IF(ISBLANK(S2799),"Intersection","Non-Intersection")</f>
        <v>Intersection</v>
      </c>
      <c r="Y2799" t="s">
        <v>1699</v>
      </c>
      <c r="Z2799" t="str">
        <f t="shared" si="637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24"/>
        <v>40544</v>
      </c>
      <c r="D2800" s="4">
        <f t="shared" si="625"/>
        <v>0.78356164383561644</v>
      </c>
      <c r="E2800" s="3">
        <f t="shared" si="626"/>
        <v>2011</v>
      </c>
      <c r="F2800" s="3">
        <f t="shared" si="627"/>
        <v>10</v>
      </c>
      <c r="G2800" s="3">
        <f t="shared" si="628"/>
        <v>14</v>
      </c>
      <c r="H2800" s="3">
        <f t="shared" si="629"/>
        <v>16</v>
      </c>
      <c r="I2800" s="3">
        <f t="shared" si="630"/>
        <v>54</v>
      </c>
      <c r="J2800" s="3">
        <f t="shared" si="631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32"/>
        <v>YES</v>
      </c>
      <c r="Q2800" t="str">
        <f t="shared" si="633"/>
        <v>NO</v>
      </c>
      <c r="R2800" t="str">
        <f t="shared" si="634"/>
        <v>NO</v>
      </c>
      <c r="T2800" t="s">
        <v>19</v>
      </c>
      <c r="U2800" t="str">
        <f t="shared" si="635"/>
        <v>Cambridge St</v>
      </c>
      <c r="V2800" t="s">
        <v>101</v>
      </c>
      <c r="W2800" t="str">
        <f t="shared" si="636"/>
        <v>Columbia St</v>
      </c>
      <c r="X2800" t="str">
        <f>IF(ISBLANK(S2800),"Intersection","Non-Intersection")</f>
        <v>Intersection</v>
      </c>
      <c r="Y2800" t="s">
        <v>438</v>
      </c>
      <c r="Z2800" t="str">
        <f t="shared" si="637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24"/>
        <v>40544</v>
      </c>
      <c r="D2801" s="4">
        <f t="shared" si="625"/>
        <v>0.78630136986301369</v>
      </c>
      <c r="E2801" s="3">
        <f t="shared" si="626"/>
        <v>2011</v>
      </c>
      <c r="F2801" s="3">
        <f t="shared" si="627"/>
        <v>10</v>
      </c>
      <c r="G2801" s="3">
        <f t="shared" si="628"/>
        <v>15</v>
      </c>
      <c r="H2801" s="3">
        <f t="shared" si="629"/>
        <v>12</v>
      </c>
      <c r="I2801" s="3">
        <f t="shared" si="630"/>
        <v>0</v>
      </c>
      <c r="J2801" s="3">
        <f t="shared" si="631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32"/>
        <v>YES</v>
      </c>
      <c r="Q2801" t="str">
        <f t="shared" si="633"/>
        <v>YES</v>
      </c>
      <c r="R2801" t="str">
        <f t="shared" si="634"/>
        <v>NO</v>
      </c>
      <c r="T2801" t="s">
        <v>1177</v>
      </c>
      <c r="U2801" t="str">
        <f t="shared" si="635"/>
        <v>Plympton St</v>
      </c>
      <c r="V2801" t="s">
        <v>198</v>
      </c>
      <c r="W2801" t="str">
        <f t="shared" si="636"/>
        <v>Mount Auburn St</v>
      </c>
      <c r="X2801" t="str">
        <f>IF(ISBLANK(S2801),"Intersection","Non-Intersection")</f>
        <v>Intersection</v>
      </c>
      <c r="Y2801" t="s">
        <v>3817</v>
      </c>
      <c r="Z2801" t="str">
        <f t="shared" si="637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24"/>
        <v>40544</v>
      </c>
      <c r="D2802" s="4">
        <f t="shared" si="625"/>
        <v>0.78630136986301369</v>
      </c>
      <c r="E2802" s="3">
        <f t="shared" si="626"/>
        <v>2011</v>
      </c>
      <c r="F2802" s="3">
        <f t="shared" si="627"/>
        <v>10</v>
      </c>
      <c r="G2802" s="3">
        <f t="shared" si="628"/>
        <v>15</v>
      </c>
      <c r="H2802" s="3">
        <f t="shared" si="629"/>
        <v>13</v>
      </c>
      <c r="I2802" s="3">
        <f t="shared" si="630"/>
        <v>48</v>
      </c>
      <c r="J2802" s="3">
        <f t="shared" si="631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32"/>
        <v>NO</v>
      </c>
      <c r="Q2802" t="str">
        <f t="shared" si="633"/>
        <v>NO</v>
      </c>
      <c r="R2802" t="str">
        <f t="shared" si="634"/>
        <v>NO</v>
      </c>
      <c r="T2802" t="s">
        <v>14</v>
      </c>
      <c r="U2802" t="str">
        <f t="shared" si="635"/>
        <v>Massachusetts Ave</v>
      </c>
      <c r="V2802" t="s">
        <v>1582</v>
      </c>
      <c r="W2802" t="str">
        <f t="shared" si="636"/>
        <v>Gold Star Rd</v>
      </c>
      <c r="X2802" t="str">
        <f>IF(ISBLANK(S2802),"Intersection","Non-Intersection")</f>
        <v>Intersection</v>
      </c>
      <c r="Y2802" t="s">
        <v>1625</v>
      </c>
      <c r="Z2802" t="str">
        <f t="shared" si="637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24"/>
        <v>40544</v>
      </c>
      <c r="D2803" s="4">
        <f t="shared" si="625"/>
        <v>0.78630136986301369</v>
      </c>
      <c r="E2803" s="3">
        <f t="shared" si="626"/>
        <v>2011</v>
      </c>
      <c r="F2803" s="3">
        <f t="shared" si="627"/>
        <v>10</v>
      </c>
      <c r="G2803" s="3">
        <f t="shared" si="628"/>
        <v>15</v>
      </c>
      <c r="H2803" s="3">
        <f t="shared" si="629"/>
        <v>15</v>
      </c>
      <c r="I2803" s="3">
        <f t="shared" si="630"/>
        <v>30</v>
      </c>
      <c r="J2803" s="3">
        <f t="shared" si="631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32"/>
        <v>YES</v>
      </c>
      <c r="Q2803" t="str">
        <f t="shared" si="633"/>
        <v>NO</v>
      </c>
      <c r="R2803" t="str">
        <f t="shared" si="634"/>
        <v>NO</v>
      </c>
      <c r="T2803" t="s">
        <v>316</v>
      </c>
      <c r="U2803" t="str">
        <f t="shared" si="635"/>
        <v>Bishop Allen Dr</v>
      </c>
      <c r="W2803" t="str">
        <f t="shared" si="636"/>
        <v/>
      </c>
      <c r="X2803" t="str">
        <f>IF(ISBLANK(S2803),"Intersection","Non-Intersection")</f>
        <v>Intersection</v>
      </c>
      <c r="Y2803" t="s">
        <v>1374</v>
      </c>
      <c r="Z2803" t="str">
        <f t="shared" si="637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24"/>
        <v>40544</v>
      </c>
      <c r="D2804" s="4">
        <f t="shared" si="625"/>
        <v>0.78630136986301369</v>
      </c>
      <c r="E2804" s="3">
        <f t="shared" si="626"/>
        <v>2011</v>
      </c>
      <c r="F2804" s="3">
        <f t="shared" si="627"/>
        <v>10</v>
      </c>
      <c r="G2804" s="3">
        <f t="shared" si="628"/>
        <v>15</v>
      </c>
      <c r="H2804" s="3">
        <f t="shared" si="629"/>
        <v>23</v>
      </c>
      <c r="I2804" s="3">
        <f t="shared" si="630"/>
        <v>0</v>
      </c>
      <c r="J2804" s="3">
        <f t="shared" si="631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32"/>
        <v>YES</v>
      </c>
      <c r="Q2804" t="str">
        <f t="shared" si="633"/>
        <v>NO</v>
      </c>
      <c r="R2804" t="str">
        <f t="shared" si="634"/>
        <v>NO</v>
      </c>
      <c r="S2804">
        <v>323</v>
      </c>
      <c r="T2804" t="s">
        <v>332</v>
      </c>
      <c r="U2804" t="str">
        <f t="shared" si="635"/>
        <v>Allston St</v>
      </c>
      <c r="W2804" t="str">
        <f t="shared" si="636"/>
        <v/>
      </c>
      <c r="X2804" t="str">
        <f>IF(ISBLANK(S2804),"Intersection","Non-Intersection")</f>
        <v>Non-Intersection</v>
      </c>
      <c r="Y2804" t="s">
        <v>3818</v>
      </c>
      <c r="Z2804" t="str">
        <f t="shared" si="637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24"/>
        <v>40544</v>
      </c>
      <c r="D2805" s="4">
        <f t="shared" si="625"/>
        <v>0.78904109589041094</v>
      </c>
      <c r="E2805" s="3">
        <f t="shared" si="626"/>
        <v>2011</v>
      </c>
      <c r="F2805" s="3">
        <f t="shared" si="627"/>
        <v>10</v>
      </c>
      <c r="G2805" s="3">
        <f t="shared" si="628"/>
        <v>16</v>
      </c>
      <c r="H2805" s="3">
        <f t="shared" si="629"/>
        <v>13</v>
      </c>
      <c r="I2805" s="3">
        <f t="shared" si="630"/>
        <v>30</v>
      </c>
      <c r="J2805" s="3">
        <f t="shared" si="631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32"/>
        <v>YES</v>
      </c>
      <c r="Q2805" t="str">
        <f t="shared" si="633"/>
        <v>NO</v>
      </c>
      <c r="R2805" t="str">
        <f t="shared" si="634"/>
        <v>NO</v>
      </c>
      <c r="S2805">
        <v>545</v>
      </c>
      <c r="T2805" t="s">
        <v>186</v>
      </c>
      <c r="U2805" t="str">
        <f t="shared" si="635"/>
        <v>Concord Ave</v>
      </c>
      <c r="W2805" t="str">
        <f t="shared" si="636"/>
        <v/>
      </c>
      <c r="X2805" t="str">
        <f>IF(ISBLANK(S2805),"Intersection","Non-Intersection")</f>
        <v>Non-Intersection</v>
      </c>
      <c r="Y2805" t="s">
        <v>3820</v>
      </c>
      <c r="Z2805" t="str">
        <f t="shared" si="637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24"/>
        <v>40544</v>
      </c>
      <c r="D2806" s="4">
        <f t="shared" si="625"/>
        <v>0.78904109589041094</v>
      </c>
      <c r="E2806" s="3">
        <f t="shared" si="626"/>
        <v>2011</v>
      </c>
      <c r="F2806" s="3">
        <f t="shared" si="627"/>
        <v>10</v>
      </c>
      <c r="G2806" s="3">
        <f t="shared" si="628"/>
        <v>16</v>
      </c>
      <c r="H2806" s="3">
        <f t="shared" si="629"/>
        <v>12</v>
      </c>
      <c r="I2806" s="3">
        <f t="shared" si="630"/>
        <v>30</v>
      </c>
      <c r="J2806" s="3">
        <f t="shared" si="631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32"/>
        <v>YES</v>
      </c>
      <c r="Q2806" t="str">
        <f t="shared" si="633"/>
        <v>NO</v>
      </c>
      <c r="R2806" t="str">
        <f t="shared" si="634"/>
        <v>NO</v>
      </c>
      <c r="S2806">
        <v>330</v>
      </c>
      <c r="T2806" t="s">
        <v>41</v>
      </c>
      <c r="U2806" t="str">
        <f t="shared" si="635"/>
        <v>River St</v>
      </c>
      <c r="W2806" t="str">
        <f t="shared" si="636"/>
        <v/>
      </c>
      <c r="X2806" t="str">
        <f>IF(ISBLANK(S2806),"Intersection","Non-Intersection")</f>
        <v>Non-Intersection</v>
      </c>
      <c r="Y2806" t="s">
        <v>1098</v>
      </c>
      <c r="Z2806" t="str">
        <f t="shared" si="637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38">EOMONTH(B2807,MONTH(B2807)*-1)+1</f>
        <v>40544</v>
      </c>
      <c r="D2807" s="4">
        <f t="shared" ref="D2807:D2869" si="639">YEARFRAC(C2807,B2807,1)</f>
        <v>0.78904109589041094</v>
      </c>
      <c r="E2807" s="3">
        <f t="shared" ref="E2807:E2869" si="640">YEAR(B2807)</f>
        <v>2011</v>
      </c>
      <c r="F2807" s="3">
        <f t="shared" ref="F2807:F2869" si="641">MONTH(B2807)</f>
        <v>10</v>
      </c>
      <c r="G2807" s="3">
        <f t="shared" ref="G2807:G2869" si="642">DAY(B2807)</f>
        <v>16</v>
      </c>
      <c r="H2807" s="3">
        <f t="shared" ref="H2807:H2869" si="643">HOUR(B2807)</f>
        <v>13</v>
      </c>
      <c r="I2807" s="3">
        <f t="shared" ref="I2807:I2869" si="644">MINUTE(B2807)</f>
        <v>30</v>
      </c>
      <c r="J2807" s="3">
        <f t="shared" ref="J2807:J2869" si="645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46">IF(OR(N2807="Auto",O2807="Auto"),"YES",IF(OR(N2807="Taxi",O2807="Taxi"),"YES",IF(OR(N2807="Van",O2807="Van"),"YES",IF(OR(N2807="Truck",O2807="Truck"),"YES","NO"))))</f>
        <v>YES</v>
      </c>
      <c r="Q2807" t="str">
        <f t="shared" ref="Q2807:Q2869" si="647">IF(OR(N2807="Bicycle",O2807="Bicycle"),"YES","NO")</f>
        <v>NO</v>
      </c>
      <c r="R2807" t="str">
        <f t="shared" ref="R2807:R2869" si="648">IF(OR(N2807="Pedestrian",O2807="Pedestrian"),"YES","NO")</f>
        <v>NO</v>
      </c>
      <c r="S2807">
        <v>185</v>
      </c>
      <c r="T2807" t="s">
        <v>170</v>
      </c>
      <c r="U2807" t="str">
        <f t="shared" si="635"/>
        <v>Alewife Brook Pky</v>
      </c>
      <c r="W2807" t="str">
        <f t="shared" si="636"/>
        <v/>
      </c>
      <c r="X2807" t="str">
        <f>IF(ISBLANK(S2807),"Intersection","Non-Intersection")</f>
        <v>Non-Intersection</v>
      </c>
      <c r="Y2807" t="s">
        <v>3822</v>
      </c>
      <c r="Z2807" t="str">
        <f t="shared" si="637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38"/>
        <v>40544</v>
      </c>
      <c r="D2808" s="4">
        <f t="shared" si="639"/>
        <v>0.79178082191780819</v>
      </c>
      <c r="E2808" s="3">
        <f t="shared" si="640"/>
        <v>2011</v>
      </c>
      <c r="F2808" s="3">
        <f t="shared" si="641"/>
        <v>10</v>
      </c>
      <c r="G2808" s="3">
        <f t="shared" si="642"/>
        <v>17</v>
      </c>
      <c r="H2808" s="3">
        <f t="shared" si="643"/>
        <v>15</v>
      </c>
      <c r="I2808" s="3">
        <f t="shared" si="644"/>
        <v>49</v>
      </c>
      <c r="J2808" s="3">
        <f t="shared" si="645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46"/>
        <v>YES</v>
      </c>
      <c r="Q2808" t="str">
        <f t="shared" si="647"/>
        <v>NO</v>
      </c>
      <c r="R2808" t="str">
        <f t="shared" si="648"/>
        <v>NO</v>
      </c>
      <c r="T2808" t="s">
        <v>198</v>
      </c>
      <c r="U2808" t="str">
        <f t="shared" si="635"/>
        <v>Mount Auburn St</v>
      </c>
      <c r="V2808" t="s">
        <v>50</v>
      </c>
      <c r="W2808" t="str">
        <f t="shared" si="636"/>
        <v>Belmont St</v>
      </c>
      <c r="X2808" t="str">
        <f>IF(ISBLANK(S2808),"Intersection","Non-Intersection")</f>
        <v>Intersection</v>
      </c>
      <c r="Y2808" t="s">
        <v>3121</v>
      </c>
      <c r="Z2808" t="str">
        <f t="shared" si="637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38"/>
        <v>40544</v>
      </c>
      <c r="D2809" s="4">
        <f t="shared" si="639"/>
        <v>0.79178082191780819</v>
      </c>
      <c r="E2809" s="3">
        <f t="shared" si="640"/>
        <v>2011</v>
      </c>
      <c r="F2809" s="3">
        <f t="shared" si="641"/>
        <v>10</v>
      </c>
      <c r="G2809" s="3">
        <f t="shared" si="642"/>
        <v>17</v>
      </c>
      <c r="H2809" s="3">
        <f t="shared" si="643"/>
        <v>15</v>
      </c>
      <c r="I2809" s="3">
        <f t="shared" si="644"/>
        <v>59</v>
      </c>
      <c r="J2809" s="3">
        <f t="shared" si="645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46"/>
        <v>YES</v>
      </c>
      <c r="Q2809" t="str">
        <f t="shared" si="647"/>
        <v>NO</v>
      </c>
      <c r="R2809" t="str">
        <f t="shared" si="648"/>
        <v>YES</v>
      </c>
      <c r="T2809" t="s">
        <v>745</v>
      </c>
      <c r="U2809" t="str">
        <f t="shared" si="635"/>
        <v>Norfolk St</v>
      </c>
      <c r="V2809" t="s">
        <v>316</v>
      </c>
      <c r="W2809" t="str">
        <f t="shared" si="636"/>
        <v>Bishop Allen Dr</v>
      </c>
      <c r="X2809" t="str">
        <f>IF(ISBLANK(S2809),"Intersection","Non-Intersection")</f>
        <v>Intersection</v>
      </c>
      <c r="Y2809" t="s">
        <v>3824</v>
      </c>
      <c r="Z2809" t="str">
        <f t="shared" si="637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38"/>
        <v>40544</v>
      </c>
      <c r="D2810" s="4">
        <f t="shared" si="639"/>
        <v>0.79178082191780819</v>
      </c>
      <c r="E2810" s="3">
        <f t="shared" si="640"/>
        <v>2011</v>
      </c>
      <c r="F2810" s="3">
        <f t="shared" si="641"/>
        <v>10</v>
      </c>
      <c r="G2810" s="3">
        <f t="shared" si="642"/>
        <v>17</v>
      </c>
      <c r="H2810" s="3">
        <f t="shared" si="643"/>
        <v>19</v>
      </c>
      <c r="I2810" s="3">
        <f t="shared" si="644"/>
        <v>25</v>
      </c>
      <c r="J2810" s="3">
        <f t="shared" si="645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46"/>
        <v>YES</v>
      </c>
      <c r="Q2810" t="str">
        <f t="shared" si="647"/>
        <v>NO</v>
      </c>
      <c r="R2810" t="str">
        <f t="shared" si="648"/>
        <v>NO</v>
      </c>
      <c r="S2810">
        <v>679</v>
      </c>
      <c r="T2810" t="s">
        <v>32</v>
      </c>
      <c r="U2810" t="str">
        <f t="shared" si="635"/>
        <v>Main St</v>
      </c>
      <c r="V2810" t="s">
        <v>515</v>
      </c>
      <c r="W2810" t="str">
        <f t="shared" si="636"/>
        <v>Newtowne Ct</v>
      </c>
      <c r="X2810" t="str">
        <f>IF(ISBLANK(S2810),"Intersection","Non-Intersection")</f>
        <v>Non-Intersection</v>
      </c>
      <c r="Y2810" t="s">
        <v>3825</v>
      </c>
      <c r="Z2810" t="str">
        <f t="shared" si="637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38"/>
        <v>40544</v>
      </c>
      <c r="D2811" s="4">
        <f t="shared" si="639"/>
        <v>0.79452054794520544</v>
      </c>
      <c r="E2811" s="3">
        <f t="shared" si="640"/>
        <v>2011</v>
      </c>
      <c r="F2811" s="3">
        <f t="shared" si="641"/>
        <v>10</v>
      </c>
      <c r="G2811" s="3">
        <f t="shared" si="642"/>
        <v>18</v>
      </c>
      <c r="H2811" s="3">
        <f t="shared" si="643"/>
        <v>12</v>
      </c>
      <c r="I2811" s="3">
        <f t="shared" si="644"/>
        <v>30</v>
      </c>
      <c r="J2811" s="3">
        <f t="shared" si="645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46"/>
        <v>YES</v>
      </c>
      <c r="Q2811" t="str">
        <f t="shared" si="647"/>
        <v>NO</v>
      </c>
      <c r="R2811" t="str">
        <f t="shared" si="648"/>
        <v>NO</v>
      </c>
      <c r="T2811" t="s">
        <v>19</v>
      </c>
      <c r="U2811" t="str">
        <f t="shared" si="635"/>
        <v>Cambridge St</v>
      </c>
      <c r="V2811" t="s">
        <v>1006</v>
      </c>
      <c r="W2811" t="str">
        <f t="shared" si="636"/>
        <v>Irving St</v>
      </c>
      <c r="X2811" t="str">
        <f>IF(ISBLANK(S2811),"Intersection","Non-Intersection")</f>
        <v>Intersection</v>
      </c>
      <c r="Y2811" t="s">
        <v>2309</v>
      </c>
      <c r="Z2811" t="str">
        <f t="shared" si="637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38"/>
        <v>40544</v>
      </c>
      <c r="D2812" s="4">
        <f t="shared" si="639"/>
        <v>0.79452054794520544</v>
      </c>
      <c r="E2812" s="3">
        <f t="shared" si="640"/>
        <v>2011</v>
      </c>
      <c r="F2812" s="3">
        <f t="shared" si="641"/>
        <v>10</v>
      </c>
      <c r="G2812" s="3">
        <f t="shared" si="642"/>
        <v>18</v>
      </c>
      <c r="H2812" s="3">
        <f t="shared" si="643"/>
        <v>7</v>
      </c>
      <c r="I2812" s="3">
        <f t="shared" si="644"/>
        <v>50</v>
      </c>
      <c r="J2812" s="3">
        <f t="shared" si="645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46"/>
        <v>YES</v>
      </c>
      <c r="Q2812" t="str">
        <f t="shared" si="647"/>
        <v>YES</v>
      </c>
      <c r="R2812" t="str">
        <f t="shared" si="648"/>
        <v>NO</v>
      </c>
      <c r="T2812" t="s">
        <v>186</v>
      </c>
      <c r="U2812" t="str">
        <f t="shared" si="635"/>
        <v>Concord Ave</v>
      </c>
      <c r="V2812" t="s">
        <v>142</v>
      </c>
      <c r="W2812" t="str">
        <f t="shared" si="636"/>
        <v>Huron Ave</v>
      </c>
      <c r="X2812" t="str">
        <f>IF(ISBLANK(S2812),"Intersection","Non-Intersection")</f>
        <v>Intersection</v>
      </c>
      <c r="Y2812" t="s">
        <v>3373</v>
      </c>
      <c r="Z2812" t="str">
        <f t="shared" si="637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38"/>
        <v>40544</v>
      </c>
      <c r="D2813" s="4">
        <f t="shared" si="639"/>
        <v>0.79452054794520544</v>
      </c>
      <c r="E2813" s="3">
        <f t="shared" si="640"/>
        <v>2011</v>
      </c>
      <c r="F2813" s="3">
        <f t="shared" si="641"/>
        <v>10</v>
      </c>
      <c r="G2813" s="3">
        <f t="shared" si="642"/>
        <v>18</v>
      </c>
      <c r="H2813" s="3">
        <f t="shared" si="643"/>
        <v>9</v>
      </c>
      <c r="I2813" s="3">
        <f t="shared" si="644"/>
        <v>49</v>
      </c>
      <c r="J2813" s="3">
        <f t="shared" si="645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46"/>
        <v>YES</v>
      </c>
      <c r="Q2813" t="str">
        <f t="shared" si="647"/>
        <v>NO</v>
      </c>
      <c r="R2813" t="str">
        <f t="shared" si="648"/>
        <v>NO</v>
      </c>
      <c r="T2813" t="s">
        <v>198</v>
      </c>
      <c r="U2813" t="str">
        <f t="shared" si="635"/>
        <v>Mount Auburn St</v>
      </c>
      <c r="V2813" t="s">
        <v>1906</v>
      </c>
      <c r="W2813" t="str">
        <f t="shared" si="636"/>
        <v>Holyoke St</v>
      </c>
      <c r="X2813" t="str">
        <f>IF(ISBLANK(S2813),"Intersection","Non-Intersection")</f>
        <v>Intersection</v>
      </c>
      <c r="Y2813" t="s">
        <v>3827</v>
      </c>
      <c r="Z2813" t="str">
        <f t="shared" si="637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38"/>
        <v>40544</v>
      </c>
      <c r="D2814" s="4">
        <f t="shared" si="639"/>
        <v>0.79452054794520544</v>
      </c>
      <c r="E2814" s="3">
        <f t="shared" si="640"/>
        <v>2011</v>
      </c>
      <c r="F2814" s="3">
        <f t="shared" si="641"/>
        <v>10</v>
      </c>
      <c r="G2814" s="3">
        <f t="shared" si="642"/>
        <v>18</v>
      </c>
      <c r="H2814" s="3">
        <f t="shared" si="643"/>
        <v>18</v>
      </c>
      <c r="I2814" s="3">
        <f t="shared" si="644"/>
        <v>33</v>
      </c>
      <c r="J2814" s="3">
        <f t="shared" si="645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46"/>
        <v>YES</v>
      </c>
      <c r="Q2814" t="str">
        <f t="shared" si="647"/>
        <v>NO</v>
      </c>
      <c r="R2814" t="str">
        <f t="shared" si="648"/>
        <v>YES</v>
      </c>
      <c r="T2814" t="s">
        <v>14</v>
      </c>
      <c r="U2814" t="str">
        <f t="shared" si="635"/>
        <v>Massachusetts Ave</v>
      </c>
      <c r="V2814" t="s">
        <v>1095</v>
      </c>
      <c r="W2814" t="str">
        <f t="shared" si="636"/>
        <v>Churchill Ave</v>
      </c>
      <c r="X2814" t="str">
        <f>IF(ISBLANK(S2814),"Intersection","Non-Intersection")</f>
        <v>Intersection</v>
      </c>
      <c r="Y2814" t="s">
        <v>2671</v>
      </c>
      <c r="Z2814" t="str">
        <f t="shared" si="637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38"/>
        <v>40544</v>
      </c>
      <c r="D2815" s="4">
        <f t="shared" si="639"/>
        <v>0.79452054794520544</v>
      </c>
      <c r="E2815" s="3">
        <f t="shared" si="640"/>
        <v>2011</v>
      </c>
      <c r="F2815" s="3">
        <f t="shared" si="641"/>
        <v>10</v>
      </c>
      <c r="G2815" s="3">
        <f t="shared" si="642"/>
        <v>18</v>
      </c>
      <c r="H2815" s="3">
        <f t="shared" si="643"/>
        <v>22</v>
      </c>
      <c r="I2815" s="3">
        <f t="shared" si="644"/>
        <v>15</v>
      </c>
      <c r="J2815" s="3">
        <f t="shared" si="645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46"/>
        <v>YES</v>
      </c>
      <c r="Q2815" t="str">
        <f t="shared" si="647"/>
        <v>YES</v>
      </c>
      <c r="R2815" t="str">
        <f t="shared" si="648"/>
        <v>NO</v>
      </c>
      <c r="T2815" t="s">
        <v>14</v>
      </c>
      <c r="U2815" t="str">
        <f t="shared" si="635"/>
        <v>Massachusetts Ave</v>
      </c>
      <c r="V2815" t="s">
        <v>119</v>
      </c>
      <c r="W2815" t="str">
        <f t="shared" si="636"/>
        <v>Albany St</v>
      </c>
      <c r="X2815" t="str">
        <f>IF(ISBLANK(S2815),"Intersection","Non-Intersection")</f>
        <v>Intersection</v>
      </c>
      <c r="Y2815" t="s">
        <v>247</v>
      </c>
      <c r="Z2815" t="str">
        <f t="shared" si="637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38"/>
        <v>40544</v>
      </c>
      <c r="D2816" s="4">
        <f t="shared" si="639"/>
        <v>0.79452054794520544</v>
      </c>
      <c r="E2816" s="3">
        <f t="shared" si="640"/>
        <v>2011</v>
      </c>
      <c r="F2816" s="3">
        <f t="shared" si="641"/>
        <v>10</v>
      </c>
      <c r="G2816" s="3">
        <f t="shared" si="642"/>
        <v>18</v>
      </c>
      <c r="H2816" s="3">
        <f t="shared" si="643"/>
        <v>14</v>
      </c>
      <c r="I2816" s="3">
        <f t="shared" si="644"/>
        <v>49</v>
      </c>
      <c r="J2816" s="3">
        <f t="shared" si="645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46"/>
        <v>YES</v>
      </c>
      <c r="Q2816" t="str">
        <f t="shared" si="647"/>
        <v>NO</v>
      </c>
      <c r="R2816" t="str">
        <f t="shared" si="648"/>
        <v>NO</v>
      </c>
      <c r="T2816" t="s">
        <v>74</v>
      </c>
      <c r="U2816" t="str">
        <f t="shared" si="635"/>
        <v>Hampshire St</v>
      </c>
      <c r="V2816" t="s">
        <v>342</v>
      </c>
      <c r="W2816" t="str">
        <f t="shared" si="636"/>
        <v>Prospect St</v>
      </c>
      <c r="X2816" t="str">
        <f>IF(ISBLANK(S2816),"Intersection","Non-Intersection")</f>
        <v>Intersection</v>
      </c>
      <c r="Y2816" t="s">
        <v>462</v>
      </c>
      <c r="Z2816" t="str">
        <f t="shared" si="637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38"/>
        <v>40544</v>
      </c>
      <c r="D2817" s="4">
        <f t="shared" si="639"/>
        <v>0.79726027397260268</v>
      </c>
      <c r="E2817" s="3">
        <f t="shared" si="640"/>
        <v>2011</v>
      </c>
      <c r="F2817" s="3">
        <f t="shared" si="641"/>
        <v>10</v>
      </c>
      <c r="G2817" s="3">
        <f t="shared" si="642"/>
        <v>19</v>
      </c>
      <c r="H2817" s="3">
        <f t="shared" si="643"/>
        <v>21</v>
      </c>
      <c r="I2817" s="3">
        <f t="shared" si="644"/>
        <v>34</v>
      </c>
      <c r="J2817" s="3">
        <f t="shared" si="645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46"/>
        <v>YES</v>
      </c>
      <c r="Q2817" t="str">
        <f t="shared" si="647"/>
        <v>NO</v>
      </c>
      <c r="R2817" t="str">
        <f t="shared" si="648"/>
        <v>NO</v>
      </c>
      <c r="T2817" t="s">
        <v>32</v>
      </c>
      <c r="U2817" t="str">
        <f t="shared" si="635"/>
        <v>Main St</v>
      </c>
      <c r="V2817" t="s">
        <v>189</v>
      </c>
      <c r="W2817" t="str">
        <f t="shared" si="636"/>
        <v>Windsor St</v>
      </c>
      <c r="X2817" t="str">
        <f>IF(ISBLANK(S2817),"Intersection","Non-Intersection")</f>
        <v>Intersection</v>
      </c>
      <c r="Y2817" t="s">
        <v>1737</v>
      </c>
      <c r="Z2817" t="str">
        <f t="shared" si="637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38"/>
        <v>40544</v>
      </c>
      <c r="D2818" s="4">
        <f t="shared" si="639"/>
        <v>0.79726027397260268</v>
      </c>
      <c r="E2818" s="3">
        <f t="shared" si="640"/>
        <v>2011</v>
      </c>
      <c r="F2818" s="3">
        <f t="shared" si="641"/>
        <v>10</v>
      </c>
      <c r="G2818" s="3">
        <f t="shared" si="642"/>
        <v>19</v>
      </c>
      <c r="H2818" s="3">
        <f t="shared" si="643"/>
        <v>9</v>
      </c>
      <c r="I2818" s="3">
        <f t="shared" si="644"/>
        <v>30</v>
      </c>
      <c r="J2818" s="3">
        <f t="shared" si="645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46"/>
        <v>YES</v>
      </c>
      <c r="Q2818" t="str">
        <f t="shared" si="647"/>
        <v>NO</v>
      </c>
      <c r="R2818" t="str">
        <f t="shared" si="648"/>
        <v>NO</v>
      </c>
      <c r="T2818" t="s">
        <v>1177</v>
      </c>
      <c r="U2818" t="str">
        <f t="shared" si="635"/>
        <v>Plympton St</v>
      </c>
      <c r="V2818" t="s">
        <v>3829</v>
      </c>
      <c r="W2818" t="str">
        <f t="shared" si="636"/>
        <v>Mill St</v>
      </c>
      <c r="X2818" t="str">
        <f>IF(ISBLANK(S2818),"Intersection","Non-Intersection")</f>
        <v>Intersection</v>
      </c>
      <c r="Y2818" t="s">
        <v>3830</v>
      </c>
      <c r="Z2818" t="str">
        <f t="shared" si="637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38"/>
        <v>40544</v>
      </c>
      <c r="D2819" s="4">
        <f t="shared" si="639"/>
        <v>0.79726027397260268</v>
      </c>
      <c r="E2819" s="3">
        <f t="shared" si="640"/>
        <v>2011</v>
      </c>
      <c r="F2819" s="3">
        <f t="shared" si="641"/>
        <v>10</v>
      </c>
      <c r="G2819" s="3">
        <f t="shared" si="642"/>
        <v>19</v>
      </c>
      <c r="H2819" s="3">
        <f t="shared" si="643"/>
        <v>20</v>
      </c>
      <c r="I2819" s="3">
        <f t="shared" si="644"/>
        <v>7</v>
      </c>
      <c r="J2819" s="3">
        <f t="shared" si="645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46"/>
        <v>YES</v>
      </c>
      <c r="Q2819" t="str">
        <f t="shared" si="647"/>
        <v>NO</v>
      </c>
      <c r="R2819" t="str">
        <f t="shared" si="648"/>
        <v>YES</v>
      </c>
      <c r="T2819" t="s">
        <v>14</v>
      </c>
      <c r="U2819" t="str">
        <f t="shared" ref="U2819:U2882" si="649">TRIM(PROPER(T2819))</f>
        <v>Massachusetts Ave</v>
      </c>
      <c r="V2819" t="s">
        <v>27</v>
      </c>
      <c r="W2819" t="str">
        <f t="shared" ref="W2819:W2882" si="650">TRIM(PROPER(V2819))</f>
        <v>Western Ave</v>
      </c>
      <c r="X2819" t="str">
        <f>IF(ISBLANK(S2819),"Intersection","Non-Intersection")</f>
        <v>Intersection</v>
      </c>
      <c r="Y2819" t="s">
        <v>3832</v>
      </c>
      <c r="Z2819" t="str">
        <f t="shared" ref="Z2819:Z2882" si="651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38"/>
        <v>40544</v>
      </c>
      <c r="D2820" s="4">
        <f t="shared" si="639"/>
        <v>0.79726027397260268</v>
      </c>
      <c r="E2820" s="3">
        <f t="shared" si="640"/>
        <v>2011</v>
      </c>
      <c r="F2820" s="3">
        <f t="shared" si="641"/>
        <v>10</v>
      </c>
      <c r="G2820" s="3">
        <f t="shared" si="642"/>
        <v>19</v>
      </c>
      <c r="H2820" s="3">
        <f t="shared" si="643"/>
        <v>13</v>
      </c>
      <c r="I2820" s="3">
        <f t="shared" si="644"/>
        <v>44</v>
      </c>
      <c r="J2820" s="3">
        <f t="shared" si="645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46"/>
        <v>YES</v>
      </c>
      <c r="Q2820" t="str">
        <f t="shared" si="647"/>
        <v>NO</v>
      </c>
      <c r="R2820" t="str">
        <f t="shared" si="648"/>
        <v>NO</v>
      </c>
      <c r="T2820" t="s">
        <v>50</v>
      </c>
      <c r="U2820" t="str">
        <f t="shared" si="649"/>
        <v>Belmont St</v>
      </c>
      <c r="V2820" t="s">
        <v>899</v>
      </c>
      <c r="W2820" t="str">
        <f t="shared" si="650"/>
        <v>Cushing St</v>
      </c>
      <c r="X2820" t="str">
        <f>IF(ISBLANK(S2820),"Intersection","Non-Intersection")</f>
        <v>Intersection</v>
      </c>
      <c r="Y2820" t="s">
        <v>900</v>
      </c>
      <c r="Z2820" t="str">
        <f t="shared" si="651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38"/>
        <v>40544</v>
      </c>
      <c r="D2821" s="4">
        <f t="shared" si="639"/>
        <v>0.8</v>
      </c>
      <c r="E2821" s="3">
        <f t="shared" si="640"/>
        <v>2011</v>
      </c>
      <c r="F2821" s="3">
        <f t="shared" si="641"/>
        <v>10</v>
      </c>
      <c r="G2821" s="3">
        <f t="shared" si="642"/>
        <v>20</v>
      </c>
      <c r="H2821" s="3">
        <f t="shared" si="643"/>
        <v>6</v>
      </c>
      <c r="I2821" s="3">
        <f t="shared" si="644"/>
        <v>59</v>
      </c>
      <c r="J2821" s="3">
        <f t="shared" si="645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46"/>
        <v>YES</v>
      </c>
      <c r="Q2821" t="str">
        <f t="shared" si="647"/>
        <v>NO</v>
      </c>
      <c r="R2821" t="str">
        <f t="shared" si="648"/>
        <v>NO</v>
      </c>
      <c r="S2821">
        <v>10</v>
      </c>
      <c r="T2821" t="s">
        <v>899</v>
      </c>
      <c r="U2821" t="str">
        <f t="shared" si="649"/>
        <v>Cushing St</v>
      </c>
      <c r="W2821" t="str">
        <f t="shared" si="650"/>
        <v/>
      </c>
      <c r="X2821" t="str">
        <f>IF(ISBLANK(S2821),"Intersection","Non-Intersection")</f>
        <v>Non-Intersection</v>
      </c>
      <c r="Y2821" t="s">
        <v>3833</v>
      </c>
      <c r="Z2821" t="str">
        <f t="shared" si="651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38"/>
        <v>40544</v>
      </c>
      <c r="D2822" s="4">
        <f t="shared" si="639"/>
        <v>0.8</v>
      </c>
      <c r="E2822" s="3">
        <f t="shared" si="640"/>
        <v>2011</v>
      </c>
      <c r="F2822" s="3">
        <f t="shared" si="641"/>
        <v>10</v>
      </c>
      <c r="G2822" s="3">
        <f t="shared" si="642"/>
        <v>20</v>
      </c>
      <c r="H2822" s="3">
        <f t="shared" si="643"/>
        <v>8</v>
      </c>
      <c r="I2822" s="3">
        <f t="shared" si="644"/>
        <v>39</v>
      </c>
      <c r="J2822" s="3">
        <f t="shared" si="645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46"/>
        <v>YES</v>
      </c>
      <c r="Q2822" t="str">
        <f t="shared" si="647"/>
        <v>YES</v>
      </c>
      <c r="R2822" t="str">
        <f t="shared" si="648"/>
        <v>NO</v>
      </c>
      <c r="T2822" t="s">
        <v>14</v>
      </c>
      <c r="U2822" t="str">
        <f t="shared" si="649"/>
        <v>Massachusetts Ave</v>
      </c>
      <c r="V2822" t="s">
        <v>1426</v>
      </c>
      <c r="W2822" t="str">
        <f t="shared" si="650"/>
        <v>Rice St</v>
      </c>
      <c r="X2822" t="str">
        <f>IF(ISBLANK(S2822),"Intersection","Non-Intersection")</f>
        <v>Intersection</v>
      </c>
      <c r="Y2822" t="s">
        <v>2369</v>
      </c>
      <c r="Z2822" t="str">
        <f t="shared" si="651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38"/>
        <v>40544</v>
      </c>
      <c r="D2823" s="4">
        <f t="shared" si="639"/>
        <v>0.8</v>
      </c>
      <c r="E2823" s="3">
        <f t="shared" si="640"/>
        <v>2011</v>
      </c>
      <c r="F2823" s="3">
        <f t="shared" si="641"/>
        <v>10</v>
      </c>
      <c r="G2823" s="3">
        <f t="shared" si="642"/>
        <v>20</v>
      </c>
      <c r="H2823" s="3">
        <f t="shared" si="643"/>
        <v>12</v>
      </c>
      <c r="I2823" s="3">
        <f t="shared" si="644"/>
        <v>14</v>
      </c>
      <c r="J2823" s="3">
        <f t="shared" si="645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46"/>
        <v>YES</v>
      </c>
      <c r="Q2823" t="str">
        <f t="shared" si="647"/>
        <v>NO</v>
      </c>
      <c r="R2823" t="str">
        <f t="shared" si="648"/>
        <v>NO</v>
      </c>
      <c r="T2823" t="s">
        <v>1985</v>
      </c>
      <c r="U2823" t="str">
        <f t="shared" si="649"/>
        <v>Kelley St</v>
      </c>
      <c r="V2823" t="s">
        <v>41</v>
      </c>
      <c r="W2823" t="str">
        <f t="shared" si="650"/>
        <v>River St</v>
      </c>
      <c r="X2823" t="str">
        <f>IF(ISBLANK(S2823),"Intersection","Non-Intersection")</f>
        <v>Intersection</v>
      </c>
      <c r="Y2823" t="s">
        <v>1986</v>
      </c>
      <c r="Z2823" t="str">
        <f t="shared" si="651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38"/>
        <v>40544</v>
      </c>
      <c r="D2824" s="4">
        <f t="shared" si="639"/>
        <v>0.8</v>
      </c>
      <c r="E2824" s="3">
        <f t="shared" si="640"/>
        <v>2011</v>
      </c>
      <c r="F2824" s="3">
        <f t="shared" si="641"/>
        <v>10</v>
      </c>
      <c r="G2824" s="3">
        <f t="shared" si="642"/>
        <v>20</v>
      </c>
      <c r="H2824" s="3">
        <f t="shared" si="643"/>
        <v>7</v>
      </c>
      <c r="I2824" s="3">
        <f t="shared" si="644"/>
        <v>50</v>
      </c>
      <c r="J2824" s="3">
        <f t="shared" si="645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46"/>
        <v>YES</v>
      </c>
      <c r="Q2824" t="str">
        <f t="shared" si="647"/>
        <v>NO</v>
      </c>
      <c r="R2824" t="str">
        <f t="shared" si="648"/>
        <v>NO</v>
      </c>
      <c r="T2824" t="s">
        <v>340</v>
      </c>
      <c r="U2824" t="str">
        <f t="shared" si="649"/>
        <v>Davenport St</v>
      </c>
      <c r="V2824" t="s">
        <v>75</v>
      </c>
      <c r="W2824" t="str">
        <f t="shared" si="650"/>
        <v>Elm St</v>
      </c>
      <c r="X2824" t="str">
        <f>IF(ISBLANK(S2824),"Intersection","Non-Intersection")</f>
        <v>Intersection</v>
      </c>
      <c r="Y2824" t="s">
        <v>3834</v>
      </c>
      <c r="Z2824" t="str">
        <f t="shared" si="651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38"/>
        <v>40544</v>
      </c>
      <c r="D2825" s="4">
        <f t="shared" si="639"/>
        <v>0.8</v>
      </c>
      <c r="E2825" s="3">
        <f t="shared" si="640"/>
        <v>2011</v>
      </c>
      <c r="F2825" s="3">
        <f t="shared" si="641"/>
        <v>10</v>
      </c>
      <c r="G2825" s="3">
        <f t="shared" si="642"/>
        <v>20</v>
      </c>
      <c r="H2825" s="3">
        <f t="shared" si="643"/>
        <v>13</v>
      </c>
      <c r="I2825" s="3">
        <f t="shared" si="644"/>
        <v>9</v>
      </c>
      <c r="J2825" s="3">
        <f t="shared" si="645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46"/>
        <v>YES</v>
      </c>
      <c r="Q2825" t="str">
        <f t="shared" si="647"/>
        <v>NO</v>
      </c>
      <c r="R2825" t="str">
        <f t="shared" si="648"/>
        <v>NO</v>
      </c>
      <c r="T2825" t="s">
        <v>302</v>
      </c>
      <c r="U2825" t="str">
        <f t="shared" si="649"/>
        <v>Waterhouse St</v>
      </c>
      <c r="V2825" t="s">
        <v>186</v>
      </c>
      <c r="W2825" t="str">
        <f t="shared" si="650"/>
        <v>Concord Ave</v>
      </c>
      <c r="X2825" t="str">
        <f>IF(ISBLANK(S2825),"Intersection","Non-Intersection")</f>
        <v>Intersection</v>
      </c>
      <c r="Y2825" t="s">
        <v>3836</v>
      </c>
      <c r="Z2825" t="str">
        <f t="shared" si="651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38"/>
        <v>40544</v>
      </c>
      <c r="D2826" s="4">
        <f t="shared" si="639"/>
        <v>0.8</v>
      </c>
      <c r="E2826" s="3">
        <f t="shared" si="640"/>
        <v>2011</v>
      </c>
      <c r="F2826" s="3">
        <f t="shared" si="641"/>
        <v>10</v>
      </c>
      <c r="G2826" s="3">
        <f t="shared" si="642"/>
        <v>20</v>
      </c>
      <c r="H2826" s="3">
        <f t="shared" si="643"/>
        <v>14</v>
      </c>
      <c r="I2826" s="3">
        <f t="shared" si="644"/>
        <v>45</v>
      </c>
      <c r="J2826" s="3">
        <f t="shared" si="645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46"/>
        <v>YES</v>
      </c>
      <c r="Q2826" t="str">
        <f t="shared" si="647"/>
        <v>NO</v>
      </c>
      <c r="R2826" t="str">
        <f t="shared" si="648"/>
        <v>YES</v>
      </c>
      <c r="T2826" t="s">
        <v>189</v>
      </c>
      <c r="U2826" t="str">
        <f t="shared" si="649"/>
        <v>Windsor St</v>
      </c>
      <c r="V2826" t="s">
        <v>19</v>
      </c>
      <c r="W2826" t="str">
        <f t="shared" si="650"/>
        <v>Cambridge St</v>
      </c>
      <c r="X2826" t="str">
        <f>IF(ISBLANK(S2826),"Intersection","Non-Intersection")</f>
        <v>Intersection</v>
      </c>
      <c r="Y2826" t="s">
        <v>331</v>
      </c>
      <c r="Z2826" t="str">
        <f t="shared" si="651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38"/>
        <v>40544</v>
      </c>
      <c r="D2827" s="4">
        <f t="shared" si="639"/>
        <v>0.8</v>
      </c>
      <c r="E2827" s="3">
        <f t="shared" si="640"/>
        <v>2011</v>
      </c>
      <c r="F2827" s="3">
        <f t="shared" si="641"/>
        <v>10</v>
      </c>
      <c r="G2827" s="3">
        <f t="shared" si="642"/>
        <v>20</v>
      </c>
      <c r="H2827" s="3">
        <f t="shared" si="643"/>
        <v>15</v>
      </c>
      <c r="I2827" s="3">
        <f t="shared" si="644"/>
        <v>24</v>
      </c>
      <c r="J2827" s="3">
        <f t="shared" si="645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46"/>
        <v>YES</v>
      </c>
      <c r="Q2827" t="str">
        <f t="shared" si="647"/>
        <v>NO</v>
      </c>
      <c r="R2827" t="str">
        <f t="shared" si="648"/>
        <v>NO</v>
      </c>
      <c r="T2827" t="s">
        <v>19</v>
      </c>
      <c r="U2827" t="str">
        <f t="shared" si="649"/>
        <v>Cambridge St</v>
      </c>
      <c r="V2827" t="s">
        <v>918</v>
      </c>
      <c r="W2827" t="str">
        <f t="shared" si="650"/>
        <v>Camelia Ave</v>
      </c>
      <c r="X2827" t="str">
        <f>IF(ISBLANK(S2827),"Intersection","Non-Intersection")</f>
        <v>Intersection</v>
      </c>
      <c r="Y2827" t="s">
        <v>919</v>
      </c>
      <c r="Z2827" t="str">
        <f t="shared" si="651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38"/>
        <v>40544</v>
      </c>
      <c r="D2828" s="4">
        <f t="shared" si="639"/>
        <v>0.8</v>
      </c>
      <c r="E2828" s="3">
        <f t="shared" si="640"/>
        <v>2011</v>
      </c>
      <c r="F2828" s="3">
        <f t="shared" si="641"/>
        <v>10</v>
      </c>
      <c r="G2828" s="3">
        <f t="shared" si="642"/>
        <v>20</v>
      </c>
      <c r="H2828" s="3">
        <f t="shared" si="643"/>
        <v>16</v>
      </c>
      <c r="I2828" s="3">
        <f t="shared" si="644"/>
        <v>25</v>
      </c>
      <c r="J2828" s="3">
        <f t="shared" si="645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46"/>
        <v>YES</v>
      </c>
      <c r="Q2828" t="str">
        <f t="shared" si="647"/>
        <v>NO</v>
      </c>
      <c r="R2828" t="str">
        <f t="shared" si="648"/>
        <v>NO</v>
      </c>
      <c r="S2828">
        <v>35</v>
      </c>
      <c r="T2828" t="s">
        <v>268</v>
      </c>
      <c r="U2828" t="str">
        <f t="shared" si="649"/>
        <v>White St</v>
      </c>
      <c r="W2828" t="str">
        <f t="shared" si="650"/>
        <v/>
      </c>
      <c r="X2828" t="str">
        <f>IF(ISBLANK(S2828),"Intersection","Non-Intersection")</f>
        <v>Non-Intersection</v>
      </c>
      <c r="Y2828" t="s">
        <v>933</v>
      </c>
      <c r="Z2828" t="str">
        <f t="shared" si="651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38"/>
        <v>40544</v>
      </c>
      <c r="D2829" s="4">
        <f t="shared" si="639"/>
        <v>0.8</v>
      </c>
      <c r="E2829" s="3">
        <f t="shared" si="640"/>
        <v>2011</v>
      </c>
      <c r="F2829" s="3">
        <f t="shared" si="641"/>
        <v>10</v>
      </c>
      <c r="G2829" s="3">
        <f t="shared" si="642"/>
        <v>20</v>
      </c>
      <c r="H2829" s="3">
        <f t="shared" si="643"/>
        <v>19</v>
      </c>
      <c r="I2829" s="3">
        <f t="shared" si="644"/>
        <v>59</v>
      </c>
      <c r="J2829" s="3">
        <f t="shared" si="645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46"/>
        <v>YES</v>
      </c>
      <c r="Q2829" t="str">
        <f t="shared" si="647"/>
        <v>YES</v>
      </c>
      <c r="R2829" t="str">
        <f t="shared" si="648"/>
        <v>NO</v>
      </c>
      <c r="S2829">
        <v>1000</v>
      </c>
      <c r="T2829" t="s">
        <v>19</v>
      </c>
      <c r="U2829" t="str">
        <f t="shared" si="649"/>
        <v>Cambridge St</v>
      </c>
      <c r="W2829" t="str">
        <f t="shared" si="650"/>
        <v/>
      </c>
      <c r="X2829" t="str">
        <f>IF(ISBLANK(S2829),"Intersection","Non-Intersection")</f>
        <v>Non-Intersection</v>
      </c>
      <c r="Y2829" t="s">
        <v>3814</v>
      </c>
      <c r="Z2829" t="str">
        <f t="shared" si="651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38"/>
        <v>40544</v>
      </c>
      <c r="D2830" s="4">
        <f t="shared" si="639"/>
        <v>0.8</v>
      </c>
      <c r="E2830" s="3">
        <f t="shared" si="640"/>
        <v>2011</v>
      </c>
      <c r="F2830" s="3">
        <f t="shared" si="641"/>
        <v>10</v>
      </c>
      <c r="G2830" s="3">
        <f t="shared" si="642"/>
        <v>20</v>
      </c>
      <c r="H2830" s="3">
        <f t="shared" si="643"/>
        <v>15</v>
      </c>
      <c r="I2830" s="3">
        <f t="shared" si="644"/>
        <v>0</v>
      </c>
      <c r="J2830" s="3">
        <f t="shared" si="645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46"/>
        <v>YES</v>
      </c>
      <c r="Q2830" t="str">
        <f t="shared" si="647"/>
        <v>NO</v>
      </c>
      <c r="R2830" t="str">
        <f t="shared" si="648"/>
        <v>YES</v>
      </c>
      <c r="S2830">
        <v>640</v>
      </c>
      <c r="T2830" t="s">
        <v>186</v>
      </c>
      <c r="U2830" t="str">
        <f t="shared" si="649"/>
        <v>Concord Ave</v>
      </c>
      <c r="W2830" t="str">
        <f t="shared" si="650"/>
        <v/>
      </c>
      <c r="X2830" t="str">
        <f>IF(ISBLANK(S2830),"Intersection","Non-Intersection")</f>
        <v>Non-Intersection</v>
      </c>
      <c r="Y2830" t="s">
        <v>3838</v>
      </c>
      <c r="Z2830" t="str">
        <f t="shared" si="651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38"/>
        <v>40544</v>
      </c>
      <c r="D2831" s="4">
        <f t="shared" si="639"/>
        <v>0.80273972602739729</v>
      </c>
      <c r="E2831" s="3">
        <f t="shared" si="640"/>
        <v>2011</v>
      </c>
      <c r="F2831" s="3">
        <f t="shared" si="641"/>
        <v>10</v>
      </c>
      <c r="G2831" s="3">
        <f t="shared" si="642"/>
        <v>21</v>
      </c>
      <c r="H2831" s="3">
        <f t="shared" si="643"/>
        <v>8</v>
      </c>
      <c r="I2831" s="3">
        <f t="shared" si="644"/>
        <v>25</v>
      </c>
      <c r="J2831" s="3">
        <f t="shared" si="645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46"/>
        <v>YES</v>
      </c>
      <c r="Q2831" t="str">
        <f t="shared" si="647"/>
        <v>NO</v>
      </c>
      <c r="R2831" t="str">
        <f t="shared" si="648"/>
        <v>NO</v>
      </c>
      <c r="T2831" t="s">
        <v>199</v>
      </c>
      <c r="U2831" t="str">
        <f t="shared" si="649"/>
        <v>Brattle St</v>
      </c>
      <c r="V2831" t="s">
        <v>1777</v>
      </c>
      <c r="W2831" t="str">
        <f t="shared" si="650"/>
        <v>Larch Rd</v>
      </c>
      <c r="X2831" t="str">
        <f>IF(ISBLANK(S2831),"Intersection","Non-Intersection")</f>
        <v>Intersection</v>
      </c>
      <c r="Y2831" t="s">
        <v>3840</v>
      </c>
      <c r="Z2831" t="str">
        <f t="shared" si="651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38"/>
        <v>40544</v>
      </c>
      <c r="D2832" s="4">
        <f t="shared" si="639"/>
        <v>0.80273972602739729</v>
      </c>
      <c r="E2832" s="3">
        <f t="shared" si="640"/>
        <v>2011</v>
      </c>
      <c r="F2832" s="3">
        <f t="shared" si="641"/>
        <v>10</v>
      </c>
      <c r="G2832" s="3">
        <f t="shared" si="642"/>
        <v>21</v>
      </c>
      <c r="H2832" s="3">
        <f t="shared" si="643"/>
        <v>14</v>
      </c>
      <c r="I2832" s="3">
        <f t="shared" si="644"/>
        <v>23</v>
      </c>
      <c r="J2832" s="3">
        <f t="shared" si="645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46"/>
        <v>YES</v>
      </c>
      <c r="Q2832" t="str">
        <f t="shared" si="647"/>
        <v>NO</v>
      </c>
      <c r="R2832" t="str">
        <f t="shared" si="648"/>
        <v>NO</v>
      </c>
      <c r="T2832" t="s">
        <v>667</v>
      </c>
      <c r="U2832" t="str">
        <f t="shared" si="649"/>
        <v>Tremont St</v>
      </c>
      <c r="V2832" t="s">
        <v>19</v>
      </c>
      <c r="W2832" t="str">
        <f t="shared" si="650"/>
        <v>Cambridge St</v>
      </c>
      <c r="X2832" t="str">
        <f>IF(ISBLANK(S2832),"Intersection","Non-Intersection")</f>
        <v>Intersection</v>
      </c>
      <c r="Y2832" t="s">
        <v>2283</v>
      </c>
      <c r="Z2832" t="str">
        <f t="shared" si="651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38"/>
        <v>40544</v>
      </c>
      <c r="D2833" s="4">
        <f t="shared" si="639"/>
        <v>0.80273972602739729</v>
      </c>
      <c r="E2833" s="3">
        <f t="shared" si="640"/>
        <v>2011</v>
      </c>
      <c r="F2833" s="3">
        <f t="shared" si="641"/>
        <v>10</v>
      </c>
      <c r="G2833" s="3">
        <f t="shared" si="642"/>
        <v>21</v>
      </c>
      <c r="H2833" s="3">
        <f t="shared" si="643"/>
        <v>15</v>
      </c>
      <c r="I2833" s="3">
        <f t="shared" si="644"/>
        <v>30</v>
      </c>
      <c r="J2833" s="3">
        <f t="shared" si="645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46"/>
        <v>YES</v>
      </c>
      <c r="Q2833" t="str">
        <f t="shared" si="647"/>
        <v>NO</v>
      </c>
      <c r="R2833" t="str">
        <f t="shared" si="648"/>
        <v>NO</v>
      </c>
      <c r="T2833" t="s">
        <v>14</v>
      </c>
      <c r="U2833" t="str">
        <f t="shared" si="649"/>
        <v>Massachusetts Ave</v>
      </c>
      <c r="V2833" t="s">
        <v>185</v>
      </c>
      <c r="W2833" t="str">
        <f t="shared" si="650"/>
        <v>Garden St</v>
      </c>
      <c r="X2833" t="str">
        <f>IF(ISBLANK(S2833),"Intersection","Non-Intersection")</f>
        <v>Intersection</v>
      </c>
      <c r="Y2833" t="s">
        <v>1247</v>
      </c>
      <c r="Z2833" t="str">
        <f t="shared" si="651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38"/>
        <v>40544</v>
      </c>
      <c r="D2834" s="4">
        <f t="shared" si="639"/>
        <v>0.80273972602739729</v>
      </c>
      <c r="E2834" s="3">
        <f t="shared" si="640"/>
        <v>2011</v>
      </c>
      <c r="F2834" s="3">
        <f t="shared" si="641"/>
        <v>10</v>
      </c>
      <c r="G2834" s="3">
        <f t="shared" si="642"/>
        <v>21</v>
      </c>
      <c r="H2834" s="3">
        <f t="shared" si="643"/>
        <v>22</v>
      </c>
      <c r="I2834" s="3">
        <f t="shared" si="644"/>
        <v>44</v>
      </c>
      <c r="J2834" s="3">
        <f t="shared" si="645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46"/>
        <v>YES</v>
      </c>
      <c r="Q2834" t="str">
        <f t="shared" si="647"/>
        <v>NO</v>
      </c>
      <c r="R2834" t="str">
        <f t="shared" si="648"/>
        <v>NO</v>
      </c>
      <c r="S2834">
        <v>41</v>
      </c>
      <c r="T2834" t="s">
        <v>667</v>
      </c>
      <c r="U2834" t="str">
        <f t="shared" si="649"/>
        <v>Tremont St</v>
      </c>
      <c r="W2834" t="str">
        <f t="shared" si="650"/>
        <v/>
      </c>
      <c r="X2834" t="str">
        <f>IF(ISBLANK(S2834),"Intersection","Non-Intersection")</f>
        <v>Non-Intersection</v>
      </c>
      <c r="Y2834" t="s">
        <v>3842</v>
      </c>
      <c r="Z2834" t="str">
        <f t="shared" si="651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38"/>
        <v>40544</v>
      </c>
      <c r="D2835" s="4">
        <f t="shared" si="639"/>
        <v>0.80273972602739729</v>
      </c>
      <c r="E2835" s="3">
        <f t="shared" si="640"/>
        <v>2011</v>
      </c>
      <c r="F2835" s="3">
        <f t="shared" si="641"/>
        <v>10</v>
      </c>
      <c r="G2835" s="3">
        <f t="shared" si="642"/>
        <v>21</v>
      </c>
      <c r="H2835" s="3">
        <f t="shared" si="643"/>
        <v>21</v>
      </c>
      <c r="I2835" s="3">
        <f t="shared" si="644"/>
        <v>0</v>
      </c>
      <c r="J2835" s="3">
        <f t="shared" si="645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46"/>
        <v>YES</v>
      </c>
      <c r="Q2835" t="str">
        <f t="shared" si="647"/>
        <v>NO</v>
      </c>
      <c r="R2835" t="str">
        <f t="shared" si="648"/>
        <v>NO</v>
      </c>
      <c r="T2835" t="s">
        <v>796</v>
      </c>
      <c r="U2835" t="str">
        <f t="shared" si="649"/>
        <v>Portland St</v>
      </c>
      <c r="V2835" t="s">
        <v>216</v>
      </c>
      <c r="W2835" t="str">
        <f t="shared" si="650"/>
        <v>Washington Ave</v>
      </c>
      <c r="X2835" t="str">
        <f>IF(ISBLANK(S2835),"Intersection","Non-Intersection")</f>
        <v>Intersection</v>
      </c>
      <c r="Y2835" t="s">
        <v>797</v>
      </c>
      <c r="Z2835" t="str">
        <f t="shared" si="651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38"/>
        <v>40544</v>
      </c>
      <c r="D2836" s="4">
        <f t="shared" si="639"/>
        <v>0.80273972602739729</v>
      </c>
      <c r="E2836" s="3">
        <f t="shared" si="640"/>
        <v>2011</v>
      </c>
      <c r="F2836" s="3">
        <f t="shared" si="641"/>
        <v>10</v>
      </c>
      <c r="G2836" s="3">
        <f t="shared" si="642"/>
        <v>21</v>
      </c>
      <c r="H2836" s="3">
        <f t="shared" si="643"/>
        <v>19</v>
      </c>
      <c r="I2836" s="3">
        <f t="shared" si="644"/>
        <v>50</v>
      </c>
      <c r="J2836" s="3">
        <f t="shared" si="645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46"/>
        <v>YES</v>
      </c>
      <c r="Q2836" t="str">
        <f t="shared" si="647"/>
        <v>YES</v>
      </c>
      <c r="R2836" t="str">
        <f t="shared" si="648"/>
        <v>NO</v>
      </c>
      <c r="T2836" t="s">
        <v>19</v>
      </c>
      <c r="U2836" t="str">
        <f t="shared" si="649"/>
        <v>Cambridge St</v>
      </c>
      <c r="V2836" t="s">
        <v>3844</v>
      </c>
      <c r="W2836" t="str">
        <f t="shared" si="650"/>
        <v>Warren Pl</v>
      </c>
      <c r="X2836" t="str">
        <f>IF(ISBLANK(S2836),"Intersection","Non-Intersection")</f>
        <v>Intersection</v>
      </c>
      <c r="Y2836" t="s">
        <v>3845</v>
      </c>
      <c r="Z2836" t="str">
        <f t="shared" si="651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38"/>
        <v>40544</v>
      </c>
      <c r="D2837" s="4">
        <f t="shared" si="639"/>
        <v>0.80273972602739729</v>
      </c>
      <c r="E2837" s="3">
        <f t="shared" si="640"/>
        <v>2011</v>
      </c>
      <c r="F2837" s="3">
        <f t="shared" si="641"/>
        <v>10</v>
      </c>
      <c r="G2837" s="3">
        <f t="shared" si="642"/>
        <v>21</v>
      </c>
      <c r="H2837" s="3">
        <f t="shared" si="643"/>
        <v>13</v>
      </c>
      <c r="I2837" s="3">
        <f t="shared" si="644"/>
        <v>43</v>
      </c>
      <c r="J2837" s="3">
        <f t="shared" si="645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46"/>
        <v>YES</v>
      </c>
      <c r="Q2837" t="str">
        <f t="shared" si="647"/>
        <v>NO</v>
      </c>
      <c r="R2837" t="str">
        <f t="shared" si="648"/>
        <v>NO</v>
      </c>
      <c r="S2837">
        <v>2500</v>
      </c>
      <c r="T2837" t="s">
        <v>14</v>
      </c>
      <c r="U2837" t="str">
        <f t="shared" si="649"/>
        <v>Massachusetts Ave</v>
      </c>
      <c r="W2837" t="str">
        <f t="shared" si="650"/>
        <v/>
      </c>
      <c r="X2837" t="str">
        <f>IF(ISBLANK(S2837),"Intersection","Non-Intersection")</f>
        <v>Non-Intersection</v>
      </c>
      <c r="Y2837" t="s">
        <v>3846</v>
      </c>
      <c r="Z2837" t="str">
        <f t="shared" si="651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38"/>
        <v>40544</v>
      </c>
      <c r="D2838" s="4">
        <f t="shared" si="639"/>
        <v>0.80273972602739729</v>
      </c>
      <c r="E2838" s="3">
        <f t="shared" si="640"/>
        <v>2011</v>
      </c>
      <c r="F2838" s="3">
        <f t="shared" si="641"/>
        <v>10</v>
      </c>
      <c r="G2838" s="3">
        <f t="shared" si="642"/>
        <v>21</v>
      </c>
      <c r="H2838" s="3">
        <f t="shared" si="643"/>
        <v>15</v>
      </c>
      <c r="I2838" s="3">
        <f t="shared" si="644"/>
        <v>59</v>
      </c>
      <c r="J2838" s="3">
        <f t="shared" si="645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46"/>
        <v>YES</v>
      </c>
      <c r="Q2838" t="str">
        <f t="shared" si="647"/>
        <v>YES</v>
      </c>
      <c r="R2838" t="str">
        <f t="shared" si="648"/>
        <v>NO</v>
      </c>
      <c r="T2838" t="s">
        <v>32</v>
      </c>
      <c r="U2838" t="str">
        <f t="shared" si="649"/>
        <v>Main St</v>
      </c>
      <c r="V2838" t="s">
        <v>189</v>
      </c>
      <c r="W2838" t="str">
        <f t="shared" si="650"/>
        <v>Windsor St</v>
      </c>
      <c r="X2838" t="str">
        <f>IF(ISBLANK(S2838),"Intersection","Non-Intersection")</f>
        <v>Intersection</v>
      </c>
      <c r="Y2838" t="s">
        <v>1737</v>
      </c>
      <c r="Z2838" t="str">
        <f t="shared" si="651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38"/>
        <v>40544</v>
      </c>
      <c r="D2839" s="4">
        <f t="shared" si="639"/>
        <v>0.80547945205479454</v>
      </c>
      <c r="E2839" s="3">
        <f t="shared" si="640"/>
        <v>2011</v>
      </c>
      <c r="F2839" s="3">
        <f t="shared" si="641"/>
        <v>10</v>
      </c>
      <c r="G2839" s="3">
        <f t="shared" si="642"/>
        <v>22</v>
      </c>
      <c r="H2839" s="3">
        <f t="shared" si="643"/>
        <v>13</v>
      </c>
      <c r="I2839" s="3">
        <f t="shared" si="644"/>
        <v>5</v>
      </c>
      <c r="J2839" s="3">
        <f t="shared" si="645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46"/>
        <v>YES</v>
      </c>
      <c r="Q2839" t="str">
        <f t="shared" si="647"/>
        <v>NO</v>
      </c>
      <c r="R2839" t="str">
        <f t="shared" si="648"/>
        <v>NO</v>
      </c>
      <c r="T2839" t="s">
        <v>14</v>
      </c>
      <c r="U2839" t="str">
        <f t="shared" si="649"/>
        <v>Massachusetts Ave</v>
      </c>
      <c r="V2839" t="s">
        <v>3848</v>
      </c>
      <c r="W2839" t="str">
        <f t="shared" si="650"/>
        <v>Rice Cir</v>
      </c>
      <c r="X2839" t="str">
        <f>IF(ISBLANK(S2839),"Intersection","Non-Intersection")</f>
        <v>Intersection</v>
      </c>
      <c r="Y2839" t="s">
        <v>3849</v>
      </c>
      <c r="Z2839" t="str">
        <f t="shared" si="651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38"/>
        <v>40544</v>
      </c>
      <c r="D2840" s="4">
        <f t="shared" si="639"/>
        <v>0.80547945205479454</v>
      </c>
      <c r="E2840" s="3">
        <f t="shared" si="640"/>
        <v>2011</v>
      </c>
      <c r="F2840" s="3">
        <f t="shared" si="641"/>
        <v>10</v>
      </c>
      <c r="G2840" s="3">
        <f t="shared" si="642"/>
        <v>22</v>
      </c>
      <c r="H2840" s="3">
        <f t="shared" si="643"/>
        <v>11</v>
      </c>
      <c r="I2840" s="3">
        <f t="shared" si="644"/>
        <v>29</v>
      </c>
      <c r="J2840" s="3">
        <f t="shared" si="645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46"/>
        <v>YES</v>
      </c>
      <c r="Q2840" t="str">
        <f t="shared" si="647"/>
        <v>NO</v>
      </c>
      <c r="R2840" t="str">
        <f t="shared" si="648"/>
        <v>NO</v>
      </c>
      <c r="S2840">
        <v>2465</v>
      </c>
      <c r="T2840" t="s">
        <v>14</v>
      </c>
      <c r="U2840" t="str">
        <f t="shared" si="649"/>
        <v>Massachusetts Ave</v>
      </c>
      <c r="W2840" t="str">
        <f t="shared" si="650"/>
        <v/>
      </c>
      <c r="X2840" t="str">
        <f>IF(ISBLANK(S2840),"Intersection","Non-Intersection")</f>
        <v>Non-Intersection</v>
      </c>
      <c r="Y2840" t="s">
        <v>3850</v>
      </c>
      <c r="Z2840" t="str">
        <f t="shared" si="651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38"/>
        <v>40544</v>
      </c>
      <c r="D2841" s="4">
        <f t="shared" si="639"/>
        <v>0.80547945205479454</v>
      </c>
      <c r="E2841" s="3">
        <f t="shared" si="640"/>
        <v>2011</v>
      </c>
      <c r="F2841" s="3">
        <f t="shared" si="641"/>
        <v>10</v>
      </c>
      <c r="G2841" s="3">
        <f t="shared" si="642"/>
        <v>22</v>
      </c>
      <c r="H2841" s="3">
        <f t="shared" si="643"/>
        <v>13</v>
      </c>
      <c r="I2841" s="3">
        <f t="shared" si="644"/>
        <v>5</v>
      </c>
      <c r="J2841" s="3">
        <f t="shared" si="645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46"/>
        <v>YES</v>
      </c>
      <c r="Q2841" t="str">
        <f t="shared" si="647"/>
        <v>NO</v>
      </c>
      <c r="R2841" t="str">
        <f t="shared" si="648"/>
        <v>NO</v>
      </c>
      <c r="T2841" t="s">
        <v>105</v>
      </c>
      <c r="U2841" t="str">
        <f t="shared" si="649"/>
        <v>Broadway</v>
      </c>
      <c r="V2841" t="s">
        <v>288</v>
      </c>
      <c r="W2841" t="str">
        <f t="shared" si="650"/>
        <v>Galileo Galilei Way</v>
      </c>
      <c r="X2841" t="str">
        <f>IF(ISBLANK(S2841),"Intersection","Non-Intersection")</f>
        <v>Intersection</v>
      </c>
      <c r="Y2841" t="s">
        <v>289</v>
      </c>
      <c r="Z2841" t="str">
        <f t="shared" si="651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38"/>
        <v>40544</v>
      </c>
      <c r="D2842" s="4">
        <f t="shared" si="639"/>
        <v>0.80547945205479454</v>
      </c>
      <c r="E2842" s="3">
        <f t="shared" si="640"/>
        <v>2011</v>
      </c>
      <c r="F2842" s="3">
        <f t="shared" si="641"/>
        <v>10</v>
      </c>
      <c r="G2842" s="3">
        <f t="shared" si="642"/>
        <v>22</v>
      </c>
      <c r="H2842" s="3">
        <f t="shared" si="643"/>
        <v>2</v>
      </c>
      <c r="I2842" s="3">
        <f t="shared" si="644"/>
        <v>10</v>
      </c>
      <c r="J2842" s="3">
        <f t="shared" si="645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46"/>
        <v>YES</v>
      </c>
      <c r="Q2842" t="str">
        <f t="shared" si="647"/>
        <v>NO</v>
      </c>
      <c r="R2842" t="str">
        <f t="shared" si="648"/>
        <v>NO</v>
      </c>
      <c r="T2842" t="s">
        <v>74</v>
      </c>
      <c r="U2842" t="str">
        <f t="shared" si="649"/>
        <v>Hampshire St</v>
      </c>
      <c r="V2842" t="s">
        <v>342</v>
      </c>
      <c r="W2842" t="str">
        <f t="shared" si="650"/>
        <v>Prospect St</v>
      </c>
      <c r="X2842" t="str">
        <f>IF(ISBLANK(S2842),"Intersection","Non-Intersection")</f>
        <v>Intersection</v>
      </c>
      <c r="Y2842" t="s">
        <v>462</v>
      </c>
      <c r="Z2842" t="str">
        <f t="shared" si="651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38"/>
        <v>40544</v>
      </c>
      <c r="D2843" s="4">
        <f t="shared" si="639"/>
        <v>0.80547945205479454</v>
      </c>
      <c r="E2843" s="3">
        <f t="shared" si="640"/>
        <v>2011</v>
      </c>
      <c r="F2843" s="3">
        <f t="shared" si="641"/>
        <v>10</v>
      </c>
      <c r="G2843" s="3">
        <f t="shared" si="642"/>
        <v>22</v>
      </c>
      <c r="H2843" s="3">
        <f t="shared" si="643"/>
        <v>22</v>
      </c>
      <c r="I2843" s="3">
        <f t="shared" si="644"/>
        <v>19</v>
      </c>
      <c r="J2843" s="3">
        <f t="shared" si="645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46"/>
        <v>YES</v>
      </c>
      <c r="Q2843" t="str">
        <f t="shared" si="647"/>
        <v>NO</v>
      </c>
      <c r="R2843" t="str">
        <f t="shared" si="648"/>
        <v>NO</v>
      </c>
      <c r="S2843">
        <v>1</v>
      </c>
      <c r="T2843" t="s">
        <v>162</v>
      </c>
      <c r="U2843" t="str">
        <f t="shared" si="649"/>
        <v>Bennett St</v>
      </c>
      <c r="W2843" t="str">
        <f t="shared" si="650"/>
        <v/>
      </c>
      <c r="X2843" t="str">
        <f>IF(ISBLANK(S2843),"Intersection","Non-Intersection")</f>
        <v>Non-Intersection</v>
      </c>
      <c r="Y2843" t="s">
        <v>163</v>
      </c>
      <c r="Z2843" t="str">
        <f t="shared" si="651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38"/>
        <v>40544</v>
      </c>
      <c r="D2844" s="4">
        <f t="shared" si="639"/>
        <v>0.80547945205479454</v>
      </c>
      <c r="E2844" s="3">
        <f t="shared" si="640"/>
        <v>2011</v>
      </c>
      <c r="F2844" s="3">
        <f t="shared" si="641"/>
        <v>10</v>
      </c>
      <c r="G2844" s="3">
        <f t="shared" si="642"/>
        <v>22</v>
      </c>
      <c r="H2844" s="3">
        <f t="shared" si="643"/>
        <v>22</v>
      </c>
      <c r="I2844" s="3">
        <f t="shared" si="644"/>
        <v>30</v>
      </c>
      <c r="J2844" s="3">
        <f t="shared" si="645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46"/>
        <v>YES</v>
      </c>
      <c r="Q2844" t="str">
        <f t="shared" si="647"/>
        <v>NO</v>
      </c>
      <c r="R2844" t="str">
        <f t="shared" si="648"/>
        <v>NO</v>
      </c>
      <c r="S2844">
        <v>183</v>
      </c>
      <c r="T2844" t="s">
        <v>2060</v>
      </c>
      <c r="U2844" t="str">
        <f t="shared" si="649"/>
        <v>Harvey St</v>
      </c>
      <c r="W2844" t="str">
        <f t="shared" si="650"/>
        <v/>
      </c>
      <c r="X2844" t="str">
        <f>IF(ISBLANK(S2844),"Intersection","Non-Intersection")</f>
        <v>Non-Intersection</v>
      </c>
      <c r="Y2844" t="s">
        <v>3852</v>
      </c>
      <c r="Z2844" t="str">
        <f t="shared" si="651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38"/>
        <v>40544</v>
      </c>
      <c r="D2845" s="4">
        <f t="shared" si="639"/>
        <v>0.80547945205479454</v>
      </c>
      <c r="E2845" s="3">
        <f t="shared" si="640"/>
        <v>2011</v>
      </c>
      <c r="F2845" s="3">
        <f t="shared" si="641"/>
        <v>10</v>
      </c>
      <c r="G2845" s="3">
        <f t="shared" si="642"/>
        <v>22</v>
      </c>
      <c r="H2845" s="3">
        <f t="shared" si="643"/>
        <v>12</v>
      </c>
      <c r="I2845" s="3">
        <f t="shared" si="644"/>
        <v>49</v>
      </c>
      <c r="J2845" s="3">
        <f t="shared" si="645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46"/>
        <v>YES</v>
      </c>
      <c r="Q2845" t="str">
        <f t="shared" si="647"/>
        <v>NO</v>
      </c>
      <c r="R2845" t="str">
        <f t="shared" si="648"/>
        <v>NO</v>
      </c>
      <c r="T2845" t="s">
        <v>252</v>
      </c>
      <c r="U2845" t="str">
        <f t="shared" si="649"/>
        <v>Walden St</v>
      </c>
      <c r="V2845" t="s">
        <v>291</v>
      </c>
      <c r="W2845" t="str">
        <f t="shared" si="650"/>
        <v>Raymond St</v>
      </c>
      <c r="X2845" t="str">
        <f>IF(ISBLANK(S2845),"Intersection","Non-Intersection")</f>
        <v>Intersection</v>
      </c>
      <c r="Y2845" t="s">
        <v>2263</v>
      </c>
      <c r="Z2845" t="str">
        <f t="shared" si="651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38"/>
        <v>40544</v>
      </c>
      <c r="D2846" s="4">
        <f t="shared" si="639"/>
        <v>0.80547945205479454</v>
      </c>
      <c r="E2846" s="3">
        <f t="shared" si="640"/>
        <v>2011</v>
      </c>
      <c r="F2846" s="3">
        <f t="shared" si="641"/>
        <v>10</v>
      </c>
      <c r="G2846" s="3">
        <f t="shared" si="642"/>
        <v>22</v>
      </c>
      <c r="H2846" s="3">
        <f t="shared" si="643"/>
        <v>15</v>
      </c>
      <c r="I2846" s="3">
        <f t="shared" si="644"/>
        <v>30</v>
      </c>
      <c r="J2846" s="3">
        <f t="shared" si="645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46"/>
        <v>YES</v>
      </c>
      <c r="Q2846" t="str">
        <f t="shared" si="647"/>
        <v>NO</v>
      </c>
      <c r="R2846" t="str">
        <f t="shared" si="648"/>
        <v>NO</v>
      </c>
      <c r="S2846">
        <v>358</v>
      </c>
      <c r="T2846" t="s">
        <v>142</v>
      </c>
      <c r="U2846" t="str">
        <f t="shared" si="649"/>
        <v>Huron Ave</v>
      </c>
      <c r="W2846" t="str">
        <f t="shared" si="650"/>
        <v/>
      </c>
      <c r="X2846" t="str">
        <f>IF(ISBLANK(S2846),"Intersection","Non-Intersection")</f>
        <v>Non-Intersection</v>
      </c>
      <c r="Y2846" t="s">
        <v>2163</v>
      </c>
      <c r="Z2846" t="str">
        <f t="shared" si="651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38"/>
        <v>40544</v>
      </c>
      <c r="D2847" s="4">
        <f t="shared" si="639"/>
        <v>0.80821917808219179</v>
      </c>
      <c r="E2847" s="3">
        <f t="shared" si="640"/>
        <v>2011</v>
      </c>
      <c r="F2847" s="3">
        <f t="shared" si="641"/>
        <v>10</v>
      </c>
      <c r="G2847" s="3">
        <f t="shared" si="642"/>
        <v>23</v>
      </c>
      <c r="H2847" s="3">
        <f t="shared" si="643"/>
        <v>17</v>
      </c>
      <c r="I2847" s="3">
        <f t="shared" si="644"/>
        <v>0</v>
      </c>
      <c r="J2847" s="3">
        <f t="shared" si="645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46"/>
        <v>YES</v>
      </c>
      <c r="Q2847" t="str">
        <f t="shared" si="647"/>
        <v>NO</v>
      </c>
      <c r="R2847" t="str">
        <f t="shared" si="648"/>
        <v>NO</v>
      </c>
      <c r="S2847">
        <v>424</v>
      </c>
      <c r="T2847" t="s">
        <v>189</v>
      </c>
      <c r="U2847" t="str">
        <f t="shared" si="649"/>
        <v>Windsor St</v>
      </c>
      <c r="W2847" t="str">
        <f t="shared" si="650"/>
        <v/>
      </c>
      <c r="X2847" t="str">
        <f>IF(ISBLANK(S2847),"Intersection","Non-Intersection")</f>
        <v>Non-Intersection</v>
      </c>
      <c r="Y2847" t="s">
        <v>3854</v>
      </c>
      <c r="Z2847" t="str">
        <f t="shared" si="651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38"/>
        <v>40544</v>
      </c>
      <c r="D2848" s="4">
        <f t="shared" si="639"/>
        <v>0.81095890410958904</v>
      </c>
      <c r="E2848" s="3">
        <f t="shared" si="640"/>
        <v>2011</v>
      </c>
      <c r="F2848" s="3">
        <f t="shared" si="641"/>
        <v>10</v>
      </c>
      <c r="G2848" s="3">
        <f t="shared" si="642"/>
        <v>24</v>
      </c>
      <c r="H2848" s="3">
        <f t="shared" si="643"/>
        <v>7</v>
      </c>
      <c r="I2848" s="3">
        <f t="shared" si="644"/>
        <v>5</v>
      </c>
      <c r="J2848" s="3">
        <f t="shared" si="645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46"/>
        <v>YES</v>
      </c>
      <c r="Q2848" t="str">
        <f t="shared" si="647"/>
        <v>NO</v>
      </c>
      <c r="R2848" t="str">
        <f t="shared" si="648"/>
        <v>NO</v>
      </c>
      <c r="S2848">
        <v>691</v>
      </c>
      <c r="T2848" t="s">
        <v>186</v>
      </c>
      <c r="U2848" t="str">
        <f t="shared" si="649"/>
        <v>Concord Ave</v>
      </c>
      <c r="W2848" t="str">
        <f t="shared" si="650"/>
        <v/>
      </c>
      <c r="X2848" t="str">
        <f>IF(ISBLANK(S2848),"Intersection","Non-Intersection")</f>
        <v>Non-Intersection</v>
      </c>
      <c r="Y2848" t="s">
        <v>3856</v>
      </c>
      <c r="Z2848" t="str">
        <f t="shared" si="651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38"/>
        <v>40544</v>
      </c>
      <c r="D2849" s="4">
        <f t="shared" si="639"/>
        <v>0.81095890410958904</v>
      </c>
      <c r="E2849" s="3">
        <f t="shared" si="640"/>
        <v>2011</v>
      </c>
      <c r="F2849" s="3">
        <f t="shared" si="641"/>
        <v>10</v>
      </c>
      <c r="G2849" s="3">
        <f t="shared" si="642"/>
        <v>24</v>
      </c>
      <c r="H2849" s="3">
        <f t="shared" si="643"/>
        <v>6</v>
      </c>
      <c r="I2849" s="3">
        <f t="shared" si="644"/>
        <v>59</v>
      </c>
      <c r="J2849" s="3">
        <f t="shared" si="645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46"/>
        <v>YES</v>
      </c>
      <c r="Q2849" t="str">
        <f t="shared" si="647"/>
        <v>NO</v>
      </c>
      <c r="R2849" t="str">
        <f t="shared" si="648"/>
        <v>NO</v>
      </c>
      <c r="T2849" t="s">
        <v>105</v>
      </c>
      <c r="U2849" t="str">
        <f t="shared" si="649"/>
        <v>Broadway</v>
      </c>
      <c r="V2849" t="s">
        <v>796</v>
      </c>
      <c r="W2849" t="str">
        <f t="shared" si="650"/>
        <v>Portland St</v>
      </c>
      <c r="X2849" t="str">
        <f>IF(ISBLANK(S2849),"Intersection","Non-Intersection")</f>
        <v>Intersection</v>
      </c>
      <c r="Y2849" t="s">
        <v>2561</v>
      </c>
      <c r="Z2849" t="str">
        <f t="shared" si="651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38"/>
        <v>40544</v>
      </c>
      <c r="D2850" s="4">
        <f t="shared" si="639"/>
        <v>0.81095890410958904</v>
      </c>
      <c r="E2850" s="3">
        <f t="shared" si="640"/>
        <v>2011</v>
      </c>
      <c r="F2850" s="3">
        <f t="shared" si="641"/>
        <v>10</v>
      </c>
      <c r="G2850" s="3">
        <f t="shared" si="642"/>
        <v>24</v>
      </c>
      <c r="H2850" s="3">
        <f t="shared" si="643"/>
        <v>8</v>
      </c>
      <c r="I2850" s="3">
        <f t="shared" si="644"/>
        <v>15</v>
      </c>
      <c r="J2850" s="3">
        <f t="shared" si="645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46"/>
        <v>YES</v>
      </c>
      <c r="Q2850" t="str">
        <f t="shared" si="647"/>
        <v>NO</v>
      </c>
      <c r="R2850" t="str">
        <f t="shared" si="648"/>
        <v>NO</v>
      </c>
      <c r="T2850" t="s">
        <v>198</v>
      </c>
      <c r="U2850" t="str">
        <f t="shared" si="649"/>
        <v>Mount Auburn St</v>
      </c>
      <c r="V2850" t="s">
        <v>518</v>
      </c>
      <c r="W2850" t="str">
        <f t="shared" si="650"/>
        <v>Willard St</v>
      </c>
      <c r="X2850" t="str">
        <f>IF(ISBLANK(S2850),"Intersection","Non-Intersection")</f>
        <v>Intersection</v>
      </c>
      <c r="Y2850" t="s">
        <v>519</v>
      </c>
      <c r="Z2850" t="str">
        <f t="shared" si="651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38"/>
        <v>40544</v>
      </c>
      <c r="D2851" s="4">
        <f t="shared" si="639"/>
        <v>0.81095890410958904</v>
      </c>
      <c r="E2851" s="3">
        <f t="shared" si="640"/>
        <v>2011</v>
      </c>
      <c r="F2851" s="3">
        <f t="shared" si="641"/>
        <v>10</v>
      </c>
      <c r="G2851" s="3">
        <f t="shared" si="642"/>
        <v>24</v>
      </c>
      <c r="H2851" s="3">
        <f t="shared" si="643"/>
        <v>14</v>
      </c>
      <c r="I2851" s="3">
        <f t="shared" si="644"/>
        <v>49</v>
      </c>
      <c r="J2851" s="3">
        <f t="shared" si="645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46"/>
        <v>YES</v>
      </c>
      <c r="Q2851" t="str">
        <f t="shared" si="647"/>
        <v>YES</v>
      </c>
      <c r="R2851" t="str">
        <f t="shared" si="648"/>
        <v>NO</v>
      </c>
      <c r="T2851" t="s">
        <v>105</v>
      </c>
      <c r="U2851" t="str">
        <f t="shared" si="649"/>
        <v>Broadway</v>
      </c>
      <c r="V2851" t="s">
        <v>498</v>
      </c>
      <c r="W2851" t="str">
        <f t="shared" si="650"/>
        <v>Ellery St</v>
      </c>
      <c r="X2851" t="str">
        <f>IF(ISBLANK(S2851),"Intersection","Non-Intersection")</f>
        <v>Intersection</v>
      </c>
      <c r="Y2851" t="s">
        <v>499</v>
      </c>
      <c r="Z2851" t="str">
        <f t="shared" si="651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38"/>
        <v>40544</v>
      </c>
      <c r="D2852" s="4">
        <f t="shared" si="639"/>
        <v>0.81095890410958904</v>
      </c>
      <c r="E2852" s="3">
        <f t="shared" si="640"/>
        <v>2011</v>
      </c>
      <c r="F2852" s="3">
        <f t="shared" si="641"/>
        <v>10</v>
      </c>
      <c r="G2852" s="3">
        <f t="shared" si="642"/>
        <v>24</v>
      </c>
      <c r="H2852" s="3">
        <f t="shared" si="643"/>
        <v>17</v>
      </c>
      <c r="I2852" s="3">
        <f t="shared" si="644"/>
        <v>29</v>
      </c>
      <c r="J2852" s="3">
        <f t="shared" si="645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46"/>
        <v>YES</v>
      </c>
      <c r="Q2852" t="str">
        <f t="shared" si="647"/>
        <v>YES</v>
      </c>
      <c r="R2852" t="str">
        <f t="shared" si="648"/>
        <v>NO</v>
      </c>
      <c r="T2852" t="s">
        <v>27</v>
      </c>
      <c r="U2852" t="str">
        <f t="shared" si="649"/>
        <v>Western Ave</v>
      </c>
      <c r="W2852" t="str">
        <f t="shared" si="650"/>
        <v/>
      </c>
      <c r="X2852" t="str">
        <f>IF(ISBLANK(S2852),"Intersection","Non-Intersection")</f>
        <v>Intersection</v>
      </c>
      <c r="Y2852" t="s">
        <v>3858</v>
      </c>
      <c r="Z2852" t="str">
        <f t="shared" si="651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38"/>
        <v>40544</v>
      </c>
      <c r="D2853" s="4">
        <f t="shared" si="639"/>
        <v>0.81369863013698629</v>
      </c>
      <c r="E2853" s="3">
        <f t="shared" si="640"/>
        <v>2011</v>
      </c>
      <c r="F2853" s="3">
        <f t="shared" si="641"/>
        <v>10</v>
      </c>
      <c r="G2853" s="3">
        <f t="shared" si="642"/>
        <v>25</v>
      </c>
      <c r="H2853" s="3">
        <f t="shared" si="643"/>
        <v>7</v>
      </c>
      <c r="I2853" s="3">
        <f t="shared" si="644"/>
        <v>54</v>
      </c>
      <c r="J2853" s="3">
        <f t="shared" si="645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46"/>
        <v>YES</v>
      </c>
      <c r="Q2853" t="str">
        <f t="shared" si="647"/>
        <v>NO</v>
      </c>
      <c r="R2853" t="str">
        <f t="shared" si="648"/>
        <v>NO</v>
      </c>
      <c r="T2853" t="s">
        <v>146</v>
      </c>
      <c r="U2853" t="str">
        <f t="shared" si="649"/>
        <v>Spring St</v>
      </c>
      <c r="V2853" t="s">
        <v>3385</v>
      </c>
      <c r="W2853" t="str">
        <f t="shared" si="650"/>
        <v>Seventh St</v>
      </c>
      <c r="X2853" t="str">
        <f>IF(ISBLANK(S2853),"Intersection","Non-Intersection")</f>
        <v>Intersection</v>
      </c>
      <c r="Y2853" t="s">
        <v>3859</v>
      </c>
      <c r="Z2853" t="str">
        <f t="shared" si="651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38"/>
        <v>40544</v>
      </c>
      <c r="D2854" s="4">
        <f t="shared" si="639"/>
        <v>0.81369863013698629</v>
      </c>
      <c r="E2854" s="3">
        <f t="shared" si="640"/>
        <v>2011</v>
      </c>
      <c r="F2854" s="3">
        <f t="shared" si="641"/>
        <v>10</v>
      </c>
      <c r="G2854" s="3">
        <f t="shared" si="642"/>
        <v>25</v>
      </c>
      <c r="H2854" s="3">
        <f t="shared" si="643"/>
        <v>17</v>
      </c>
      <c r="I2854" s="3">
        <f t="shared" si="644"/>
        <v>39</v>
      </c>
      <c r="J2854" s="3">
        <f t="shared" si="645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46"/>
        <v>YES</v>
      </c>
      <c r="Q2854" t="str">
        <f t="shared" si="647"/>
        <v>YES</v>
      </c>
      <c r="R2854" t="str">
        <f t="shared" si="648"/>
        <v>NO</v>
      </c>
      <c r="S2854">
        <v>204</v>
      </c>
      <c r="T2854" t="s">
        <v>101</v>
      </c>
      <c r="U2854" t="str">
        <f t="shared" si="649"/>
        <v>Columbia St</v>
      </c>
      <c r="W2854" t="str">
        <f t="shared" si="650"/>
        <v/>
      </c>
      <c r="X2854" t="str">
        <f>IF(ISBLANK(S2854),"Intersection","Non-Intersection")</f>
        <v>Non-Intersection</v>
      </c>
      <c r="Y2854" t="s">
        <v>3861</v>
      </c>
      <c r="Z2854" t="str">
        <f t="shared" si="651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38"/>
        <v>40544</v>
      </c>
      <c r="D2855" s="4">
        <f t="shared" si="639"/>
        <v>0.81369863013698629</v>
      </c>
      <c r="E2855" s="3">
        <f t="shared" si="640"/>
        <v>2011</v>
      </c>
      <c r="F2855" s="3">
        <f t="shared" si="641"/>
        <v>10</v>
      </c>
      <c r="G2855" s="3">
        <f t="shared" si="642"/>
        <v>25</v>
      </c>
      <c r="H2855" s="3">
        <f t="shared" si="643"/>
        <v>21</v>
      </c>
      <c r="I2855" s="3">
        <f t="shared" si="644"/>
        <v>37</v>
      </c>
      <c r="J2855" s="3">
        <f t="shared" si="645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46"/>
        <v>YES</v>
      </c>
      <c r="Q2855" t="str">
        <f t="shared" si="647"/>
        <v>NO</v>
      </c>
      <c r="R2855" t="str">
        <f t="shared" si="648"/>
        <v>NO</v>
      </c>
      <c r="T2855" t="s">
        <v>260</v>
      </c>
      <c r="U2855" t="str">
        <f t="shared" si="649"/>
        <v>Third St</v>
      </c>
      <c r="V2855" t="s">
        <v>146</v>
      </c>
      <c r="W2855" t="str">
        <f t="shared" si="650"/>
        <v>Spring St</v>
      </c>
      <c r="X2855" t="str">
        <f>IF(ISBLANK(S2855),"Intersection","Non-Intersection")</f>
        <v>Intersection</v>
      </c>
      <c r="Y2855" t="s">
        <v>544</v>
      </c>
      <c r="Z2855" t="str">
        <f t="shared" si="651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38"/>
        <v>40544</v>
      </c>
      <c r="D2856" s="4">
        <f t="shared" si="639"/>
        <v>0.81369863013698629</v>
      </c>
      <c r="E2856" s="3">
        <f t="shared" si="640"/>
        <v>2011</v>
      </c>
      <c r="F2856" s="3">
        <f t="shared" si="641"/>
        <v>10</v>
      </c>
      <c r="G2856" s="3">
        <f t="shared" si="642"/>
        <v>25</v>
      </c>
      <c r="H2856" s="3">
        <f t="shared" si="643"/>
        <v>10</v>
      </c>
      <c r="I2856" s="3">
        <f t="shared" si="644"/>
        <v>34</v>
      </c>
      <c r="J2856" s="3">
        <f t="shared" si="645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46"/>
        <v>YES</v>
      </c>
      <c r="Q2856" t="str">
        <f t="shared" si="647"/>
        <v>NO</v>
      </c>
      <c r="R2856" t="str">
        <f t="shared" si="648"/>
        <v>NO</v>
      </c>
      <c r="T2856" t="s">
        <v>14</v>
      </c>
      <c r="U2856" t="str">
        <f t="shared" si="649"/>
        <v>Massachusetts Ave</v>
      </c>
      <c r="V2856" t="s">
        <v>1124</v>
      </c>
      <c r="W2856" t="str">
        <f t="shared" si="650"/>
        <v>Magoun St</v>
      </c>
      <c r="X2856" t="str">
        <f>IF(ISBLANK(S2856),"Intersection","Non-Intersection")</f>
        <v>Intersection</v>
      </c>
      <c r="Y2856" t="s">
        <v>1125</v>
      </c>
      <c r="Z2856" t="str">
        <f t="shared" si="651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38"/>
        <v>40544</v>
      </c>
      <c r="D2857" s="4">
        <f t="shared" si="639"/>
        <v>0.81643835616438354</v>
      </c>
      <c r="E2857" s="3">
        <f t="shared" si="640"/>
        <v>2011</v>
      </c>
      <c r="F2857" s="3">
        <f t="shared" si="641"/>
        <v>10</v>
      </c>
      <c r="G2857" s="3">
        <f t="shared" si="642"/>
        <v>26</v>
      </c>
      <c r="H2857" s="3">
        <f t="shared" si="643"/>
        <v>8</v>
      </c>
      <c r="I2857" s="3">
        <f t="shared" si="644"/>
        <v>10</v>
      </c>
      <c r="J2857" s="3">
        <f t="shared" si="645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46"/>
        <v>YES</v>
      </c>
      <c r="Q2857" t="str">
        <f t="shared" si="647"/>
        <v>NO</v>
      </c>
      <c r="R2857" t="str">
        <f t="shared" si="648"/>
        <v>NO</v>
      </c>
      <c r="T2857" t="s">
        <v>252</v>
      </c>
      <c r="U2857" t="str">
        <f t="shared" si="649"/>
        <v>Walden St</v>
      </c>
      <c r="V2857" t="s">
        <v>376</v>
      </c>
      <c r="W2857" t="str">
        <f t="shared" si="650"/>
        <v>Saville St</v>
      </c>
      <c r="X2857" t="str">
        <f>IF(ISBLANK(S2857),"Intersection","Non-Intersection")</f>
        <v>Intersection</v>
      </c>
      <c r="Y2857" t="s">
        <v>1167</v>
      </c>
      <c r="Z2857" t="str">
        <f t="shared" si="651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38"/>
        <v>40544</v>
      </c>
      <c r="D2858" s="4">
        <f t="shared" si="639"/>
        <v>0.81643835616438354</v>
      </c>
      <c r="E2858" s="3">
        <f t="shared" si="640"/>
        <v>2011</v>
      </c>
      <c r="F2858" s="3">
        <f t="shared" si="641"/>
        <v>10</v>
      </c>
      <c r="G2858" s="3">
        <f t="shared" si="642"/>
        <v>26</v>
      </c>
      <c r="H2858" s="3">
        <f t="shared" si="643"/>
        <v>9</v>
      </c>
      <c r="I2858" s="3">
        <f t="shared" si="644"/>
        <v>45</v>
      </c>
      <c r="J2858" s="3">
        <f t="shared" si="645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46"/>
        <v>YES</v>
      </c>
      <c r="Q2858" t="str">
        <f t="shared" si="647"/>
        <v>NO</v>
      </c>
      <c r="R2858" t="str">
        <f t="shared" si="648"/>
        <v>NO</v>
      </c>
      <c r="T2858" t="s">
        <v>79</v>
      </c>
      <c r="U2858" t="str">
        <f t="shared" si="649"/>
        <v>Ames St</v>
      </c>
      <c r="V2858" t="s">
        <v>1182</v>
      </c>
      <c r="W2858" t="str">
        <f t="shared" si="650"/>
        <v>Amherst St</v>
      </c>
      <c r="X2858" t="str">
        <f>IF(ISBLANK(S2858),"Intersection","Non-Intersection")</f>
        <v>Intersection</v>
      </c>
      <c r="Y2858" t="s">
        <v>1183</v>
      </c>
      <c r="Z2858" t="str">
        <f t="shared" si="651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38"/>
        <v>40544</v>
      </c>
      <c r="D2859" s="4">
        <f t="shared" si="639"/>
        <v>0.81643835616438354</v>
      </c>
      <c r="E2859" s="3">
        <f t="shared" si="640"/>
        <v>2011</v>
      </c>
      <c r="F2859" s="3">
        <f t="shared" si="641"/>
        <v>10</v>
      </c>
      <c r="G2859" s="3">
        <f t="shared" si="642"/>
        <v>26</v>
      </c>
      <c r="H2859" s="3">
        <f t="shared" si="643"/>
        <v>12</v>
      </c>
      <c r="I2859" s="3">
        <f t="shared" si="644"/>
        <v>30</v>
      </c>
      <c r="J2859" s="3">
        <f t="shared" si="645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46"/>
        <v>YES</v>
      </c>
      <c r="Q2859" t="str">
        <f t="shared" si="647"/>
        <v>NO</v>
      </c>
      <c r="R2859" t="str">
        <f t="shared" si="648"/>
        <v>NO</v>
      </c>
      <c r="T2859" t="s">
        <v>14</v>
      </c>
      <c r="U2859" t="str">
        <f t="shared" si="649"/>
        <v>Massachusetts Ave</v>
      </c>
      <c r="V2859" t="s">
        <v>219</v>
      </c>
      <c r="W2859" t="str">
        <f t="shared" si="650"/>
        <v>Sacramento St</v>
      </c>
      <c r="X2859" t="str">
        <f>IF(ISBLANK(S2859),"Intersection","Non-Intersection")</f>
        <v>Intersection</v>
      </c>
      <c r="Y2859" t="s">
        <v>3863</v>
      </c>
      <c r="Z2859" t="str">
        <f t="shared" si="651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38"/>
        <v>40544</v>
      </c>
      <c r="D2860" s="4">
        <f t="shared" si="639"/>
        <v>0.81643835616438354</v>
      </c>
      <c r="E2860" s="3">
        <f t="shared" si="640"/>
        <v>2011</v>
      </c>
      <c r="F2860" s="3">
        <f t="shared" si="641"/>
        <v>10</v>
      </c>
      <c r="G2860" s="3">
        <f t="shared" si="642"/>
        <v>26</v>
      </c>
      <c r="H2860" s="3">
        <f t="shared" si="643"/>
        <v>13</v>
      </c>
      <c r="I2860" s="3">
        <f t="shared" si="644"/>
        <v>25</v>
      </c>
      <c r="J2860" s="3">
        <f t="shared" si="645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46"/>
        <v>YES</v>
      </c>
      <c r="Q2860" t="str">
        <f t="shared" si="647"/>
        <v>NO</v>
      </c>
      <c r="R2860" t="str">
        <f t="shared" si="648"/>
        <v>NO</v>
      </c>
      <c r="T2860" t="s">
        <v>14</v>
      </c>
      <c r="U2860" t="str">
        <f t="shared" si="649"/>
        <v>Massachusetts Ave</v>
      </c>
      <c r="V2860" t="s">
        <v>977</v>
      </c>
      <c r="W2860" t="str">
        <f t="shared" si="650"/>
        <v>Russell St</v>
      </c>
      <c r="X2860" t="str">
        <f>IF(ISBLANK(S2860),"Intersection","Non-Intersection")</f>
        <v>Intersection</v>
      </c>
      <c r="Y2860" t="s">
        <v>978</v>
      </c>
      <c r="Z2860" t="str">
        <f t="shared" si="651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38"/>
        <v>40544</v>
      </c>
      <c r="D2861" s="4">
        <f t="shared" si="639"/>
        <v>0.81643835616438354</v>
      </c>
      <c r="E2861" s="3">
        <f t="shared" si="640"/>
        <v>2011</v>
      </c>
      <c r="F2861" s="3">
        <f t="shared" si="641"/>
        <v>10</v>
      </c>
      <c r="G2861" s="3">
        <f t="shared" si="642"/>
        <v>26</v>
      </c>
      <c r="H2861" s="3">
        <f t="shared" si="643"/>
        <v>17</v>
      </c>
      <c r="I2861" s="3">
        <f t="shared" si="644"/>
        <v>49</v>
      </c>
      <c r="J2861" s="3">
        <f t="shared" si="645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46"/>
        <v>YES</v>
      </c>
      <c r="Q2861" t="str">
        <f t="shared" si="647"/>
        <v>NO</v>
      </c>
      <c r="R2861" t="str">
        <f t="shared" si="648"/>
        <v>NO</v>
      </c>
      <c r="T2861" t="s">
        <v>105</v>
      </c>
      <c r="U2861" t="str">
        <f t="shared" si="649"/>
        <v>Broadway</v>
      </c>
      <c r="V2861" t="s">
        <v>410</v>
      </c>
      <c r="W2861" t="str">
        <f t="shared" si="650"/>
        <v>Highland Ave</v>
      </c>
      <c r="X2861" t="str">
        <f>IF(ISBLANK(S2861),"Intersection","Non-Intersection")</f>
        <v>Intersection</v>
      </c>
      <c r="Y2861" t="s">
        <v>3865</v>
      </c>
      <c r="Z2861" t="str">
        <f t="shared" si="651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38"/>
        <v>40544</v>
      </c>
      <c r="D2862" s="4">
        <f t="shared" si="639"/>
        <v>0.81643835616438354</v>
      </c>
      <c r="E2862" s="3">
        <f t="shared" si="640"/>
        <v>2011</v>
      </c>
      <c r="F2862" s="3">
        <f t="shared" si="641"/>
        <v>10</v>
      </c>
      <c r="G2862" s="3">
        <f t="shared" si="642"/>
        <v>26</v>
      </c>
      <c r="H2862" s="3">
        <f t="shared" si="643"/>
        <v>18</v>
      </c>
      <c r="I2862" s="3">
        <f t="shared" si="644"/>
        <v>29</v>
      </c>
      <c r="J2862" s="3">
        <f t="shared" si="645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46"/>
        <v>YES</v>
      </c>
      <c r="Q2862" t="str">
        <f t="shared" si="647"/>
        <v>NO</v>
      </c>
      <c r="R2862" t="str">
        <f t="shared" si="648"/>
        <v>NO</v>
      </c>
      <c r="S2862">
        <v>255</v>
      </c>
      <c r="T2862" t="s">
        <v>105</v>
      </c>
      <c r="U2862" t="str">
        <f t="shared" si="649"/>
        <v>Broadway</v>
      </c>
      <c r="W2862" t="str">
        <f t="shared" si="650"/>
        <v/>
      </c>
      <c r="X2862" t="str">
        <f>IF(ISBLANK(S2862),"Intersection","Non-Intersection")</f>
        <v>Non-Intersection</v>
      </c>
      <c r="Y2862" t="s">
        <v>3867</v>
      </c>
      <c r="Z2862" t="str">
        <f t="shared" si="651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38"/>
        <v>40544</v>
      </c>
      <c r="D2863" s="4">
        <f t="shared" si="639"/>
        <v>0.81917808219178079</v>
      </c>
      <c r="E2863" s="3">
        <f t="shared" si="640"/>
        <v>2011</v>
      </c>
      <c r="F2863" s="3">
        <f t="shared" si="641"/>
        <v>10</v>
      </c>
      <c r="G2863" s="3">
        <f t="shared" si="642"/>
        <v>27</v>
      </c>
      <c r="H2863" s="3">
        <f t="shared" si="643"/>
        <v>1</v>
      </c>
      <c r="I2863" s="3">
        <f t="shared" si="644"/>
        <v>50</v>
      </c>
      <c r="J2863" s="3">
        <f t="shared" si="645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46"/>
        <v>YES</v>
      </c>
      <c r="Q2863" t="str">
        <f t="shared" si="647"/>
        <v>NO</v>
      </c>
      <c r="R2863" t="str">
        <f t="shared" si="648"/>
        <v>NO</v>
      </c>
      <c r="T2863" t="s">
        <v>203</v>
      </c>
      <c r="U2863" t="str">
        <f t="shared" si="649"/>
        <v>Memorial Dr</v>
      </c>
      <c r="V2863" t="s">
        <v>14</v>
      </c>
      <c r="W2863" t="str">
        <f t="shared" si="650"/>
        <v>Massachusetts Ave</v>
      </c>
      <c r="X2863" t="str">
        <f>IF(ISBLANK(S2863),"Intersection","Non-Intersection")</f>
        <v>Intersection</v>
      </c>
      <c r="Y2863" t="s">
        <v>3869</v>
      </c>
      <c r="Z2863" t="str">
        <f t="shared" si="651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38"/>
        <v>40544</v>
      </c>
      <c r="D2864" s="4">
        <f t="shared" si="639"/>
        <v>0.81917808219178079</v>
      </c>
      <c r="E2864" s="3">
        <f t="shared" si="640"/>
        <v>2011</v>
      </c>
      <c r="F2864" s="3">
        <f t="shared" si="641"/>
        <v>10</v>
      </c>
      <c r="G2864" s="3">
        <f t="shared" si="642"/>
        <v>27</v>
      </c>
      <c r="H2864" s="3">
        <f t="shared" si="643"/>
        <v>1</v>
      </c>
      <c r="I2864" s="3">
        <f t="shared" si="644"/>
        <v>25</v>
      </c>
      <c r="J2864" s="3">
        <f t="shared" si="645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46"/>
        <v>YES</v>
      </c>
      <c r="Q2864" t="str">
        <f t="shared" si="647"/>
        <v>NO</v>
      </c>
      <c r="R2864" t="str">
        <f t="shared" si="648"/>
        <v>NO</v>
      </c>
      <c r="T2864" t="s">
        <v>186</v>
      </c>
      <c r="U2864" t="str">
        <f t="shared" si="649"/>
        <v>Concord Ave</v>
      </c>
      <c r="V2864" t="s">
        <v>142</v>
      </c>
      <c r="W2864" t="str">
        <f t="shared" si="650"/>
        <v>Huron Ave</v>
      </c>
      <c r="X2864" t="str">
        <f>IF(ISBLANK(S2864),"Intersection","Non-Intersection")</f>
        <v>Intersection</v>
      </c>
      <c r="Y2864" t="s">
        <v>3373</v>
      </c>
      <c r="Z2864" t="str">
        <f t="shared" si="651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38"/>
        <v>40544</v>
      </c>
      <c r="D2865" s="4">
        <f t="shared" si="639"/>
        <v>0.81917808219178079</v>
      </c>
      <c r="E2865" s="3">
        <f t="shared" si="640"/>
        <v>2011</v>
      </c>
      <c r="F2865" s="3">
        <f t="shared" si="641"/>
        <v>10</v>
      </c>
      <c r="G2865" s="3">
        <f t="shared" si="642"/>
        <v>27</v>
      </c>
      <c r="H2865" s="3">
        <f t="shared" si="643"/>
        <v>17</v>
      </c>
      <c r="I2865" s="3">
        <f t="shared" si="644"/>
        <v>44</v>
      </c>
      <c r="J2865" s="3">
        <f t="shared" si="645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46"/>
        <v>YES</v>
      </c>
      <c r="Q2865" t="str">
        <f t="shared" si="647"/>
        <v>NO</v>
      </c>
      <c r="R2865" t="str">
        <f t="shared" si="648"/>
        <v>NO</v>
      </c>
      <c r="T2865" t="s">
        <v>14</v>
      </c>
      <c r="U2865" t="str">
        <f t="shared" si="649"/>
        <v>Massachusetts Ave</v>
      </c>
      <c r="V2865" t="s">
        <v>675</v>
      </c>
      <c r="W2865" t="str">
        <f t="shared" si="650"/>
        <v>Roseland St</v>
      </c>
      <c r="X2865" t="str">
        <f>IF(ISBLANK(S2865),"Intersection","Non-Intersection")</f>
        <v>Intersection</v>
      </c>
      <c r="Y2865" t="s">
        <v>1882</v>
      </c>
      <c r="Z2865" t="str">
        <f t="shared" si="651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38"/>
        <v>40544</v>
      </c>
      <c r="D2866" s="4">
        <f t="shared" si="639"/>
        <v>0.81917808219178079</v>
      </c>
      <c r="E2866" s="3">
        <f t="shared" si="640"/>
        <v>2011</v>
      </c>
      <c r="F2866" s="3">
        <f t="shared" si="641"/>
        <v>10</v>
      </c>
      <c r="G2866" s="3">
        <f t="shared" si="642"/>
        <v>27</v>
      </c>
      <c r="H2866" s="3">
        <f t="shared" si="643"/>
        <v>15</v>
      </c>
      <c r="I2866" s="3">
        <f t="shared" si="644"/>
        <v>45</v>
      </c>
      <c r="J2866" s="3">
        <f t="shared" si="645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46"/>
        <v>YES</v>
      </c>
      <c r="Q2866" t="str">
        <f t="shared" si="647"/>
        <v>NO</v>
      </c>
      <c r="R2866" t="str">
        <f t="shared" si="648"/>
        <v>NO</v>
      </c>
      <c r="T2866" t="s">
        <v>28</v>
      </c>
      <c r="U2866" t="str">
        <f t="shared" si="649"/>
        <v>Howard St</v>
      </c>
      <c r="V2866" t="s">
        <v>27</v>
      </c>
      <c r="W2866" t="str">
        <f t="shared" si="650"/>
        <v>Western Ave</v>
      </c>
      <c r="X2866" t="str">
        <f>IF(ISBLANK(S2866),"Intersection","Non-Intersection")</f>
        <v>Intersection</v>
      </c>
      <c r="Y2866" t="s">
        <v>1772</v>
      </c>
      <c r="Z2866" t="str">
        <f t="shared" si="651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38"/>
        <v>40544</v>
      </c>
      <c r="D2867" s="4">
        <f t="shared" si="639"/>
        <v>0.81917808219178079</v>
      </c>
      <c r="E2867" s="3">
        <f t="shared" si="640"/>
        <v>2011</v>
      </c>
      <c r="F2867" s="3">
        <f t="shared" si="641"/>
        <v>10</v>
      </c>
      <c r="G2867" s="3">
        <f t="shared" si="642"/>
        <v>27</v>
      </c>
      <c r="H2867" s="3">
        <f t="shared" si="643"/>
        <v>16</v>
      </c>
      <c r="I2867" s="3">
        <f t="shared" si="644"/>
        <v>38</v>
      </c>
      <c r="J2867" s="3">
        <f t="shared" si="645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46"/>
        <v>YES</v>
      </c>
      <c r="Q2867" t="str">
        <f t="shared" si="647"/>
        <v>NO</v>
      </c>
      <c r="R2867" t="str">
        <f t="shared" si="648"/>
        <v>NO</v>
      </c>
      <c r="T2867" t="s">
        <v>209</v>
      </c>
      <c r="U2867" t="str">
        <f t="shared" si="649"/>
        <v>Binney St</v>
      </c>
      <c r="V2867" t="s">
        <v>379</v>
      </c>
      <c r="W2867" t="str">
        <f t="shared" si="650"/>
        <v>Second St</v>
      </c>
      <c r="X2867" t="str">
        <f>IF(ISBLANK(S2867),"Intersection","Non-Intersection")</f>
        <v>Intersection</v>
      </c>
      <c r="Y2867" t="s">
        <v>3870</v>
      </c>
      <c r="Z2867" t="str">
        <f t="shared" si="651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38"/>
        <v>40544</v>
      </c>
      <c r="D2868" s="4">
        <f t="shared" si="639"/>
        <v>0.81917808219178079</v>
      </c>
      <c r="E2868" s="3">
        <f t="shared" si="640"/>
        <v>2011</v>
      </c>
      <c r="F2868" s="3">
        <f t="shared" si="641"/>
        <v>10</v>
      </c>
      <c r="G2868" s="3">
        <f t="shared" si="642"/>
        <v>27</v>
      </c>
      <c r="H2868" s="3">
        <f t="shared" si="643"/>
        <v>13</v>
      </c>
      <c r="I2868" s="3">
        <f t="shared" si="644"/>
        <v>5</v>
      </c>
      <c r="J2868" s="3">
        <f t="shared" si="645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46"/>
        <v>YES</v>
      </c>
      <c r="Q2868" t="str">
        <f t="shared" si="647"/>
        <v>NO</v>
      </c>
      <c r="R2868" t="str">
        <f t="shared" si="648"/>
        <v>NO</v>
      </c>
      <c r="S2868">
        <v>35</v>
      </c>
      <c r="T2868" t="s">
        <v>268</v>
      </c>
      <c r="U2868" t="str">
        <f t="shared" si="649"/>
        <v>White St</v>
      </c>
      <c r="W2868" t="str">
        <f t="shared" si="650"/>
        <v/>
      </c>
      <c r="X2868" t="str">
        <f>IF(ISBLANK(S2868),"Intersection","Non-Intersection")</f>
        <v>Non-Intersection</v>
      </c>
      <c r="Y2868" t="s">
        <v>933</v>
      </c>
      <c r="Z2868" t="str">
        <f t="shared" si="651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38"/>
        <v>40544</v>
      </c>
      <c r="D2869" s="4">
        <f t="shared" si="639"/>
        <v>0.81917808219178079</v>
      </c>
      <c r="E2869" s="3">
        <f t="shared" si="640"/>
        <v>2011</v>
      </c>
      <c r="F2869" s="3">
        <f t="shared" si="641"/>
        <v>10</v>
      </c>
      <c r="G2869" s="3">
        <f t="shared" si="642"/>
        <v>27</v>
      </c>
      <c r="H2869" s="3">
        <f t="shared" si="643"/>
        <v>18</v>
      </c>
      <c r="I2869" s="3">
        <f t="shared" si="644"/>
        <v>1</v>
      </c>
      <c r="J2869" s="3">
        <f t="shared" si="645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46"/>
        <v>YES</v>
      </c>
      <c r="Q2869" t="str">
        <f t="shared" si="647"/>
        <v>NO</v>
      </c>
      <c r="R2869" t="str">
        <f t="shared" si="648"/>
        <v>YES</v>
      </c>
      <c r="T2869" t="s">
        <v>19</v>
      </c>
      <c r="U2869" t="str">
        <f t="shared" si="649"/>
        <v>Cambridge St</v>
      </c>
      <c r="V2869" t="s">
        <v>472</v>
      </c>
      <c r="W2869" t="str">
        <f t="shared" si="650"/>
        <v>Day St</v>
      </c>
      <c r="X2869" t="str">
        <f>IF(ISBLANK(S2869),"Intersection","Non-Intersection")</f>
        <v>Intersection</v>
      </c>
      <c r="Y2869" t="s">
        <v>3872</v>
      </c>
      <c r="Z2869" t="str">
        <f t="shared" si="651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52">EOMONTH(B2870,MONTH(B2870)*-1)+1</f>
        <v>40544</v>
      </c>
      <c r="D2870" s="4">
        <f t="shared" ref="D2870:D2932" si="653">YEARFRAC(C2870,B2870,1)</f>
        <v>0.81917808219178079</v>
      </c>
      <c r="E2870" s="3">
        <f t="shared" ref="E2870:E2932" si="654">YEAR(B2870)</f>
        <v>2011</v>
      </c>
      <c r="F2870" s="3">
        <f t="shared" ref="F2870:F2932" si="655">MONTH(B2870)</f>
        <v>10</v>
      </c>
      <c r="G2870" s="3">
        <f t="shared" ref="G2870:G2932" si="656">DAY(B2870)</f>
        <v>27</v>
      </c>
      <c r="H2870" s="3">
        <f t="shared" ref="H2870:H2932" si="657">HOUR(B2870)</f>
        <v>20</v>
      </c>
      <c r="I2870" s="3">
        <f t="shared" ref="I2870:I2932" si="658">MINUTE(B2870)</f>
        <v>19</v>
      </c>
      <c r="J2870" s="3">
        <f t="shared" ref="J2870:J2932" si="659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660">IF(OR(N2870="Auto",O2870="Auto"),"YES",IF(OR(N2870="Taxi",O2870="Taxi"),"YES",IF(OR(N2870="Van",O2870="Van"),"YES",IF(OR(N2870="Truck",O2870="Truck"),"YES","NO"))))</f>
        <v>YES</v>
      </c>
      <c r="Q2870" t="str">
        <f t="shared" ref="Q2870:Q2932" si="661">IF(OR(N2870="Bicycle",O2870="Bicycle"),"YES","NO")</f>
        <v>NO</v>
      </c>
      <c r="R2870" t="str">
        <f t="shared" ref="R2870:R2932" si="662">IF(OR(N2870="Pedestrian",O2870="Pedestrian"),"YES","NO")</f>
        <v>YES</v>
      </c>
      <c r="T2870" t="s">
        <v>32</v>
      </c>
      <c r="U2870" t="str">
        <f t="shared" si="649"/>
        <v>Main St</v>
      </c>
      <c r="V2870" t="s">
        <v>105</v>
      </c>
      <c r="W2870" t="str">
        <f t="shared" si="650"/>
        <v>Broadway</v>
      </c>
      <c r="X2870" t="str">
        <f>IF(ISBLANK(S2870),"Intersection","Non-Intersection")</f>
        <v>Intersection</v>
      </c>
      <c r="Y2870" t="s">
        <v>3873</v>
      </c>
      <c r="Z2870" t="str">
        <f t="shared" si="651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52"/>
        <v>40544</v>
      </c>
      <c r="D2871" s="4">
        <f t="shared" si="653"/>
        <v>0.81917808219178079</v>
      </c>
      <c r="E2871" s="3">
        <f t="shared" si="654"/>
        <v>2011</v>
      </c>
      <c r="F2871" s="3">
        <f t="shared" si="655"/>
        <v>10</v>
      </c>
      <c r="G2871" s="3">
        <f t="shared" si="656"/>
        <v>27</v>
      </c>
      <c r="H2871" s="3">
        <f t="shared" si="657"/>
        <v>20</v>
      </c>
      <c r="I2871" s="3">
        <f t="shared" si="658"/>
        <v>49</v>
      </c>
      <c r="J2871" s="3">
        <f t="shared" si="659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660"/>
        <v>YES</v>
      </c>
      <c r="Q2871" t="str">
        <f t="shared" si="661"/>
        <v>NO</v>
      </c>
      <c r="R2871" t="str">
        <f t="shared" si="662"/>
        <v>NO</v>
      </c>
      <c r="T2871" t="s">
        <v>1132</v>
      </c>
      <c r="U2871" t="str">
        <f t="shared" si="649"/>
        <v>Moulton St</v>
      </c>
      <c r="V2871" t="s">
        <v>186</v>
      </c>
      <c r="W2871" t="str">
        <f t="shared" si="650"/>
        <v>Concord Ave</v>
      </c>
      <c r="X2871" t="str">
        <f>IF(ISBLANK(S2871),"Intersection","Non-Intersection")</f>
        <v>Intersection</v>
      </c>
      <c r="Y2871" t="s">
        <v>3875</v>
      </c>
      <c r="Z2871" t="str">
        <f t="shared" si="651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52"/>
        <v>40544</v>
      </c>
      <c r="D2872" s="4">
        <f t="shared" si="653"/>
        <v>0.81917808219178079</v>
      </c>
      <c r="E2872" s="3">
        <f t="shared" si="654"/>
        <v>2011</v>
      </c>
      <c r="F2872" s="3">
        <f t="shared" si="655"/>
        <v>10</v>
      </c>
      <c r="G2872" s="3">
        <f t="shared" si="656"/>
        <v>27</v>
      </c>
      <c r="H2872" s="3">
        <f t="shared" si="657"/>
        <v>8</v>
      </c>
      <c r="I2872" s="3">
        <f t="shared" si="658"/>
        <v>0</v>
      </c>
      <c r="J2872" s="3">
        <f t="shared" si="659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660"/>
        <v>YES</v>
      </c>
      <c r="Q2872" t="str">
        <f t="shared" si="661"/>
        <v>NO</v>
      </c>
      <c r="R2872" t="str">
        <f t="shared" si="662"/>
        <v>NO</v>
      </c>
      <c r="T2872" t="s">
        <v>3501</v>
      </c>
      <c r="U2872" t="str">
        <f t="shared" si="649"/>
        <v>Fenno St</v>
      </c>
      <c r="V2872" t="s">
        <v>3876</v>
      </c>
      <c r="W2872" t="str">
        <f t="shared" si="650"/>
        <v>Esten St</v>
      </c>
      <c r="X2872" t="str">
        <f>IF(ISBLANK(S2872),"Intersection","Non-Intersection")</f>
        <v>Intersection</v>
      </c>
      <c r="Y2872" t="s">
        <v>3877</v>
      </c>
      <c r="Z2872" t="str">
        <f t="shared" si="651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52"/>
        <v>40544</v>
      </c>
      <c r="D2873" s="4">
        <f t="shared" si="653"/>
        <v>0.81917808219178079</v>
      </c>
      <c r="E2873" s="3">
        <f t="shared" si="654"/>
        <v>2011</v>
      </c>
      <c r="F2873" s="3">
        <f t="shared" si="655"/>
        <v>10</v>
      </c>
      <c r="G2873" s="3">
        <f t="shared" si="656"/>
        <v>27</v>
      </c>
      <c r="H2873" s="3">
        <f t="shared" si="657"/>
        <v>15</v>
      </c>
      <c r="I2873" s="3">
        <f t="shared" si="658"/>
        <v>0</v>
      </c>
      <c r="J2873" s="3">
        <f t="shared" si="659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660"/>
        <v>YES</v>
      </c>
      <c r="Q2873" t="str">
        <f t="shared" si="661"/>
        <v>NO</v>
      </c>
      <c r="R2873" t="str">
        <f t="shared" si="662"/>
        <v>NO</v>
      </c>
      <c r="T2873" t="s">
        <v>133</v>
      </c>
      <c r="U2873" t="str">
        <f t="shared" si="649"/>
        <v>Harvard St</v>
      </c>
      <c r="V2873" t="s">
        <v>1226</v>
      </c>
      <c r="W2873" t="str">
        <f t="shared" si="650"/>
        <v>Dana St</v>
      </c>
      <c r="X2873" t="str">
        <f>IF(ISBLANK(S2873),"Intersection","Non-Intersection")</f>
        <v>Intersection</v>
      </c>
      <c r="Y2873" t="s">
        <v>1853</v>
      </c>
      <c r="Z2873" t="str">
        <f t="shared" si="651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52"/>
        <v>40544</v>
      </c>
      <c r="D2874" s="4">
        <f t="shared" si="653"/>
        <v>0.82191780821917804</v>
      </c>
      <c r="E2874" s="3">
        <f t="shared" si="654"/>
        <v>2011</v>
      </c>
      <c r="F2874" s="3">
        <f t="shared" si="655"/>
        <v>10</v>
      </c>
      <c r="G2874" s="3">
        <f t="shared" si="656"/>
        <v>28</v>
      </c>
      <c r="H2874" s="3">
        <f t="shared" si="657"/>
        <v>6</v>
      </c>
      <c r="I2874" s="3">
        <f t="shared" si="658"/>
        <v>34</v>
      </c>
      <c r="J2874" s="3">
        <f t="shared" si="659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660"/>
        <v>YES</v>
      </c>
      <c r="Q2874" t="str">
        <f t="shared" si="661"/>
        <v>NO</v>
      </c>
      <c r="R2874" t="str">
        <f t="shared" si="662"/>
        <v>YES</v>
      </c>
      <c r="T2874" t="s">
        <v>50</v>
      </c>
      <c r="U2874" t="str">
        <f t="shared" si="649"/>
        <v>Belmont St</v>
      </c>
      <c r="V2874" t="s">
        <v>3879</v>
      </c>
      <c r="W2874" t="str">
        <f t="shared" si="650"/>
        <v>Ericsson St</v>
      </c>
      <c r="X2874" t="str">
        <f>IF(ISBLANK(S2874),"Intersection","Non-Intersection")</f>
        <v>Intersection</v>
      </c>
      <c r="Y2874" t="s">
        <v>3880</v>
      </c>
      <c r="Z2874" t="str">
        <f t="shared" si="651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52"/>
        <v>40544</v>
      </c>
      <c r="D2875" s="4">
        <f t="shared" si="653"/>
        <v>0.82191780821917804</v>
      </c>
      <c r="E2875" s="3">
        <f t="shared" si="654"/>
        <v>2011</v>
      </c>
      <c r="F2875" s="3">
        <f t="shared" si="655"/>
        <v>10</v>
      </c>
      <c r="G2875" s="3">
        <f t="shared" si="656"/>
        <v>28</v>
      </c>
      <c r="H2875" s="3">
        <f t="shared" si="657"/>
        <v>19</v>
      </c>
      <c r="I2875" s="3">
        <f t="shared" si="658"/>
        <v>38</v>
      </c>
      <c r="J2875" s="3">
        <f t="shared" si="659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660"/>
        <v>YES</v>
      </c>
      <c r="Q2875" t="str">
        <f t="shared" si="661"/>
        <v>NO</v>
      </c>
      <c r="R2875" t="str">
        <f t="shared" si="662"/>
        <v>NO</v>
      </c>
      <c r="T2875" t="s">
        <v>147</v>
      </c>
      <c r="U2875" t="str">
        <f t="shared" si="649"/>
        <v>Sixth St</v>
      </c>
      <c r="W2875" t="str">
        <f t="shared" si="650"/>
        <v/>
      </c>
      <c r="X2875" t="str">
        <f>IF(ISBLANK(S2875),"Intersection","Non-Intersection")</f>
        <v>Intersection</v>
      </c>
      <c r="Y2875" t="s">
        <v>3882</v>
      </c>
      <c r="Z2875" t="str">
        <f t="shared" si="651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52"/>
        <v>40544</v>
      </c>
      <c r="D2876" s="4">
        <f t="shared" si="653"/>
        <v>0.82191780821917804</v>
      </c>
      <c r="E2876" s="3">
        <f t="shared" si="654"/>
        <v>2011</v>
      </c>
      <c r="F2876" s="3">
        <f t="shared" si="655"/>
        <v>10</v>
      </c>
      <c r="G2876" s="3">
        <f t="shared" si="656"/>
        <v>28</v>
      </c>
      <c r="H2876" s="3">
        <f t="shared" si="657"/>
        <v>8</v>
      </c>
      <c r="I2876" s="3">
        <f t="shared" si="658"/>
        <v>45</v>
      </c>
      <c r="J2876" s="3">
        <f t="shared" si="659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660"/>
        <v>YES</v>
      </c>
      <c r="Q2876" t="str">
        <f t="shared" si="661"/>
        <v>YES</v>
      </c>
      <c r="R2876" t="str">
        <f t="shared" si="662"/>
        <v>NO</v>
      </c>
      <c r="T2876" t="s">
        <v>14</v>
      </c>
      <c r="U2876" t="str">
        <f t="shared" si="649"/>
        <v>Massachusetts Ave</v>
      </c>
      <c r="V2876" t="s">
        <v>1426</v>
      </c>
      <c r="W2876" t="str">
        <f t="shared" si="650"/>
        <v>Rice St</v>
      </c>
      <c r="X2876" t="str">
        <f>IF(ISBLANK(S2876),"Intersection","Non-Intersection")</f>
        <v>Intersection</v>
      </c>
      <c r="Y2876" t="s">
        <v>2369</v>
      </c>
      <c r="Z2876" t="str">
        <f t="shared" si="651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52"/>
        <v>40544</v>
      </c>
      <c r="D2877" s="4">
        <f t="shared" si="653"/>
        <v>0.82191780821917804</v>
      </c>
      <c r="E2877" s="3">
        <f t="shared" si="654"/>
        <v>2011</v>
      </c>
      <c r="F2877" s="3">
        <f t="shared" si="655"/>
        <v>10</v>
      </c>
      <c r="G2877" s="3">
        <f t="shared" si="656"/>
        <v>28</v>
      </c>
      <c r="H2877" s="3">
        <f t="shared" si="657"/>
        <v>13</v>
      </c>
      <c r="I2877" s="3">
        <f t="shared" si="658"/>
        <v>45</v>
      </c>
      <c r="J2877" s="3">
        <f t="shared" si="659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660"/>
        <v>YES</v>
      </c>
      <c r="Q2877" t="str">
        <f t="shared" si="661"/>
        <v>NO</v>
      </c>
      <c r="R2877" t="str">
        <f t="shared" si="662"/>
        <v>NO</v>
      </c>
      <c r="T2877" t="s">
        <v>133</v>
      </c>
      <c r="U2877" t="str">
        <f t="shared" si="649"/>
        <v>Harvard St</v>
      </c>
      <c r="V2877" t="s">
        <v>315</v>
      </c>
      <c r="W2877" t="str">
        <f t="shared" si="650"/>
        <v>Essex St</v>
      </c>
      <c r="X2877" t="str">
        <f>IF(ISBLANK(S2877),"Intersection","Non-Intersection")</f>
        <v>Intersection</v>
      </c>
      <c r="Y2877" t="s">
        <v>3883</v>
      </c>
      <c r="Z2877" t="str">
        <f t="shared" si="651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52"/>
        <v>40544</v>
      </c>
      <c r="D2878" s="4">
        <f t="shared" si="653"/>
        <v>0.82191780821917804</v>
      </c>
      <c r="E2878" s="3">
        <f t="shared" si="654"/>
        <v>2011</v>
      </c>
      <c r="F2878" s="3">
        <f t="shared" si="655"/>
        <v>10</v>
      </c>
      <c r="G2878" s="3">
        <f t="shared" si="656"/>
        <v>28</v>
      </c>
      <c r="H2878" s="3">
        <f t="shared" si="657"/>
        <v>13</v>
      </c>
      <c r="I2878" s="3">
        <f t="shared" si="658"/>
        <v>47</v>
      </c>
      <c r="J2878" s="3">
        <f t="shared" si="659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660"/>
        <v>YES</v>
      </c>
      <c r="Q2878" t="str">
        <f t="shared" si="661"/>
        <v>NO</v>
      </c>
      <c r="R2878" t="str">
        <f t="shared" si="662"/>
        <v>NO</v>
      </c>
      <c r="T2878" t="s">
        <v>32</v>
      </c>
      <c r="U2878" t="str">
        <f t="shared" si="649"/>
        <v>Main St</v>
      </c>
      <c r="V2878" t="s">
        <v>444</v>
      </c>
      <c r="W2878" t="str">
        <f t="shared" si="650"/>
        <v>Osborn St</v>
      </c>
      <c r="X2878" t="str">
        <f>IF(ISBLANK(S2878),"Intersection","Non-Intersection")</f>
        <v>Intersection</v>
      </c>
      <c r="Y2878" t="s">
        <v>445</v>
      </c>
      <c r="Z2878" t="str">
        <f t="shared" si="651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52"/>
        <v>40544</v>
      </c>
      <c r="D2879" s="4">
        <f t="shared" si="653"/>
        <v>0.82191780821917804</v>
      </c>
      <c r="E2879" s="3">
        <f t="shared" si="654"/>
        <v>2011</v>
      </c>
      <c r="F2879" s="3">
        <f t="shared" si="655"/>
        <v>10</v>
      </c>
      <c r="G2879" s="3">
        <f t="shared" si="656"/>
        <v>28</v>
      </c>
      <c r="H2879" s="3">
        <f t="shared" si="657"/>
        <v>15</v>
      </c>
      <c r="I2879" s="3">
        <f t="shared" si="658"/>
        <v>8</v>
      </c>
      <c r="J2879" s="3">
        <f t="shared" si="659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660"/>
        <v>YES</v>
      </c>
      <c r="Q2879" t="str">
        <f t="shared" si="661"/>
        <v>NO</v>
      </c>
      <c r="R2879" t="str">
        <f t="shared" si="662"/>
        <v>NO</v>
      </c>
      <c r="T2879" t="s">
        <v>15</v>
      </c>
      <c r="U2879" t="str">
        <f t="shared" si="649"/>
        <v>Rindge Ave</v>
      </c>
      <c r="V2879" t="s">
        <v>601</v>
      </c>
      <c r="W2879" t="str">
        <f t="shared" si="650"/>
        <v>Cedar St</v>
      </c>
      <c r="X2879" t="str">
        <f>IF(ISBLANK(S2879),"Intersection","Non-Intersection")</f>
        <v>Intersection</v>
      </c>
      <c r="Y2879" t="s">
        <v>3885</v>
      </c>
      <c r="Z2879" t="str">
        <f t="shared" si="651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52"/>
        <v>40544</v>
      </c>
      <c r="D2880" s="4">
        <f t="shared" si="653"/>
        <v>0.82191780821917804</v>
      </c>
      <c r="E2880" s="3">
        <f t="shared" si="654"/>
        <v>2011</v>
      </c>
      <c r="F2880" s="3">
        <f t="shared" si="655"/>
        <v>10</v>
      </c>
      <c r="G2880" s="3">
        <f t="shared" si="656"/>
        <v>28</v>
      </c>
      <c r="H2880" s="3">
        <f t="shared" si="657"/>
        <v>21</v>
      </c>
      <c r="I2880" s="3">
        <f t="shared" si="658"/>
        <v>33</v>
      </c>
      <c r="J2880" s="3">
        <f t="shared" si="659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660"/>
        <v>YES</v>
      </c>
      <c r="Q2880" t="str">
        <f t="shared" si="661"/>
        <v>NO</v>
      </c>
      <c r="R2880" t="str">
        <f t="shared" si="662"/>
        <v>NO</v>
      </c>
      <c r="T2880" t="s">
        <v>14</v>
      </c>
      <c r="U2880" t="str">
        <f t="shared" si="649"/>
        <v>Massachusetts Ave</v>
      </c>
      <c r="V2880" t="s">
        <v>524</v>
      </c>
      <c r="W2880" t="str">
        <f t="shared" si="650"/>
        <v>Blake St</v>
      </c>
      <c r="X2880" t="str">
        <f>IF(ISBLANK(S2880),"Intersection","Non-Intersection")</f>
        <v>Intersection</v>
      </c>
      <c r="Y2880" t="s">
        <v>3291</v>
      </c>
      <c r="Z2880" t="str">
        <f t="shared" si="651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52"/>
        <v>40544</v>
      </c>
      <c r="D2881" s="4">
        <f t="shared" si="653"/>
        <v>0.8246575342465754</v>
      </c>
      <c r="E2881" s="3">
        <f t="shared" si="654"/>
        <v>2011</v>
      </c>
      <c r="F2881" s="3">
        <f t="shared" si="655"/>
        <v>10</v>
      </c>
      <c r="G2881" s="3">
        <f t="shared" si="656"/>
        <v>29</v>
      </c>
      <c r="H2881" s="3">
        <f t="shared" si="657"/>
        <v>12</v>
      </c>
      <c r="I2881" s="3">
        <f t="shared" si="658"/>
        <v>20</v>
      </c>
      <c r="J2881" s="3">
        <f t="shared" si="659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660"/>
        <v>YES</v>
      </c>
      <c r="Q2881" t="str">
        <f t="shared" si="661"/>
        <v>NO</v>
      </c>
      <c r="R2881" t="str">
        <f t="shared" si="662"/>
        <v>YES</v>
      </c>
      <c r="S2881">
        <v>49</v>
      </c>
      <c r="T2881" t="s">
        <v>268</v>
      </c>
      <c r="U2881" t="str">
        <f t="shared" si="649"/>
        <v>White St</v>
      </c>
      <c r="W2881" t="str">
        <f t="shared" si="650"/>
        <v/>
      </c>
      <c r="X2881" t="str">
        <f>IF(ISBLANK(S2881),"Intersection","Non-Intersection")</f>
        <v>Non-Intersection</v>
      </c>
      <c r="Y2881" t="s">
        <v>270</v>
      </c>
      <c r="Z2881" t="str">
        <f t="shared" si="651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52"/>
        <v>40544</v>
      </c>
      <c r="D2882" s="4">
        <f t="shared" si="653"/>
        <v>0.8246575342465754</v>
      </c>
      <c r="E2882" s="3">
        <f t="shared" si="654"/>
        <v>2011</v>
      </c>
      <c r="F2882" s="3">
        <f t="shared" si="655"/>
        <v>10</v>
      </c>
      <c r="G2882" s="3">
        <f t="shared" si="656"/>
        <v>29</v>
      </c>
      <c r="H2882" s="3">
        <f t="shared" si="657"/>
        <v>15</v>
      </c>
      <c r="I2882" s="3">
        <f t="shared" si="658"/>
        <v>14</v>
      </c>
      <c r="J2882" s="3">
        <f t="shared" si="659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660"/>
        <v>YES</v>
      </c>
      <c r="Q2882" t="str">
        <f t="shared" si="661"/>
        <v>NO</v>
      </c>
      <c r="R2882" t="str">
        <f t="shared" si="662"/>
        <v>NO</v>
      </c>
      <c r="T2882" t="s">
        <v>27</v>
      </c>
      <c r="U2882" t="str">
        <f t="shared" si="649"/>
        <v>Western Ave</v>
      </c>
      <c r="V2882" t="s">
        <v>2192</v>
      </c>
      <c r="W2882" t="str">
        <f t="shared" si="650"/>
        <v>Montague St</v>
      </c>
      <c r="X2882" t="str">
        <f>IF(ISBLANK(S2882),"Intersection","Non-Intersection")</f>
        <v>Intersection</v>
      </c>
      <c r="Y2882" t="s">
        <v>2193</v>
      </c>
      <c r="Z2882" t="str">
        <f t="shared" si="651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52"/>
        <v>40544</v>
      </c>
      <c r="D2883" s="4">
        <f t="shared" si="653"/>
        <v>0.8246575342465754</v>
      </c>
      <c r="E2883" s="3">
        <f t="shared" si="654"/>
        <v>2011</v>
      </c>
      <c r="F2883" s="3">
        <f t="shared" si="655"/>
        <v>10</v>
      </c>
      <c r="G2883" s="3">
        <f t="shared" si="656"/>
        <v>29</v>
      </c>
      <c r="H2883" s="3">
        <f t="shared" si="657"/>
        <v>18</v>
      </c>
      <c r="I2883" s="3">
        <f t="shared" si="658"/>
        <v>1</v>
      </c>
      <c r="J2883" s="3">
        <f t="shared" si="659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660"/>
        <v>YES</v>
      </c>
      <c r="Q2883" t="str">
        <f t="shared" si="661"/>
        <v>NO</v>
      </c>
      <c r="R2883" t="str">
        <f t="shared" si="662"/>
        <v>YES</v>
      </c>
      <c r="S2883">
        <v>660</v>
      </c>
      <c r="T2883" t="s">
        <v>19</v>
      </c>
      <c r="U2883" t="str">
        <f t="shared" ref="U2883:U2946" si="663">TRIM(PROPER(T2883))</f>
        <v>Cambridge St</v>
      </c>
      <c r="W2883" t="str">
        <f t="shared" ref="W2883:W2946" si="664">TRIM(PROPER(V2883))</f>
        <v/>
      </c>
      <c r="X2883" t="str">
        <f>IF(ISBLANK(S2883),"Intersection","Non-Intersection")</f>
        <v>Non-Intersection</v>
      </c>
      <c r="Y2883" t="s">
        <v>3887</v>
      </c>
      <c r="Z2883" t="str">
        <f t="shared" ref="Z2883:Z2946" si="665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52"/>
        <v>40544</v>
      </c>
      <c r="D2884" s="4">
        <f t="shared" si="653"/>
        <v>0.8246575342465754</v>
      </c>
      <c r="E2884" s="3">
        <f t="shared" si="654"/>
        <v>2011</v>
      </c>
      <c r="F2884" s="3">
        <f t="shared" si="655"/>
        <v>10</v>
      </c>
      <c r="G2884" s="3">
        <f t="shared" si="656"/>
        <v>29</v>
      </c>
      <c r="H2884" s="3">
        <f t="shared" si="657"/>
        <v>20</v>
      </c>
      <c r="I2884" s="3">
        <f t="shared" si="658"/>
        <v>0</v>
      </c>
      <c r="J2884" s="3">
        <f t="shared" si="659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660"/>
        <v>YES</v>
      </c>
      <c r="Q2884" t="str">
        <f t="shared" si="661"/>
        <v>NO</v>
      </c>
      <c r="R2884" t="str">
        <f t="shared" si="662"/>
        <v>NO</v>
      </c>
      <c r="T2884" t="s">
        <v>74</v>
      </c>
      <c r="U2884" t="str">
        <f t="shared" si="663"/>
        <v>Hampshire St</v>
      </c>
      <c r="V2884" t="s">
        <v>796</v>
      </c>
      <c r="W2884" t="str">
        <f t="shared" si="664"/>
        <v>Portland St</v>
      </c>
      <c r="X2884" t="str">
        <f>IF(ISBLANK(S2884),"Intersection","Non-Intersection")</f>
        <v>Intersection</v>
      </c>
      <c r="Y2884" t="s">
        <v>3889</v>
      </c>
      <c r="Z2884" t="str">
        <f t="shared" si="665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52"/>
        <v>40544</v>
      </c>
      <c r="D2885" s="4">
        <f t="shared" si="653"/>
        <v>0.8246575342465754</v>
      </c>
      <c r="E2885" s="3">
        <f t="shared" si="654"/>
        <v>2011</v>
      </c>
      <c r="F2885" s="3">
        <f t="shared" si="655"/>
        <v>10</v>
      </c>
      <c r="G2885" s="3">
        <f t="shared" si="656"/>
        <v>29</v>
      </c>
      <c r="H2885" s="3">
        <f t="shared" si="657"/>
        <v>7</v>
      </c>
      <c r="I2885" s="3">
        <f t="shared" si="658"/>
        <v>34</v>
      </c>
      <c r="J2885" s="3">
        <f t="shared" si="659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660"/>
        <v>YES</v>
      </c>
      <c r="Q2885" t="str">
        <f t="shared" si="661"/>
        <v>NO</v>
      </c>
      <c r="R2885" t="str">
        <f t="shared" si="662"/>
        <v>NO</v>
      </c>
      <c r="S2885">
        <v>199</v>
      </c>
      <c r="T2885" t="s">
        <v>170</v>
      </c>
      <c r="U2885" t="str">
        <f t="shared" si="663"/>
        <v>Alewife Brook Pky</v>
      </c>
      <c r="W2885" t="str">
        <f t="shared" si="664"/>
        <v/>
      </c>
      <c r="X2885" t="str">
        <f>IF(ISBLANK(S2885),"Intersection","Non-Intersection")</f>
        <v>Non-Intersection</v>
      </c>
      <c r="Y2885" t="s">
        <v>1513</v>
      </c>
      <c r="Z2885" t="str">
        <f t="shared" si="665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52"/>
        <v>40544</v>
      </c>
      <c r="D2886" s="4">
        <f t="shared" si="653"/>
        <v>0.82739726027397265</v>
      </c>
      <c r="E2886" s="3">
        <f t="shared" si="654"/>
        <v>2011</v>
      </c>
      <c r="F2886" s="3">
        <f t="shared" si="655"/>
        <v>10</v>
      </c>
      <c r="G2886" s="3">
        <f t="shared" si="656"/>
        <v>30</v>
      </c>
      <c r="H2886" s="3">
        <f t="shared" si="657"/>
        <v>2</v>
      </c>
      <c r="I2886" s="3">
        <f t="shared" si="658"/>
        <v>19</v>
      </c>
      <c r="J2886" s="3">
        <f t="shared" si="659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660"/>
        <v>YES</v>
      </c>
      <c r="Q2886" t="str">
        <f t="shared" si="661"/>
        <v>NO</v>
      </c>
      <c r="R2886" t="str">
        <f t="shared" si="662"/>
        <v>NO</v>
      </c>
      <c r="T2886" t="s">
        <v>27</v>
      </c>
      <c r="U2886" t="str">
        <f t="shared" si="663"/>
        <v>Western Ave</v>
      </c>
      <c r="V2886" t="s">
        <v>42</v>
      </c>
      <c r="W2886" t="str">
        <f t="shared" si="664"/>
        <v>Putnam Ave</v>
      </c>
      <c r="X2886" t="str">
        <f>IF(ISBLANK(S2886),"Intersection","Non-Intersection")</f>
        <v>Intersection</v>
      </c>
      <c r="Y2886" t="s">
        <v>1022</v>
      </c>
      <c r="Z2886" t="str">
        <f t="shared" si="665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52"/>
        <v>40544</v>
      </c>
      <c r="D2887" s="4">
        <f t="shared" si="653"/>
        <v>0.82739726027397265</v>
      </c>
      <c r="E2887" s="3">
        <f t="shared" si="654"/>
        <v>2011</v>
      </c>
      <c r="F2887" s="3">
        <f t="shared" si="655"/>
        <v>10</v>
      </c>
      <c r="G2887" s="3">
        <f t="shared" si="656"/>
        <v>30</v>
      </c>
      <c r="H2887" s="3">
        <f t="shared" si="657"/>
        <v>12</v>
      </c>
      <c r="I2887" s="3">
        <f t="shared" si="658"/>
        <v>45</v>
      </c>
      <c r="J2887" s="3">
        <f t="shared" si="659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660"/>
        <v>YES</v>
      </c>
      <c r="Q2887" t="str">
        <f t="shared" si="661"/>
        <v>NO</v>
      </c>
      <c r="R2887" t="str">
        <f t="shared" si="662"/>
        <v>YES</v>
      </c>
      <c r="T2887" t="s">
        <v>342</v>
      </c>
      <c r="U2887" t="str">
        <f t="shared" si="663"/>
        <v>Prospect St</v>
      </c>
      <c r="V2887" t="s">
        <v>316</v>
      </c>
      <c r="W2887" t="str">
        <f t="shared" si="664"/>
        <v>Bishop Allen Dr</v>
      </c>
      <c r="X2887" t="str">
        <f>IF(ISBLANK(S2887),"Intersection","Non-Intersection")</f>
        <v>Intersection</v>
      </c>
      <c r="Y2887" t="s">
        <v>2529</v>
      </c>
      <c r="Z2887" t="str">
        <f t="shared" si="665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52"/>
        <v>40544</v>
      </c>
      <c r="D2888" s="4">
        <f t="shared" si="653"/>
        <v>0.82739726027397265</v>
      </c>
      <c r="E2888" s="3">
        <f t="shared" si="654"/>
        <v>2011</v>
      </c>
      <c r="F2888" s="3">
        <f t="shared" si="655"/>
        <v>10</v>
      </c>
      <c r="G2888" s="3">
        <f t="shared" si="656"/>
        <v>30</v>
      </c>
      <c r="H2888" s="3">
        <f t="shared" si="657"/>
        <v>10</v>
      </c>
      <c r="I2888" s="3">
        <f t="shared" si="658"/>
        <v>54</v>
      </c>
      <c r="J2888" s="3">
        <f t="shared" si="659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660"/>
        <v>YES</v>
      </c>
      <c r="Q2888" t="str">
        <f t="shared" si="661"/>
        <v>NO</v>
      </c>
      <c r="R2888" t="str">
        <f t="shared" si="662"/>
        <v>NO</v>
      </c>
      <c r="S2888">
        <v>1</v>
      </c>
      <c r="T2888" t="s">
        <v>269</v>
      </c>
      <c r="U2888" t="str">
        <f t="shared" si="663"/>
        <v>Porter Sq</v>
      </c>
      <c r="W2888" t="str">
        <f t="shared" si="664"/>
        <v/>
      </c>
      <c r="X2888" t="str">
        <f>IF(ISBLANK(S2888),"Intersection","Non-Intersection")</f>
        <v>Non-Intersection</v>
      </c>
      <c r="Y2888" t="s">
        <v>359</v>
      </c>
      <c r="Z2888" t="str">
        <f t="shared" si="665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52"/>
        <v>40544</v>
      </c>
      <c r="D2889" s="4">
        <f t="shared" si="653"/>
        <v>0.83013698630136989</v>
      </c>
      <c r="E2889" s="3">
        <f t="shared" si="654"/>
        <v>2011</v>
      </c>
      <c r="F2889" s="3">
        <f t="shared" si="655"/>
        <v>10</v>
      </c>
      <c r="G2889" s="3">
        <f t="shared" si="656"/>
        <v>31</v>
      </c>
      <c r="H2889" s="3">
        <f t="shared" si="657"/>
        <v>14</v>
      </c>
      <c r="I2889" s="3">
        <f t="shared" si="658"/>
        <v>49</v>
      </c>
      <c r="J2889" s="3">
        <f t="shared" si="659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660"/>
        <v>YES</v>
      </c>
      <c r="Q2889" t="str">
        <f t="shared" si="661"/>
        <v>YES</v>
      </c>
      <c r="R2889" t="str">
        <f t="shared" si="662"/>
        <v>NO</v>
      </c>
      <c r="T2889" t="s">
        <v>453</v>
      </c>
      <c r="U2889" t="str">
        <f t="shared" si="663"/>
        <v>Brookline St</v>
      </c>
      <c r="V2889" t="s">
        <v>2475</v>
      </c>
      <c r="W2889" t="str">
        <f t="shared" si="664"/>
        <v>Waverly St</v>
      </c>
      <c r="X2889" t="str">
        <f>IF(ISBLANK(S2889),"Intersection","Non-Intersection")</f>
        <v>Intersection</v>
      </c>
      <c r="Y2889" t="s">
        <v>3891</v>
      </c>
      <c r="Z2889" t="str">
        <f t="shared" si="665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52"/>
        <v>40544</v>
      </c>
      <c r="D2890" s="4">
        <f t="shared" si="653"/>
        <v>0.83287671232876714</v>
      </c>
      <c r="E2890" s="3">
        <f t="shared" si="654"/>
        <v>2011</v>
      </c>
      <c r="F2890" s="3">
        <f t="shared" si="655"/>
        <v>11</v>
      </c>
      <c r="G2890" s="3">
        <f t="shared" si="656"/>
        <v>1</v>
      </c>
      <c r="H2890" s="3">
        <f t="shared" si="657"/>
        <v>9</v>
      </c>
      <c r="I2890" s="3">
        <f t="shared" si="658"/>
        <v>55</v>
      </c>
      <c r="J2890" s="3">
        <f t="shared" si="659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660"/>
        <v>YES</v>
      </c>
      <c r="Q2890" t="str">
        <f t="shared" si="661"/>
        <v>NO</v>
      </c>
      <c r="R2890" t="str">
        <f t="shared" si="662"/>
        <v>NO</v>
      </c>
      <c r="T2890" t="s">
        <v>105</v>
      </c>
      <c r="U2890" t="str">
        <f t="shared" si="663"/>
        <v>Broadway</v>
      </c>
      <c r="V2890" t="s">
        <v>288</v>
      </c>
      <c r="W2890" t="str">
        <f t="shared" si="664"/>
        <v>Galileo Galilei Way</v>
      </c>
      <c r="X2890" t="str">
        <f>IF(ISBLANK(S2890),"Intersection","Non-Intersection")</f>
        <v>Intersection</v>
      </c>
      <c r="Y2890" t="s">
        <v>289</v>
      </c>
      <c r="Z2890" t="str">
        <f t="shared" si="665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52"/>
        <v>40544</v>
      </c>
      <c r="D2891" s="4">
        <f t="shared" si="653"/>
        <v>0.83287671232876714</v>
      </c>
      <c r="E2891" s="3">
        <f t="shared" si="654"/>
        <v>2011</v>
      </c>
      <c r="F2891" s="3">
        <f t="shared" si="655"/>
        <v>11</v>
      </c>
      <c r="G2891" s="3">
        <f t="shared" si="656"/>
        <v>1</v>
      </c>
      <c r="H2891" s="3">
        <f t="shared" si="657"/>
        <v>17</v>
      </c>
      <c r="I2891" s="3">
        <f t="shared" si="658"/>
        <v>49</v>
      </c>
      <c r="J2891" s="3">
        <f t="shared" si="659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660"/>
        <v>YES</v>
      </c>
      <c r="Q2891" t="str">
        <f t="shared" si="661"/>
        <v>NO</v>
      </c>
      <c r="R2891" t="str">
        <f t="shared" si="662"/>
        <v>NO</v>
      </c>
      <c r="T2891" t="s">
        <v>14</v>
      </c>
      <c r="U2891" t="str">
        <f t="shared" si="663"/>
        <v>Massachusetts Ave</v>
      </c>
      <c r="V2891" t="s">
        <v>189</v>
      </c>
      <c r="W2891" t="str">
        <f t="shared" si="664"/>
        <v>Windsor St</v>
      </c>
      <c r="X2891" t="str">
        <f>IF(ISBLANK(S2891),"Intersection","Non-Intersection")</f>
        <v>Intersection</v>
      </c>
      <c r="Y2891" t="s">
        <v>595</v>
      </c>
      <c r="Z2891" t="str">
        <f t="shared" si="665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52"/>
        <v>40544</v>
      </c>
      <c r="D2892" s="4">
        <f t="shared" si="653"/>
        <v>0.83287671232876714</v>
      </c>
      <c r="E2892" s="3">
        <f t="shared" si="654"/>
        <v>2011</v>
      </c>
      <c r="F2892" s="3">
        <f t="shared" si="655"/>
        <v>11</v>
      </c>
      <c r="G2892" s="3">
        <f t="shared" si="656"/>
        <v>1</v>
      </c>
      <c r="H2892" s="3">
        <f t="shared" si="657"/>
        <v>18</v>
      </c>
      <c r="I2892" s="3">
        <f t="shared" si="658"/>
        <v>4</v>
      </c>
      <c r="J2892" s="3">
        <f t="shared" si="659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660"/>
        <v>YES</v>
      </c>
      <c r="Q2892" t="str">
        <f t="shared" si="661"/>
        <v>NO</v>
      </c>
      <c r="R2892" t="str">
        <f t="shared" si="662"/>
        <v>NO</v>
      </c>
      <c r="S2892">
        <v>650</v>
      </c>
      <c r="T2892" t="s">
        <v>19</v>
      </c>
      <c r="U2892" t="str">
        <f t="shared" si="663"/>
        <v>Cambridge St</v>
      </c>
      <c r="W2892" t="str">
        <f t="shared" si="664"/>
        <v/>
      </c>
      <c r="X2892" t="str">
        <f>IF(ISBLANK(S2892),"Intersection","Non-Intersection")</f>
        <v>Non-Intersection</v>
      </c>
      <c r="Y2892" t="s">
        <v>1632</v>
      </c>
      <c r="Z2892" t="str">
        <f t="shared" si="665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52"/>
        <v>40544</v>
      </c>
      <c r="D2893" s="4">
        <f t="shared" si="653"/>
        <v>0.83287671232876714</v>
      </c>
      <c r="E2893" s="3">
        <f t="shared" si="654"/>
        <v>2011</v>
      </c>
      <c r="F2893" s="3">
        <f t="shared" si="655"/>
        <v>11</v>
      </c>
      <c r="G2893" s="3">
        <f t="shared" si="656"/>
        <v>1</v>
      </c>
      <c r="H2893" s="3">
        <f t="shared" si="657"/>
        <v>23</v>
      </c>
      <c r="I2893" s="3">
        <f t="shared" si="658"/>
        <v>42</v>
      </c>
      <c r="J2893" s="3">
        <f t="shared" si="659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660"/>
        <v>YES</v>
      </c>
      <c r="Q2893" t="str">
        <f t="shared" si="661"/>
        <v>NO</v>
      </c>
      <c r="R2893" t="str">
        <f t="shared" si="662"/>
        <v>NO</v>
      </c>
      <c r="T2893" t="s">
        <v>3893</v>
      </c>
      <c r="U2893" t="str">
        <f t="shared" si="663"/>
        <v>North Point Blvd</v>
      </c>
      <c r="V2893" t="s">
        <v>3894</v>
      </c>
      <c r="W2893" t="str">
        <f t="shared" si="664"/>
        <v>Gilmore Brdg</v>
      </c>
      <c r="X2893" t="str">
        <f>IF(ISBLANK(S2893),"Intersection","Non-Intersection")</f>
        <v>Intersection</v>
      </c>
      <c r="Y2893" t="s">
        <v>3895</v>
      </c>
      <c r="Z2893" t="str">
        <f t="shared" si="665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52"/>
        <v>40544</v>
      </c>
      <c r="D2894" s="4">
        <f t="shared" si="653"/>
        <v>0.83287671232876714</v>
      </c>
      <c r="E2894" s="3">
        <f t="shared" si="654"/>
        <v>2011</v>
      </c>
      <c r="F2894" s="3">
        <f t="shared" si="655"/>
        <v>11</v>
      </c>
      <c r="G2894" s="3">
        <f t="shared" si="656"/>
        <v>1</v>
      </c>
      <c r="H2894" s="3">
        <f t="shared" si="657"/>
        <v>13</v>
      </c>
      <c r="I2894" s="3">
        <f t="shared" si="658"/>
        <v>34</v>
      </c>
      <c r="J2894" s="3">
        <f t="shared" si="659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660"/>
        <v>YES</v>
      </c>
      <c r="Q2894" t="str">
        <f t="shared" si="661"/>
        <v>NO</v>
      </c>
      <c r="R2894" t="str">
        <f t="shared" si="662"/>
        <v>NO</v>
      </c>
      <c r="S2894">
        <v>790</v>
      </c>
      <c r="T2894" t="s">
        <v>186</v>
      </c>
      <c r="U2894" t="str">
        <f t="shared" si="663"/>
        <v>Concord Ave</v>
      </c>
      <c r="W2894" t="str">
        <f t="shared" si="664"/>
        <v/>
      </c>
      <c r="X2894" t="str">
        <f>IF(ISBLANK(S2894),"Intersection","Non-Intersection")</f>
        <v>Non-Intersection</v>
      </c>
      <c r="Y2894" t="s">
        <v>3897</v>
      </c>
      <c r="Z2894" t="str">
        <f t="shared" si="665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52"/>
        <v>40544</v>
      </c>
      <c r="D2895" s="4">
        <f t="shared" si="653"/>
        <v>0.83287671232876714</v>
      </c>
      <c r="E2895" s="3">
        <f t="shared" si="654"/>
        <v>2011</v>
      </c>
      <c r="F2895" s="3">
        <f t="shared" si="655"/>
        <v>11</v>
      </c>
      <c r="G2895" s="3">
        <f t="shared" si="656"/>
        <v>1</v>
      </c>
      <c r="H2895" s="3">
        <f t="shared" si="657"/>
        <v>20</v>
      </c>
      <c r="I2895" s="3">
        <f t="shared" si="658"/>
        <v>10</v>
      </c>
      <c r="J2895" s="3">
        <f t="shared" si="659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660"/>
        <v>YES</v>
      </c>
      <c r="Q2895" t="str">
        <f t="shared" si="661"/>
        <v>NO</v>
      </c>
      <c r="R2895" t="str">
        <f t="shared" si="662"/>
        <v>NO</v>
      </c>
      <c r="S2895">
        <v>211</v>
      </c>
      <c r="T2895" t="s">
        <v>170</v>
      </c>
      <c r="U2895" t="str">
        <f t="shared" si="663"/>
        <v>Alewife Brook Pky</v>
      </c>
      <c r="W2895" t="str">
        <f t="shared" si="664"/>
        <v/>
      </c>
      <c r="X2895" t="str">
        <f>IF(ISBLANK(S2895),"Intersection","Non-Intersection")</f>
        <v>Non-Intersection</v>
      </c>
      <c r="Y2895" t="s">
        <v>1359</v>
      </c>
      <c r="Z2895" t="str">
        <f t="shared" si="665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52"/>
        <v>40544</v>
      </c>
      <c r="D2896" s="4">
        <f t="shared" si="653"/>
        <v>0.83561643835616439</v>
      </c>
      <c r="E2896" s="3">
        <f t="shared" si="654"/>
        <v>2011</v>
      </c>
      <c r="F2896" s="3">
        <f t="shared" si="655"/>
        <v>11</v>
      </c>
      <c r="G2896" s="3">
        <f t="shared" si="656"/>
        <v>2</v>
      </c>
      <c r="H2896" s="3">
        <f t="shared" si="657"/>
        <v>13</v>
      </c>
      <c r="I2896" s="3">
        <f t="shared" si="658"/>
        <v>9</v>
      </c>
      <c r="J2896" s="3">
        <f t="shared" si="659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660"/>
        <v>YES</v>
      </c>
      <c r="Q2896" t="str">
        <f t="shared" si="661"/>
        <v>NO</v>
      </c>
      <c r="R2896" t="str">
        <f t="shared" si="662"/>
        <v>YES</v>
      </c>
      <c r="T2896" t="s">
        <v>805</v>
      </c>
      <c r="U2896" t="str">
        <f t="shared" si="663"/>
        <v>Trowbridge St</v>
      </c>
      <c r="V2896" t="s">
        <v>19</v>
      </c>
      <c r="W2896" t="str">
        <f t="shared" si="664"/>
        <v>Cambridge St</v>
      </c>
      <c r="X2896" t="str">
        <f>IF(ISBLANK(S2896),"Intersection","Non-Intersection")</f>
        <v>Intersection</v>
      </c>
      <c r="Y2896" t="s">
        <v>3899</v>
      </c>
      <c r="Z2896" t="str">
        <f t="shared" si="665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52"/>
        <v>40544</v>
      </c>
      <c r="D2897" s="4">
        <f t="shared" si="653"/>
        <v>0.83561643835616439</v>
      </c>
      <c r="E2897" s="3">
        <f t="shared" si="654"/>
        <v>2011</v>
      </c>
      <c r="F2897" s="3">
        <f t="shared" si="655"/>
        <v>11</v>
      </c>
      <c r="G2897" s="3">
        <f t="shared" si="656"/>
        <v>2</v>
      </c>
      <c r="H2897" s="3">
        <f t="shared" si="657"/>
        <v>8</v>
      </c>
      <c r="I2897" s="3">
        <f t="shared" si="658"/>
        <v>29</v>
      </c>
      <c r="J2897" s="3">
        <f t="shared" si="659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660"/>
        <v>YES</v>
      </c>
      <c r="Q2897" t="str">
        <f t="shared" si="661"/>
        <v>NO</v>
      </c>
      <c r="R2897" t="str">
        <f t="shared" si="662"/>
        <v>NO</v>
      </c>
      <c r="T2897" t="s">
        <v>216</v>
      </c>
      <c r="U2897" t="str">
        <f t="shared" si="663"/>
        <v>Washington Ave</v>
      </c>
      <c r="V2897" t="s">
        <v>796</v>
      </c>
      <c r="W2897" t="str">
        <f t="shared" si="664"/>
        <v>Portland St</v>
      </c>
      <c r="X2897" t="str">
        <f>IF(ISBLANK(S2897),"Intersection","Non-Intersection")</f>
        <v>Intersection</v>
      </c>
      <c r="Y2897" t="s">
        <v>1323</v>
      </c>
      <c r="Z2897" t="str">
        <f t="shared" si="665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52"/>
        <v>40544</v>
      </c>
      <c r="D2898" s="4">
        <f t="shared" si="653"/>
        <v>0.83561643835616439</v>
      </c>
      <c r="E2898" s="3">
        <f t="shared" si="654"/>
        <v>2011</v>
      </c>
      <c r="F2898" s="3">
        <f t="shared" si="655"/>
        <v>11</v>
      </c>
      <c r="G2898" s="3">
        <f t="shared" si="656"/>
        <v>2</v>
      </c>
      <c r="H2898" s="3">
        <f t="shared" si="657"/>
        <v>8</v>
      </c>
      <c r="I2898" s="3">
        <f t="shared" si="658"/>
        <v>29</v>
      </c>
      <c r="J2898" s="3">
        <f t="shared" si="659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660"/>
        <v>YES</v>
      </c>
      <c r="Q2898" t="str">
        <f t="shared" si="661"/>
        <v>NO</v>
      </c>
      <c r="R2898" t="str">
        <f t="shared" si="662"/>
        <v>NO</v>
      </c>
      <c r="S2898">
        <v>0</v>
      </c>
      <c r="T2898" t="s">
        <v>185</v>
      </c>
      <c r="U2898" t="str">
        <f t="shared" si="663"/>
        <v>Garden St</v>
      </c>
      <c r="W2898" t="str">
        <f t="shared" si="664"/>
        <v/>
      </c>
      <c r="X2898" t="str">
        <f>IF(ISBLANK(S2898),"Intersection","Non-Intersection")</f>
        <v>Non-Intersection</v>
      </c>
      <c r="Y2898" t="s">
        <v>3901</v>
      </c>
      <c r="Z2898" t="str">
        <f t="shared" si="665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52"/>
        <v>40544</v>
      </c>
      <c r="D2899" s="4">
        <f t="shared" si="653"/>
        <v>0.83561643835616439</v>
      </c>
      <c r="E2899" s="3">
        <f t="shared" si="654"/>
        <v>2011</v>
      </c>
      <c r="F2899" s="3">
        <f t="shared" si="655"/>
        <v>11</v>
      </c>
      <c r="G2899" s="3">
        <f t="shared" si="656"/>
        <v>2</v>
      </c>
      <c r="H2899" s="3">
        <f t="shared" si="657"/>
        <v>20</v>
      </c>
      <c r="I2899" s="3">
        <f t="shared" si="658"/>
        <v>13</v>
      </c>
      <c r="J2899" s="3">
        <f t="shared" si="659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660"/>
        <v>YES</v>
      </c>
      <c r="Q2899" t="str">
        <f t="shared" si="661"/>
        <v>NO</v>
      </c>
      <c r="R2899" t="str">
        <f t="shared" si="662"/>
        <v>NO</v>
      </c>
      <c r="T2899" t="s">
        <v>498</v>
      </c>
      <c r="U2899" t="str">
        <f t="shared" si="663"/>
        <v>Ellery St</v>
      </c>
      <c r="V2899" t="s">
        <v>14</v>
      </c>
      <c r="W2899" t="str">
        <f t="shared" si="664"/>
        <v>Massachusetts Ave</v>
      </c>
      <c r="X2899" t="str">
        <f>IF(ISBLANK(S2899),"Intersection","Non-Intersection")</f>
        <v>Intersection</v>
      </c>
      <c r="Y2899" t="s">
        <v>3618</v>
      </c>
      <c r="Z2899" t="str">
        <f t="shared" si="665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52"/>
        <v>40544</v>
      </c>
      <c r="D2900" s="4">
        <f t="shared" si="653"/>
        <v>0.83561643835616439</v>
      </c>
      <c r="E2900" s="3">
        <f t="shared" si="654"/>
        <v>2011</v>
      </c>
      <c r="F2900" s="3">
        <f t="shared" si="655"/>
        <v>11</v>
      </c>
      <c r="G2900" s="3">
        <f t="shared" si="656"/>
        <v>2</v>
      </c>
      <c r="H2900" s="3">
        <f t="shared" si="657"/>
        <v>21</v>
      </c>
      <c r="I2900" s="3">
        <f t="shared" si="658"/>
        <v>33</v>
      </c>
      <c r="J2900" s="3">
        <f t="shared" si="659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660"/>
        <v>YES</v>
      </c>
      <c r="Q2900" t="str">
        <f t="shared" si="661"/>
        <v>NO</v>
      </c>
      <c r="R2900" t="str">
        <f t="shared" si="662"/>
        <v>NO</v>
      </c>
      <c r="S2900">
        <v>70</v>
      </c>
      <c r="T2900" t="s">
        <v>202</v>
      </c>
      <c r="U2900" t="str">
        <f t="shared" si="663"/>
        <v>Vassar St</v>
      </c>
      <c r="W2900" t="str">
        <f t="shared" si="664"/>
        <v/>
      </c>
      <c r="X2900" t="str">
        <f>IF(ISBLANK(S2900),"Intersection","Non-Intersection")</f>
        <v>Non-Intersection</v>
      </c>
      <c r="Y2900" t="s">
        <v>3903</v>
      </c>
      <c r="Z2900" t="str">
        <f t="shared" si="665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52"/>
        <v>40544</v>
      </c>
      <c r="D2901" s="4">
        <f t="shared" si="653"/>
        <v>0.83561643835616439</v>
      </c>
      <c r="E2901" s="3">
        <f t="shared" si="654"/>
        <v>2011</v>
      </c>
      <c r="F2901" s="3">
        <f t="shared" si="655"/>
        <v>11</v>
      </c>
      <c r="G2901" s="3">
        <f t="shared" si="656"/>
        <v>2</v>
      </c>
      <c r="H2901" s="3">
        <f t="shared" si="657"/>
        <v>8</v>
      </c>
      <c r="I2901" s="3">
        <f t="shared" si="658"/>
        <v>29</v>
      </c>
      <c r="J2901" s="3">
        <f t="shared" si="659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660"/>
        <v>YES</v>
      </c>
      <c r="Q2901" t="str">
        <f t="shared" si="661"/>
        <v>NO</v>
      </c>
      <c r="R2901" t="str">
        <f t="shared" si="662"/>
        <v>NO</v>
      </c>
      <c r="T2901" t="s">
        <v>19</v>
      </c>
      <c r="U2901" t="str">
        <f t="shared" si="663"/>
        <v>Cambridge St</v>
      </c>
      <c r="V2901" t="s">
        <v>1006</v>
      </c>
      <c r="W2901" t="str">
        <f t="shared" si="664"/>
        <v>Irving St</v>
      </c>
      <c r="X2901" t="str">
        <f>IF(ISBLANK(S2901),"Intersection","Non-Intersection")</f>
        <v>Intersection</v>
      </c>
      <c r="Y2901" t="s">
        <v>2309</v>
      </c>
      <c r="Z2901" t="str">
        <f t="shared" si="665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52"/>
        <v>40544</v>
      </c>
      <c r="D2902" s="4">
        <f t="shared" si="653"/>
        <v>0.83561643835616439</v>
      </c>
      <c r="E2902" s="3">
        <f t="shared" si="654"/>
        <v>2011</v>
      </c>
      <c r="F2902" s="3">
        <f t="shared" si="655"/>
        <v>11</v>
      </c>
      <c r="G2902" s="3">
        <f t="shared" si="656"/>
        <v>2</v>
      </c>
      <c r="H2902" s="3">
        <f t="shared" si="657"/>
        <v>10</v>
      </c>
      <c r="I2902" s="3">
        <f t="shared" si="658"/>
        <v>11</v>
      </c>
      <c r="J2902" s="3">
        <f t="shared" si="659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660"/>
        <v>YES</v>
      </c>
      <c r="Q2902" t="str">
        <f t="shared" si="661"/>
        <v>NO</v>
      </c>
      <c r="R2902" t="str">
        <f t="shared" si="662"/>
        <v>NO</v>
      </c>
      <c r="S2902">
        <v>199</v>
      </c>
      <c r="T2902" t="s">
        <v>170</v>
      </c>
      <c r="U2902" t="str">
        <f t="shared" si="663"/>
        <v>Alewife Brook Pky</v>
      </c>
      <c r="W2902" t="str">
        <f t="shared" si="664"/>
        <v/>
      </c>
      <c r="X2902" t="str">
        <f>IF(ISBLANK(S2902),"Intersection","Non-Intersection")</f>
        <v>Non-Intersection</v>
      </c>
      <c r="Y2902" t="s">
        <v>1513</v>
      </c>
      <c r="Z2902" t="str">
        <f t="shared" si="665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52"/>
        <v>40544</v>
      </c>
      <c r="D2903" s="4">
        <f t="shared" si="653"/>
        <v>0.83561643835616439</v>
      </c>
      <c r="E2903" s="3">
        <f t="shared" si="654"/>
        <v>2011</v>
      </c>
      <c r="F2903" s="3">
        <f t="shared" si="655"/>
        <v>11</v>
      </c>
      <c r="G2903" s="3">
        <f t="shared" si="656"/>
        <v>2</v>
      </c>
      <c r="H2903" s="3">
        <f t="shared" si="657"/>
        <v>11</v>
      </c>
      <c r="I2903" s="3">
        <f t="shared" si="658"/>
        <v>29</v>
      </c>
      <c r="J2903" s="3">
        <f t="shared" si="659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660"/>
        <v>YES</v>
      </c>
      <c r="Q2903" t="str">
        <f t="shared" si="661"/>
        <v>NO</v>
      </c>
      <c r="R2903" t="str">
        <f t="shared" si="662"/>
        <v>NO</v>
      </c>
      <c r="T2903" t="s">
        <v>453</v>
      </c>
      <c r="U2903" t="str">
        <f t="shared" si="663"/>
        <v>Brookline St</v>
      </c>
      <c r="V2903" t="s">
        <v>14</v>
      </c>
      <c r="W2903" t="str">
        <f t="shared" si="664"/>
        <v>Massachusetts Ave</v>
      </c>
      <c r="X2903" t="str">
        <f>IF(ISBLANK(S2903),"Intersection","Non-Intersection")</f>
        <v>Intersection</v>
      </c>
      <c r="Y2903" t="s">
        <v>1622</v>
      </c>
      <c r="Z2903" t="str">
        <f t="shared" si="665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52"/>
        <v>40544</v>
      </c>
      <c r="D2904" s="4">
        <f t="shared" si="653"/>
        <v>0.83835616438356164</v>
      </c>
      <c r="E2904" s="3">
        <f t="shared" si="654"/>
        <v>2011</v>
      </c>
      <c r="F2904" s="3">
        <f t="shared" si="655"/>
        <v>11</v>
      </c>
      <c r="G2904" s="3">
        <f t="shared" si="656"/>
        <v>3</v>
      </c>
      <c r="H2904" s="3">
        <f t="shared" si="657"/>
        <v>9</v>
      </c>
      <c r="I2904" s="3">
        <f t="shared" si="658"/>
        <v>30</v>
      </c>
      <c r="J2904" s="3">
        <f t="shared" si="659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660"/>
        <v>YES</v>
      </c>
      <c r="Q2904" t="str">
        <f t="shared" si="661"/>
        <v>NO</v>
      </c>
      <c r="R2904" t="str">
        <f t="shared" si="662"/>
        <v>NO</v>
      </c>
      <c r="T2904" t="s">
        <v>32</v>
      </c>
      <c r="U2904" t="str">
        <f t="shared" si="663"/>
        <v>Main St</v>
      </c>
      <c r="V2904" t="s">
        <v>189</v>
      </c>
      <c r="W2904" t="str">
        <f t="shared" si="664"/>
        <v>Windsor St</v>
      </c>
      <c r="X2904" t="str">
        <f>IF(ISBLANK(S2904),"Intersection","Non-Intersection")</f>
        <v>Intersection</v>
      </c>
      <c r="Y2904" t="s">
        <v>1737</v>
      </c>
      <c r="Z2904" t="str">
        <f t="shared" si="665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52"/>
        <v>40544</v>
      </c>
      <c r="D2905" s="4">
        <f t="shared" si="653"/>
        <v>0.83835616438356164</v>
      </c>
      <c r="E2905" s="3">
        <f t="shared" si="654"/>
        <v>2011</v>
      </c>
      <c r="F2905" s="3">
        <f t="shared" si="655"/>
        <v>11</v>
      </c>
      <c r="G2905" s="3">
        <f t="shared" si="656"/>
        <v>3</v>
      </c>
      <c r="H2905" s="3">
        <f t="shared" si="657"/>
        <v>10</v>
      </c>
      <c r="I2905" s="3">
        <f t="shared" si="658"/>
        <v>40</v>
      </c>
      <c r="J2905" s="3">
        <f t="shared" si="659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660"/>
        <v>YES</v>
      </c>
      <c r="Q2905" t="str">
        <f t="shared" si="661"/>
        <v>NO</v>
      </c>
      <c r="R2905" t="str">
        <f t="shared" si="662"/>
        <v>NO</v>
      </c>
      <c r="T2905" t="s">
        <v>238</v>
      </c>
      <c r="U2905" t="str">
        <f t="shared" si="663"/>
        <v>Kirkland St</v>
      </c>
      <c r="V2905" t="s">
        <v>224</v>
      </c>
      <c r="W2905" t="str">
        <f t="shared" si="664"/>
        <v>Sumner Rd</v>
      </c>
      <c r="X2905" t="str">
        <f>IF(ISBLANK(S2905),"Intersection","Non-Intersection")</f>
        <v>Intersection</v>
      </c>
      <c r="Y2905" t="s">
        <v>3905</v>
      </c>
      <c r="Z2905" t="str">
        <f t="shared" si="665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52"/>
        <v>40544</v>
      </c>
      <c r="D2906" s="4">
        <f t="shared" si="653"/>
        <v>0.83835616438356164</v>
      </c>
      <c r="E2906" s="3">
        <f t="shared" si="654"/>
        <v>2011</v>
      </c>
      <c r="F2906" s="3">
        <f t="shared" si="655"/>
        <v>11</v>
      </c>
      <c r="G2906" s="3">
        <f t="shared" si="656"/>
        <v>3</v>
      </c>
      <c r="H2906" s="3">
        <f t="shared" si="657"/>
        <v>11</v>
      </c>
      <c r="I2906" s="3">
        <f t="shared" si="658"/>
        <v>19</v>
      </c>
      <c r="J2906" s="3">
        <f t="shared" si="659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660"/>
        <v>YES</v>
      </c>
      <c r="Q2906" t="str">
        <f t="shared" si="661"/>
        <v>NO</v>
      </c>
      <c r="R2906" t="str">
        <f t="shared" si="662"/>
        <v>NO</v>
      </c>
      <c r="T2906" t="s">
        <v>74</v>
      </c>
      <c r="U2906" t="str">
        <f t="shared" si="663"/>
        <v>Hampshire St</v>
      </c>
      <c r="V2906" t="s">
        <v>942</v>
      </c>
      <c r="W2906" t="str">
        <f t="shared" si="664"/>
        <v>Amory St</v>
      </c>
      <c r="X2906" t="str">
        <f>IF(ISBLANK(S2906),"Intersection","Non-Intersection")</f>
        <v>Intersection</v>
      </c>
      <c r="Y2906" t="s">
        <v>967</v>
      </c>
      <c r="Z2906" t="str">
        <f t="shared" si="665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52"/>
        <v>40544</v>
      </c>
      <c r="D2907" s="4">
        <f t="shared" si="653"/>
        <v>0.83835616438356164</v>
      </c>
      <c r="E2907" s="3">
        <f t="shared" si="654"/>
        <v>2011</v>
      </c>
      <c r="F2907" s="3">
        <f t="shared" si="655"/>
        <v>11</v>
      </c>
      <c r="G2907" s="3">
        <f t="shared" si="656"/>
        <v>3</v>
      </c>
      <c r="H2907" s="3">
        <f t="shared" si="657"/>
        <v>16</v>
      </c>
      <c r="I2907" s="3">
        <f t="shared" si="658"/>
        <v>15</v>
      </c>
      <c r="J2907" s="3">
        <f t="shared" si="659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660"/>
        <v>YES</v>
      </c>
      <c r="Q2907" t="str">
        <f t="shared" si="661"/>
        <v>NO</v>
      </c>
      <c r="R2907" t="str">
        <f t="shared" si="662"/>
        <v>NO</v>
      </c>
      <c r="T2907" t="s">
        <v>105</v>
      </c>
      <c r="U2907" t="str">
        <f t="shared" si="663"/>
        <v>Broadway</v>
      </c>
      <c r="V2907" t="s">
        <v>567</v>
      </c>
      <c r="W2907" t="str">
        <f t="shared" si="664"/>
        <v>Davis St</v>
      </c>
      <c r="X2907" t="str">
        <f>IF(ISBLANK(S2907),"Intersection","Non-Intersection")</f>
        <v>Intersection</v>
      </c>
      <c r="Y2907" t="s">
        <v>3907</v>
      </c>
      <c r="Z2907" t="str">
        <f t="shared" si="665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52"/>
        <v>40544</v>
      </c>
      <c r="D2908" s="4">
        <f t="shared" si="653"/>
        <v>0.83835616438356164</v>
      </c>
      <c r="E2908" s="3">
        <f t="shared" si="654"/>
        <v>2011</v>
      </c>
      <c r="F2908" s="3">
        <f t="shared" si="655"/>
        <v>11</v>
      </c>
      <c r="G2908" s="3">
        <f t="shared" si="656"/>
        <v>3</v>
      </c>
      <c r="H2908" s="3">
        <f t="shared" si="657"/>
        <v>21</v>
      </c>
      <c r="I2908" s="3">
        <f t="shared" si="658"/>
        <v>24</v>
      </c>
      <c r="J2908" s="3">
        <f t="shared" si="659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660"/>
        <v>YES</v>
      </c>
      <c r="Q2908" t="str">
        <f t="shared" si="661"/>
        <v>NO</v>
      </c>
      <c r="R2908" t="str">
        <f t="shared" si="662"/>
        <v>NO</v>
      </c>
      <c r="S2908">
        <v>178</v>
      </c>
      <c r="T2908" t="s">
        <v>74</v>
      </c>
      <c r="U2908" t="str">
        <f t="shared" si="663"/>
        <v>Hampshire St</v>
      </c>
      <c r="W2908" t="str">
        <f t="shared" si="664"/>
        <v/>
      </c>
      <c r="X2908" t="str">
        <f>IF(ISBLANK(S2908),"Intersection","Non-Intersection")</f>
        <v>Non-Intersection</v>
      </c>
      <c r="Y2908" t="s">
        <v>3909</v>
      </c>
      <c r="Z2908" t="str">
        <f t="shared" si="665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52"/>
        <v>40544</v>
      </c>
      <c r="D2909" s="4">
        <f t="shared" si="653"/>
        <v>0.83835616438356164</v>
      </c>
      <c r="E2909" s="3">
        <f t="shared" si="654"/>
        <v>2011</v>
      </c>
      <c r="F2909" s="3">
        <f t="shared" si="655"/>
        <v>11</v>
      </c>
      <c r="G2909" s="3">
        <f t="shared" si="656"/>
        <v>3</v>
      </c>
      <c r="H2909" s="3">
        <f t="shared" si="657"/>
        <v>11</v>
      </c>
      <c r="I2909" s="3">
        <f t="shared" si="658"/>
        <v>29</v>
      </c>
      <c r="J2909" s="3">
        <f t="shared" si="659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660"/>
        <v>YES</v>
      </c>
      <c r="Q2909" t="str">
        <f t="shared" si="661"/>
        <v>NO</v>
      </c>
      <c r="R2909" t="str">
        <f t="shared" si="662"/>
        <v>NO</v>
      </c>
      <c r="T2909" t="s">
        <v>198</v>
      </c>
      <c r="U2909" t="str">
        <f t="shared" si="663"/>
        <v>Mount Auburn St</v>
      </c>
      <c r="V2909" t="s">
        <v>518</v>
      </c>
      <c r="W2909" t="str">
        <f t="shared" si="664"/>
        <v>Willard St</v>
      </c>
      <c r="X2909" t="str">
        <f>IF(ISBLANK(S2909),"Intersection","Non-Intersection")</f>
        <v>Intersection</v>
      </c>
      <c r="Y2909" t="s">
        <v>519</v>
      </c>
      <c r="Z2909" t="str">
        <f t="shared" si="665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52"/>
        <v>40544</v>
      </c>
      <c r="D2910" s="4">
        <f t="shared" si="653"/>
        <v>0.83835616438356164</v>
      </c>
      <c r="E2910" s="3">
        <f t="shared" si="654"/>
        <v>2011</v>
      </c>
      <c r="F2910" s="3">
        <f t="shared" si="655"/>
        <v>11</v>
      </c>
      <c r="G2910" s="3">
        <f t="shared" si="656"/>
        <v>3</v>
      </c>
      <c r="H2910" s="3">
        <f t="shared" si="657"/>
        <v>18</v>
      </c>
      <c r="I2910" s="3">
        <f t="shared" si="658"/>
        <v>24</v>
      </c>
      <c r="J2910" s="3">
        <f t="shared" si="659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660"/>
        <v>YES</v>
      </c>
      <c r="Q2910" t="str">
        <f t="shared" si="661"/>
        <v>NO</v>
      </c>
      <c r="R2910" t="str">
        <f t="shared" si="662"/>
        <v>NO</v>
      </c>
      <c r="S2910">
        <v>587</v>
      </c>
      <c r="T2910" t="s">
        <v>198</v>
      </c>
      <c r="U2910" t="str">
        <f t="shared" si="663"/>
        <v>Mount Auburn St</v>
      </c>
      <c r="W2910" t="str">
        <f t="shared" si="664"/>
        <v/>
      </c>
      <c r="X2910" t="str">
        <f>IF(ISBLANK(S2910),"Intersection","Non-Intersection")</f>
        <v>Non-Intersection</v>
      </c>
      <c r="Y2910" t="s">
        <v>3578</v>
      </c>
      <c r="Z2910" t="str">
        <f t="shared" si="665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52"/>
        <v>40544</v>
      </c>
      <c r="D2911" s="4">
        <f t="shared" si="653"/>
        <v>0.84109589041095889</v>
      </c>
      <c r="E2911" s="3">
        <f t="shared" si="654"/>
        <v>2011</v>
      </c>
      <c r="F2911" s="3">
        <f t="shared" si="655"/>
        <v>11</v>
      </c>
      <c r="G2911" s="3">
        <f t="shared" si="656"/>
        <v>4</v>
      </c>
      <c r="H2911" s="3">
        <f t="shared" si="657"/>
        <v>9</v>
      </c>
      <c r="I2911" s="3">
        <f t="shared" si="658"/>
        <v>30</v>
      </c>
      <c r="J2911" s="3">
        <f t="shared" si="659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660"/>
        <v>YES</v>
      </c>
      <c r="Q2911" t="str">
        <f t="shared" si="661"/>
        <v>YES</v>
      </c>
      <c r="R2911" t="str">
        <f t="shared" si="662"/>
        <v>NO</v>
      </c>
      <c r="T2911" t="s">
        <v>42</v>
      </c>
      <c r="U2911" t="str">
        <f t="shared" si="663"/>
        <v>Putnam Ave</v>
      </c>
      <c r="V2911" t="s">
        <v>41</v>
      </c>
      <c r="W2911" t="str">
        <f t="shared" si="664"/>
        <v>River St</v>
      </c>
      <c r="X2911" t="str">
        <f>IF(ISBLANK(S2911),"Intersection","Non-Intersection")</f>
        <v>Intersection</v>
      </c>
      <c r="Y2911" t="s">
        <v>2398</v>
      </c>
      <c r="Z2911" t="str">
        <f t="shared" si="665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52"/>
        <v>40544</v>
      </c>
      <c r="D2912" s="4">
        <f t="shared" si="653"/>
        <v>0.84109589041095889</v>
      </c>
      <c r="E2912" s="3">
        <f t="shared" si="654"/>
        <v>2011</v>
      </c>
      <c r="F2912" s="3">
        <f t="shared" si="655"/>
        <v>11</v>
      </c>
      <c r="G2912" s="3">
        <f t="shared" si="656"/>
        <v>4</v>
      </c>
      <c r="H2912" s="3">
        <f t="shared" si="657"/>
        <v>13</v>
      </c>
      <c r="I2912" s="3">
        <f t="shared" si="658"/>
        <v>5</v>
      </c>
      <c r="J2912" s="3">
        <f t="shared" si="659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660"/>
        <v>YES</v>
      </c>
      <c r="Q2912" t="str">
        <f t="shared" si="661"/>
        <v>NO</v>
      </c>
      <c r="R2912" t="str">
        <f t="shared" si="662"/>
        <v>NO</v>
      </c>
      <c r="T2912" t="s">
        <v>3761</v>
      </c>
      <c r="U2912" t="str">
        <f t="shared" si="663"/>
        <v>Winslow St</v>
      </c>
      <c r="V2912" t="s">
        <v>45</v>
      </c>
      <c r="W2912" t="str">
        <f t="shared" si="664"/>
        <v>Sherman St</v>
      </c>
      <c r="X2912" t="str">
        <f>IF(ISBLANK(S2912),"Intersection","Non-Intersection")</f>
        <v>Intersection</v>
      </c>
      <c r="Y2912" t="s">
        <v>3911</v>
      </c>
      <c r="Z2912" t="str">
        <f t="shared" si="665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52"/>
        <v>40544</v>
      </c>
      <c r="D2913" s="4">
        <f t="shared" si="653"/>
        <v>0.84109589041095889</v>
      </c>
      <c r="E2913" s="3">
        <f t="shared" si="654"/>
        <v>2011</v>
      </c>
      <c r="F2913" s="3">
        <f t="shared" si="655"/>
        <v>11</v>
      </c>
      <c r="G2913" s="3">
        <f t="shared" si="656"/>
        <v>4</v>
      </c>
      <c r="H2913" s="3">
        <f t="shared" si="657"/>
        <v>14</v>
      </c>
      <c r="I2913" s="3">
        <f t="shared" si="658"/>
        <v>19</v>
      </c>
      <c r="J2913" s="3">
        <f t="shared" si="659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660"/>
        <v>YES</v>
      </c>
      <c r="Q2913" t="str">
        <f t="shared" si="661"/>
        <v>NO</v>
      </c>
      <c r="R2913" t="str">
        <f t="shared" si="662"/>
        <v>NO</v>
      </c>
      <c r="T2913" t="s">
        <v>14</v>
      </c>
      <c r="U2913" t="str">
        <f t="shared" si="663"/>
        <v>Massachusetts Ave</v>
      </c>
      <c r="V2913" t="s">
        <v>202</v>
      </c>
      <c r="W2913" t="str">
        <f t="shared" si="664"/>
        <v>Vassar St</v>
      </c>
      <c r="X2913" t="str">
        <f>IF(ISBLANK(S2913),"Intersection","Non-Intersection")</f>
        <v>Intersection</v>
      </c>
      <c r="Y2913" t="s">
        <v>361</v>
      </c>
      <c r="Z2913" t="str">
        <f t="shared" si="665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52"/>
        <v>40544</v>
      </c>
      <c r="D2914" s="4">
        <f t="shared" si="653"/>
        <v>0.84109589041095889</v>
      </c>
      <c r="E2914" s="3">
        <f t="shared" si="654"/>
        <v>2011</v>
      </c>
      <c r="F2914" s="3">
        <f t="shared" si="655"/>
        <v>11</v>
      </c>
      <c r="G2914" s="3">
        <f t="shared" si="656"/>
        <v>4</v>
      </c>
      <c r="H2914" s="3">
        <f t="shared" si="657"/>
        <v>14</v>
      </c>
      <c r="I2914" s="3">
        <f t="shared" si="658"/>
        <v>20</v>
      </c>
      <c r="J2914" s="3">
        <f t="shared" si="659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660"/>
        <v>YES</v>
      </c>
      <c r="Q2914" t="str">
        <f t="shared" si="661"/>
        <v>NO</v>
      </c>
      <c r="R2914" t="str">
        <f t="shared" si="662"/>
        <v>NO</v>
      </c>
      <c r="T2914" t="s">
        <v>41</v>
      </c>
      <c r="U2914" t="str">
        <f t="shared" si="663"/>
        <v>River St</v>
      </c>
      <c r="V2914" t="s">
        <v>42</v>
      </c>
      <c r="W2914" t="str">
        <f t="shared" si="664"/>
        <v>Putnam Ave</v>
      </c>
      <c r="X2914" t="str">
        <f>IF(ISBLANK(S2914),"Intersection","Non-Intersection")</f>
        <v>Intersection</v>
      </c>
      <c r="Y2914" t="s">
        <v>43</v>
      </c>
      <c r="Z2914" t="str">
        <f t="shared" si="665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52"/>
        <v>40544</v>
      </c>
      <c r="D2915" s="4">
        <f t="shared" si="653"/>
        <v>0.84109589041095889</v>
      </c>
      <c r="E2915" s="3">
        <f t="shared" si="654"/>
        <v>2011</v>
      </c>
      <c r="F2915" s="3">
        <f t="shared" si="655"/>
        <v>11</v>
      </c>
      <c r="G2915" s="3">
        <f t="shared" si="656"/>
        <v>4</v>
      </c>
      <c r="H2915" s="3">
        <f t="shared" si="657"/>
        <v>17</v>
      </c>
      <c r="I2915" s="3">
        <f t="shared" si="658"/>
        <v>29</v>
      </c>
      <c r="J2915" s="3">
        <f t="shared" si="659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660"/>
        <v>YES</v>
      </c>
      <c r="Q2915" t="str">
        <f t="shared" si="661"/>
        <v>NO</v>
      </c>
      <c r="R2915" t="str">
        <f t="shared" si="662"/>
        <v>YES</v>
      </c>
      <c r="T2915" t="s">
        <v>325</v>
      </c>
      <c r="U2915" t="str">
        <f t="shared" si="663"/>
        <v>Eliot St</v>
      </c>
      <c r="V2915" t="s">
        <v>198</v>
      </c>
      <c r="W2915" t="str">
        <f t="shared" si="664"/>
        <v>Mount Auburn St</v>
      </c>
      <c r="X2915" t="str">
        <f>IF(ISBLANK(S2915),"Intersection","Non-Intersection")</f>
        <v>Intersection</v>
      </c>
      <c r="Y2915" t="s">
        <v>3239</v>
      </c>
      <c r="Z2915" t="str">
        <f t="shared" si="665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52"/>
        <v>40544</v>
      </c>
      <c r="D2916" s="4">
        <f t="shared" si="653"/>
        <v>0.84383561643835614</v>
      </c>
      <c r="E2916" s="3">
        <f t="shared" si="654"/>
        <v>2011</v>
      </c>
      <c r="F2916" s="3">
        <f t="shared" si="655"/>
        <v>11</v>
      </c>
      <c r="G2916" s="3">
        <f t="shared" si="656"/>
        <v>5</v>
      </c>
      <c r="H2916" s="3">
        <f t="shared" si="657"/>
        <v>13</v>
      </c>
      <c r="I2916" s="3">
        <f t="shared" si="658"/>
        <v>21</v>
      </c>
      <c r="J2916" s="3">
        <f t="shared" si="659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660"/>
        <v>YES</v>
      </c>
      <c r="Q2916" t="str">
        <f t="shared" si="661"/>
        <v>NO</v>
      </c>
      <c r="R2916" t="str">
        <f t="shared" si="662"/>
        <v>NO</v>
      </c>
      <c r="T2916" t="s">
        <v>14</v>
      </c>
      <c r="U2916" t="str">
        <f t="shared" si="663"/>
        <v>Massachusetts Ave</v>
      </c>
      <c r="V2916" t="s">
        <v>185</v>
      </c>
      <c r="W2916" t="str">
        <f t="shared" si="664"/>
        <v>Garden St</v>
      </c>
      <c r="X2916" t="str">
        <f>IF(ISBLANK(S2916),"Intersection","Non-Intersection")</f>
        <v>Intersection</v>
      </c>
      <c r="Y2916" t="s">
        <v>1247</v>
      </c>
      <c r="Z2916" t="str">
        <f t="shared" si="665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52"/>
        <v>40544</v>
      </c>
      <c r="D2917" s="4">
        <f t="shared" si="653"/>
        <v>0.84383561643835614</v>
      </c>
      <c r="E2917" s="3">
        <f t="shared" si="654"/>
        <v>2011</v>
      </c>
      <c r="F2917" s="3">
        <f t="shared" si="655"/>
        <v>11</v>
      </c>
      <c r="G2917" s="3">
        <f t="shared" si="656"/>
        <v>5</v>
      </c>
      <c r="H2917" s="3">
        <f t="shared" si="657"/>
        <v>15</v>
      </c>
      <c r="I2917" s="3">
        <f t="shared" si="658"/>
        <v>0</v>
      </c>
      <c r="J2917" s="3">
        <f t="shared" si="659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660"/>
        <v>YES</v>
      </c>
      <c r="Q2917" t="str">
        <f t="shared" si="661"/>
        <v>NO</v>
      </c>
      <c r="R2917" t="str">
        <f t="shared" si="662"/>
        <v>NO</v>
      </c>
      <c r="T2917" t="s">
        <v>14</v>
      </c>
      <c r="U2917" t="str">
        <f t="shared" si="663"/>
        <v>Massachusetts Ave</v>
      </c>
      <c r="V2917" t="s">
        <v>1182</v>
      </c>
      <c r="W2917" t="str">
        <f t="shared" si="664"/>
        <v>Amherst St</v>
      </c>
      <c r="X2917" t="str">
        <f>IF(ISBLANK(S2917),"Intersection","Non-Intersection")</f>
        <v>Intersection</v>
      </c>
      <c r="Y2917" t="s">
        <v>1240</v>
      </c>
      <c r="Z2917" t="str">
        <f t="shared" si="665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52"/>
        <v>40544</v>
      </c>
      <c r="D2918" s="4">
        <f t="shared" si="653"/>
        <v>0.84383561643835614</v>
      </c>
      <c r="E2918" s="3">
        <f t="shared" si="654"/>
        <v>2011</v>
      </c>
      <c r="F2918" s="3">
        <f t="shared" si="655"/>
        <v>11</v>
      </c>
      <c r="G2918" s="3">
        <f t="shared" si="656"/>
        <v>5</v>
      </c>
      <c r="H2918" s="3">
        <f t="shared" si="657"/>
        <v>8</v>
      </c>
      <c r="I2918" s="3">
        <f t="shared" si="658"/>
        <v>0</v>
      </c>
      <c r="J2918" s="3">
        <f t="shared" si="659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660"/>
        <v>YES</v>
      </c>
      <c r="Q2918" t="str">
        <f t="shared" si="661"/>
        <v>NO</v>
      </c>
      <c r="R2918" t="str">
        <f t="shared" si="662"/>
        <v>NO</v>
      </c>
      <c r="S2918">
        <v>260</v>
      </c>
      <c r="T2918" t="s">
        <v>101</v>
      </c>
      <c r="U2918" t="str">
        <f t="shared" si="663"/>
        <v>Columbia St</v>
      </c>
      <c r="W2918" t="str">
        <f t="shared" si="664"/>
        <v/>
      </c>
      <c r="X2918" t="str">
        <f>IF(ISBLANK(S2918),"Intersection","Non-Intersection")</f>
        <v>Non-Intersection</v>
      </c>
      <c r="Y2918" t="s">
        <v>3913</v>
      </c>
      <c r="Z2918" t="str">
        <f t="shared" si="665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52"/>
        <v>40544</v>
      </c>
      <c r="D2919" s="4">
        <f t="shared" si="653"/>
        <v>0.84657534246575339</v>
      </c>
      <c r="E2919" s="3">
        <f t="shared" si="654"/>
        <v>2011</v>
      </c>
      <c r="F2919" s="3">
        <f t="shared" si="655"/>
        <v>11</v>
      </c>
      <c r="G2919" s="3">
        <f t="shared" si="656"/>
        <v>6</v>
      </c>
      <c r="H2919" s="3">
        <f t="shared" si="657"/>
        <v>1</v>
      </c>
      <c r="I2919" s="3">
        <f t="shared" si="658"/>
        <v>24</v>
      </c>
      <c r="J2919" s="3">
        <f t="shared" si="659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660"/>
        <v>YES</v>
      </c>
      <c r="Q2919" t="str">
        <f t="shared" si="661"/>
        <v>NO</v>
      </c>
      <c r="R2919" t="str">
        <f t="shared" si="662"/>
        <v>NO</v>
      </c>
      <c r="T2919" t="s">
        <v>19</v>
      </c>
      <c r="U2919" t="str">
        <f t="shared" si="663"/>
        <v>Cambridge St</v>
      </c>
      <c r="V2919" t="s">
        <v>387</v>
      </c>
      <c r="W2919" t="str">
        <f t="shared" si="664"/>
        <v>Antrim St</v>
      </c>
      <c r="X2919" t="str">
        <f>IF(ISBLANK(S2919),"Intersection","Non-Intersection")</f>
        <v>Intersection</v>
      </c>
      <c r="Y2919" t="s">
        <v>952</v>
      </c>
      <c r="Z2919" t="str">
        <f t="shared" si="665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52"/>
        <v>40544</v>
      </c>
      <c r="D2920" s="4">
        <f t="shared" si="653"/>
        <v>0.84657534246575339</v>
      </c>
      <c r="E2920" s="3">
        <f t="shared" si="654"/>
        <v>2011</v>
      </c>
      <c r="F2920" s="3">
        <f t="shared" si="655"/>
        <v>11</v>
      </c>
      <c r="G2920" s="3">
        <f t="shared" si="656"/>
        <v>6</v>
      </c>
      <c r="H2920" s="3">
        <f t="shared" si="657"/>
        <v>8</v>
      </c>
      <c r="I2920" s="3">
        <f t="shared" si="658"/>
        <v>4</v>
      </c>
      <c r="J2920" s="3">
        <f t="shared" si="659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660"/>
        <v>YES</v>
      </c>
      <c r="Q2920" t="str">
        <f t="shared" si="661"/>
        <v>NO</v>
      </c>
      <c r="R2920" t="str">
        <f t="shared" si="662"/>
        <v>NO</v>
      </c>
      <c r="T2920" t="s">
        <v>37</v>
      </c>
      <c r="U2920" t="str">
        <f t="shared" si="663"/>
        <v>Magazine St</v>
      </c>
      <c r="V2920" t="s">
        <v>1152</v>
      </c>
      <c r="W2920" t="str">
        <f t="shared" si="664"/>
        <v>Hamilton St</v>
      </c>
      <c r="X2920" t="str">
        <f>IF(ISBLANK(S2920),"Intersection","Non-Intersection")</f>
        <v>Intersection</v>
      </c>
      <c r="Y2920" t="s">
        <v>3915</v>
      </c>
      <c r="Z2920" t="str">
        <f t="shared" si="665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52"/>
        <v>40544</v>
      </c>
      <c r="D2921" s="4">
        <f t="shared" si="653"/>
        <v>0.84657534246575339</v>
      </c>
      <c r="E2921" s="3">
        <f t="shared" si="654"/>
        <v>2011</v>
      </c>
      <c r="F2921" s="3">
        <f t="shared" si="655"/>
        <v>11</v>
      </c>
      <c r="G2921" s="3">
        <f t="shared" si="656"/>
        <v>6</v>
      </c>
      <c r="H2921" s="3">
        <f t="shared" si="657"/>
        <v>1</v>
      </c>
      <c r="I2921" s="3">
        <f t="shared" si="658"/>
        <v>40</v>
      </c>
      <c r="J2921" s="3">
        <f t="shared" si="659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660"/>
        <v>YES</v>
      </c>
      <c r="Q2921" t="str">
        <f t="shared" si="661"/>
        <v>NO</v>
      </c>
      <c r="R2921" t="str">
        <f t="shared" si="662"/>
        <v>NO</v>
      </c>
      <c r="T2921" t="s">
        <v>189</v>
      </c>
      <c r="U2921" t="str">
        <f t="shared" si="663"/>
        <v>Windsor St</v>
      </c>
      <c r="V2921" t="s">
        <v>14</v>
      </c>
      <c r="W2921" t="str">
        <f t="shared" si="664"/>
        <v>Massachusetts Ave</v>
      </c>
      <c r="X2921" t="str">
        <f>IF(ISBLANK(S2921),"Intersection","Non-Intersection")</f>
        <v>Intersection</v>
      </c>
      <c r="Y2921" t="s">
        <v>2994</v>
      </c>
      <c r="Z2921" t="str">
        <f t="shared" si="665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52"/>
        <v>40544</v>
      </c>
      <c r="D2922" s="4">
        <f t="shared" si="653"/>
        <v>0.84657534246575339</v>
      </c>
      <c r="E2922" s="3">
        <f t="shared" si="654"/>
        <v>2011</v>
      </c>
      <c r="F2922" s="3">
        <f t="shared" si="655"/>
        <v>11</v>
      </c>
      <c r="G2922" s="3">
        <f t="shared" si="656"/>
        <v>6</v>
      </c>
      <c r="H2922" s="3">
        <f t="shared" si="657"/>
        <v>17</v>
      </c>
      <c r="I2922" s="3">
        <f t="shared" si="658"/>
        <v>0</v>
      </c>
      <c r="J2922" s="3">
        <f t="shared" si="659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660"/>
        <v>YES</v>
      </c>
      <c r="Q2922" t="str">
        <f t="shared" si="661"/>
        <v>NO</v>
      </c>
      <c r="R2922" t="str">
        <f t="shared" si="662"/>
        <v>NO</v>
      </c>
      <c r="S2922">
        <v>3</v>
      </c>
      <c r="T2922" t="s">
        <v>1742</v>
      </c>
      <c r="U2922" t="str">
        <f t="shared" si="663"/>
        <v>Bow St</v>
      </c>
      <c r="W2922" t="str">
        <f t="shared" si="664"/>
        <v/>
      </c>
      <c r="X2922" t="str">
        <f>IF(ISBLANK(S2922),"Intersection","Non-Intersection")</f>
        <v>Non-Intersection</v>
      </c>
      <c r="Y2922" t="s">
        <v>3038</v>
      </c>
      <c r="Z2922" t="str">
        <f t="shared" si="665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52"/>
        <v>40544</v>
      </c>
      <c r="D2923" s="4">
        <f t="shared" si="653"/>
        <v>0.84931506849315064</v>
      </c>
      <c r="E2923" s="3">
        <f t="shared" si="654"/>
        <v>2011</v>
      </c>
      <c r="F2923" s="3">
        <f t="shared" si="655"/>
        <v>11</v>
      </c>
      <c r="G2923" s="3">
        <f t="shared" si="656"/>
        <v>7</v>
      </c>
      <c r="H2923" s="3">
        <f t="shared" si="657"/>
        <v>8</v>
      </c>
      <c r="I2923" s="3">
        <f t="shared" si="658"/>
        <v>0</v>
      </c>
      <c r="J2923" s="3">
        <f t="shared" si="659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660"/>
        <v>YES</v>
      </c>
      <c r="Q2923" t="str">
        <f t="shared" si="661"/>
        <v>NO</v>
      </c>
      <c r="R2923" t="str">
        <f t="shared" si="662"/>
        <v>NO</v>
      </c>
      <c r="T2923" t="s">
        <v>186</v>
      </c>
      <c r="U2923" t="str">
        <f t="shared" si="663"/>
        <v>Concord Ave</v>
      </c>
      <c r="V2923" t="s">
        <v>1065</v>
      </c>
      <c r="W2923" t="str">
        <f t="shared" si="664"/>
        <v>Fern St</v>
      </c>
      <c r="X2923" t="str">
        <f>IF(ISBLANK(S2923),"Intersection","Non-Intersection")</f>
        <v>Intersection</v>
      </c>
      <c r="Y2923" t="s">
        <v>1066</v>
      </c>
      <c r="Z2923" t="str">
        <f t="shared" si="665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52"/>
        <v>40544</v>
      </c>
      <c r="D2924" s="4">
        <f t="shared" si="653"/>
        <v>0.84931506849315064</v>
      </c>
      <c r="E2924" s="3">
        <f t="shared" si="654"/>
        <v>2011</v>
      </c>
      <c r="F2924" s="3">
        <f t="shared" si="655"/>
        <v>11</v>
      </c>
      <c r="G2924" s="3">
        <f t="shared" si="656"/>
        <v>7</v>
      </c>
      <c r="H2924" s="3">
        <f t="shared" si="657"/>
        <v>17</v>
      </c>
      <c r="I2924" s="3">
        <f t="shared" si="658"/>
        <v>49</v>
      </c>
      <c r="J2924" s="3">
        <f t="shared" si="659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660"/>
        <v>YES</v>
      </c>
      <c r="Q2924" t="str">
        <f t="shared" si="661"/>
        <v>YES</v>
      </c>
      <c r="R2924" t="str">
        <f t="shared" si="662"/>
        <v>NO</v>
      </c>
      <c r="T2924" t="s">
        <v>170</v>
      </c>
      <c r="U2924" t="str">
        <f t="shared" si="663"/>
        <v>Alewife Brook Pky</v>
      </c>
      <c r="W2924" t="str">
        <f t="shared" si="664"/>
        <v/>
      </c>
      <c r="X2924" t="str">
        <f>IF(ISBLANK(S2924),"Intersection","Non-Intersection")</f>
        <v>Intersection</v>
      </c>
      <c r="Y2924" t="s">
        <v>604</v>
      </c>
      <c r="Z2924" t="str">
        <f t="shared" si="665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52"/>
        <v>40544</v>
      </c>
      <c r="D2925" s="4">
        <f t="shared" si="653"/>
        <v>0.852054794520548</v>
      </c>
      <c r="E2925" s="3">
        <f t="shared" si="654"/>
        <v>2011</v>
      </c>
      <c r="F2925" s="3">
        <f t="shared" si="655"/>
        <v>11</v>
      </c>
      <c r="G2925" s="3">
        <f t="shared" si="656"/>
        <v>8</v>
      </c>
      <c r="H2925" s="3">
        <f t="shared" si="657"/>
        <v>6</v>
      </c>
      <c r="I2925" s="3">
        <f t="shared" si="658"/>
        <v>40</v>
      </c>
      <c r="J2925" s="3">
        <f t="shared" si="659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660"/>
        <v>YES</v>
      </c>
      <c r="Q2925" t="str">
        <f t="shared" si="661"/>
        <v>NO</v>
      </c>
      <c r="R2925" t="str">
        <f t="shared" si="662"/>
        <v>NO</v>
      </c>
      <c r="T2925" t="s">
        <v>796</v>
      </c>
      <c r="U2925" t="str">
        <f t="shared" si="663"/>
        <v>Portland St</v>
      </c>
      <c r="V2925" t="s">
        <v>105</v>
      </c>
      <c r="W2925" t="str">
        <f t="shared" si="664"/>
        <v>Broadway</v>
      </c>
      <c r="X2925" t="str">
        <f>IF(ISBLANK(S2925),"Intersection","Non-Intersection")</f>
        <v>Intersection</v>
      </c>
      <c r="Y2925" t="s">
        <v>3685</v>
      </c>
      <c r="Z2925" t="str">
        <f t="shared" si="665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52"/>
        <v>40544</v>
      </c>
      <c r="D2926" s="4">
        <f t="shared" si="653"/>
        <v>0.852054794520548</v>
      </c>
      <c r="E2926" s="3">
        <f t="shared" si="654"/>
        <v>2011</v>
      </c>
      <c r="F2926" s="3">
        <f t="shared" si="655"/>
        <v>11</v>
      </c>
      <c r="G2926" s="3">
        <f t="shared" si="656"/>
        <v>8</v>
      </c>
      <c r="H2926" s="3">
        <f t="shared" si="657"/>
        <v>10</v>
      </c>
      <c r="I2926" s="3">
        <f t="shared" si="658"/>
        <v>50</v>
      </c>
      <c r="J2926" s="3">
        <f t="shared" si="659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660"/>
        <v>YES</v>
      </c>
      <c r="Q2926" t="str">
        <f t="shared" si="661"/>
        <v>NO</v>
      </c>
      <c r="R2926" t="str">
        <f t="shared" si="662"/>
        <v>NO</v>
      </c>
      <c r="T2926" t="s">
        <v>14</v>
      </c>
      <c r="U2926" t="str">
        <f t="shared" si="663"/>
        <v>Massachusetts Ave</v>
      </c>
      <c r="V2926" t="s">
        <v>1830</v>
      </c>
      <c r="W2926" t="str">
        <f t="shared" si="664"/>
        <v>Gladstone St</v>
      </c>
      <c r="X2926" t="str">
        <f>IF(ISBLANK(S2926),"Intersection","Non-Intersection")</f>
        <v>Intersection</v>
      </c>
      <c r="Y2926" t="s">
        <v>1831</v>
      </c>
      <c r="Z2926" t="str">
        <f t="shared" si="665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52"/>
        <v>40544</v>
      </c>
      <c r="D2927" s="4">
        <f t="shared" si="653"/>
        <v>0.852054794520548</v>
      </c>
      <c r="E2927" s="3">
        <f t="shared" si="654"/>
        <v>2011</v>
      </c>
      <c r="F2927" s="3">
        <f t="shared" si="655"/>
        <v>11</v>
      </c>
      <c r="G2927" s="3">
        <f t="shared" si="656"/>
        <v>8</v>
      </c>
      <c r="H2927" s="3">
        <f t="shared" si="657"/>
        <v>12</v>
      </c>
      <c r="I2927" s="3">
        <f t="shared" si="658"/>
        <v>7</v>
      </c>
      <c r="J2927" s="3">
        <f t="shared" si="659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660"/>
        <v>YES</v>
      </c>
      <c r="Q2927" t="str">
        <f t="shared" si="661"/>
        <v>YES</v>
      </c>
      <c r="R2927" t="str">
        <f t="shared" si="662"/>
        <v>NO</v>
      </c>
      <c r="T2927" t="s">
        <v>14</v>
      </c>
      <c r="U2927" t="str">
        <f t="shared" si="663"/>
        <v>Massachusetts Ave</v>
      </c>
      <c r="V2927" t="s">
        <v>57</v>
      </c>
      <c r="W2927" t="str">
        <f t="shared" si="664"/>
        <v>Everett St</v>
      </c>
      <c r="X2927" t="str">
        <f>IF(ISBLANK(S2927),"Intersection","Non-Intersection")</f>
        <v>Intersection</v>
      </c>
      <c r="Y2927" t="s">
        <v>58</v>
      </c>
      <c r="Z2927" t="str">
        <f t="shared" si="665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52"/>
        <v>40544</v>
      </c>
      <c r="D2928" s="4">
        <f t="shared" si="653"/>
        <v>0.852054794520548</v>
      </c>
      <c r="E2928" s="3">
        <f t="shared" si="654"/>
        <v>2011</v>
      </c>
      <c r="F2928" s="3">
        <f t="shared" si="655"/>
        <v>11</v>
      </c>
      <c r="G2928" s="3">
        <f t="shared" si="656"/>
        <v>8</v>
      </c>
      <c r="H2928" s="3">
        <f t="shared" si="657"/>
        <v>13</v>
      </c>
      <c r="I2928" s="3">
        <f t="shared" si="658"/>
        <v>19</v>
      </c>
      <c r="J2928" s="3">
        <f t="shared" si="659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660"/>
        <v>YES</v>
      </c>
      <c r="Q2928" t="str">
        <f t="shared" si="661"/>
        <v>NO</v>
      </c>
      <c r="R2928" t="str">
        <f t="shared" si="662"/>
        <v>NO</v>
      </c>
      <c r="T2928" t="s">
        <v>142</v>
      </c>
      <c r="U2928" t="str">
        <f t="shared" si="663"/>
        <v>Huron Ave</v>
      </c>
      <c r="V2928" t="s">
        <v>186</v>
      </c>
      <c r="W2928" t="str">
        <f t="shared" si="664"/>
        <v>Concord Ave</v>
      </c>
      <c r="X2928" t="str">
        <f>IF(ISBLANK(S2928),"Intersection","Non-Intersection")</f>
        <v>Intersection</v>
      </c>
      <c r="Y2928" t="s">
        <v>3917</v>
      </c>
      <c r="Z2928" t="str">
        <f t="shared" si="665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52"/>
        <v>40544</v>
      </c>
      <c r="D2929" s="4">
        <f t="shared" si="653"/>
        <v>0.852054794520548</v>
      </c>
      <c r="E2929" s="3">
        <f t="shared" si="654"/>
        <v>2011</v>
      </c>
      <c r="F2929" s="3">
        <f t="shared" si="655"/>
        <v>11</v>
      </c>
      <c r="G2929" s="3">
        <f t="shared" si="656"/>
        <v>8</v>
      </c>
      <c r="H2929" s="3">
        <f t="shared" si="657"/>
        <v>12</v>
      </c>
      <c r="I2929" s="3">
        <f t="shared" si="658"/>
        <v>0</v>
      </c>
      <c r="J2929" s="3">
        <f t="shared" si="659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660"/>
        <v>YES</v>
      </c>
      <c r="Q2929" t="str">
        <f t="shared" si="661"/>
        <v>NO</v>
      </c>
      <c r="R2929" t="str">
        <f t="shared" si="662"/>
        <v>NO</v>
      </c>
      <c r="S2929">
        <v>192</v>
      </c>
      <c r="T2929" t="s">
        <v>199</v>
      </c>
      <c r="U2929" t="str">
        <f t="shared" si="663"/>
        <v>Brattle St</v>
      </c>
      <c r="W2929" t="str">
        <f t="shared" si="664"/>
        <v/>
      </c>
      <c r="X2929" t="str">
        <f>IF(ISBLANK(S2929),"Intersection","Non-Intersection")</f>
        <v>Non-Intersection</v>
      </c>
      <c r="Y2929" t="s">
        <v>3918</v>
      </c>
      <c r="Z2929" t="str">
        <f t="shared" si="665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52"/>
        <v>40544</v>
      </c>
      <c r="D2930" s="4">
        <f t="shared" si="653"/>
        <v>0.85479452054794525</v>
      </c>
      <c r="E2930" s="3">
        <f t="shared" si="654"/>
        <v>2011</v>
      </c>
      <c r="F2930" s="3">
        <f t="shared" si="655"/>
        <v>11</v>
      </c>
      <c r="G2930" s="3">
        <f t="shared" si="656"/>
        <v>9</v>
      </c>
      <c r="H2930" s="3">
        <f t="shared" si="657"/>
        <v>8</v>
      </c>
      <c r="I2930" s="3">
        <f t="shared" si="658"/>
        <v>29</v>
      </c>
      <c r="J2930" s="3">
        <f t="shared" si="659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660"/>
        <v>YES</v>
      </c>
      <c r="Q2930" t="str">
        <f t="shared" si="661"/>
        <v>YES</v>
      </c>
      <c r="R2930" t="str">
        <f t="shared" si="662"/>
        <v>NO</v>
      </c>
      <c r="T2930" t="s">
        <v>14</v>
      </c>
      <c r="U2930" t="str">
        <f t="shared" si="663"/>
        <v>Massachusetts Ave</v>
      </c>
      <c r="W2930" t="str">
        <f t="shared" si="664"/>
        <v/>
      </c>
      <c r="X2930" t="str">
        <f>IF(ISBLANK(S2930),"Intersection","Non-Intersection")</f>
        <v>Intersection</v>
      </c>
      <c r="Y2930" t="s">
        <v>137</v>
      </c>
      <c r="Z2930" t="str">
        <f t="shared" si="665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52"/>
        <v>40544</v>
      </c>
      <c r="D2931" s="4">
        <f t="shared" si="653"/>
        <v>0.85479452054794525</v>
      </c>
      <c r="E2931" s="3">
        <f t="shared" si="654"/>
        <v>2011</v>
      </c>
      <c r="F2931" s="3">
        <f t="shared" si="655"/>
        <v>11</v>
      </c>
      <c r="G2931" s="3">
        <f t="shared" si="656"/>
        <v>9</v>
      </c>
      <c r="H2931" s="3">
        <f t="shared" si="657"/>
        <v>9</v>
      </c>
      <c r="I2931" s="3">
        <f t="shared" si="658"/>
        <v>40</v>
      </c>
      <c r="J2931" s="3">
        <f t="shared" si="659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660"/>
        <v>YES</v>
      </c>
      <c r="Q2931" t="str">
        <f t="shared" si="661"/>
        <v>NO</v>
      </c>
      <c r="R2931" t="str">
        <f t="shared" si="662"/>
        <v>NO</v>
      </c>
      <c r="T2931" t="s">
        <v>601</v>
      </c>
      <c r="U2931" t="str">
        <f t="shared" si="663"/>
        <v>Cedar St</v>
      </c>
      <c r="V2931" t="s">
        <v>15</v>
      </c>
      <c r="W2931" t="str">
        <f t="shared" si="664"/>
        <v>Rindge Ave</v>
      </c>
      <c r="X2931" t="str">
        <f>IF(ISBLANK(S2931),"Intersection","Non-Intersection")</f>
        <v>Intersection</v>
      </c>
      <c r="Y2931" t="s">
        <v>3920</v>
      </c>
      <c r="Z2931" t="str">
        <f t="shared" si="665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52"/>
        <v>40544</v>
      </c>
      <c r="D2932" s="4">
        <f t="shared" si="653"/>
        <v>0.85479452054794525</v>
      </c>
      <c r="E2932" s="3">
        <f t="shared" si="654"/>
        <v>2011</v>
      </c>
      <c r="F2932" s="3">
        <f t="shared" si="655"/>
        <v>11</v>
      </c>
      <c r="G2932" s="3">
        <f t="shared" si="656"/>
        <v>9</v>
      </c>
      <c r="H2932" s="3">
        <f t="shared" si="657"/>
        <v>1</v>
      </c>
      <c r="I2932" s="3">
        <f t="shared" si="658"/>
        <v>30</v>
      </c>
      <c r="J2932" s="3">
        <f t="shared" si="659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660"/>
        <v>YES</v>
      </c>
      <c r="Q2932" t="str">
        <f t="shared" si="661"/>
        <v>NO</v>
      </c>
      <c r="R2932" t="str">
        <f t="shared" si="662"/>
        <v>NO</v>
      </c>
      <c r="T2932" t="s">
        <v>1438</v>
      </c>
      <c r="U2932" t="str">
        <f t="shared" si="663"/>
        <v>Dunster St</v>
      </c>
      <c r="V2932" t="s">
        <v>198</v>
      </c>
      <c r="W2932" t="str">
        <f t="shared" si="664"/>
        <v>Mount Auburn St</v>
      </c>
      <c r="X2932" t="str">
        <f>IF(ISBLANK(S2932),"Intersection","Non-Intersection")</f>
        <v>Intersection</v>
      </c>
      <c r="Y2932" t="s">
        <v>1786</v>
      </c>
      <c r="Z2932" t="str">
        <f t="shared" si="665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666">EOMONTH(B2933,MONTH(B2933)*-1)+1</f>
        <v>40544</v>
      </c>
      <c r="D2933" s="4">
        <f t="shared" ref="D2933:D2993" si="667">YEARFRAC(C2933,B2933,1)</f>
        <v>0.85479452054794525</v>
      </c>
      <c r="E2933" s="3">
        <f t="shared" ref="E2933:E2993" si="668">YEAR(B2933)</f>
        <v>2011</v>
      </c>
      <c r="F2933" s="3">
        <f t="shared" ref="F2933:F2993" si="669">MONTH(B2933)</f>
        <v>11</v>
      </c>
      <c r="G2933" s="3">
        <f t="shared" ref="G2933:G2993" si="670">DAY(B2933)</f>
        <v>9</v>
      </c>
      <c r="H2933" s="3">
        <f t="shared" ref="H2933:H2993" si="671">HOUR(B2933)</f>
        <v>18</v>
      </c>
      <c r="I2933" s="3">
        <f t="shared" ref="I2933:I2993" si="672">MINUTE(B2933)</f>
        <v>20</v>
      </c>
      <c r="J2933" s="3">
        <f t="shared" ref="J2933:J2993" si="673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674">IF(OR(N2933="Auto",O2933="Auto"),"YES",IF(OR(N2933="Taxi",O2933="Taxi"),"YES",IF(OR(N2933="Van",O2933="Van"),"YES",IF(OR(N2933="Truck",O2933="Truck"),"YES","NO"))))</f>
        <v>YES</v>
      </c>
      <c r="Q2933" t="str">
        <f t="shared" ref="Q2933:Q2993" si="675">IF(OR(N2933="Bicycle",O2933="Bicycle"),"YES","NO")</f>
        <v>NO</v>
      </c>
      <c r="R2933" t="str">
        <f t="shared" ref="R2933:R2993" si="676">IF(OR(N2933="Pedestrian",O2933="Pedestrian"),"YES","NO")</f>
        <v>NO</v>
      </c>
      <c r="T2933" t="s">
        <v>832</v>
      </c>
      <c r="U2933" t="str">
        <f t="shared" si="663"/>
        <v>Fairmont Ave</v>
      </c>
      <c r="V2933" t="s">
        <v>1025</v>
      </c>
      <c r="W2933" t="str">
        <f t="shared" si="664"/>
        <v>Andrew St</v>
      </c>
      <c r="X2933" t="str">
        <f>IF(ISBLANK(S2933),"Intersection","Non-Intersection")</f>
        <v>Intersection</v>
      </c>
      <c r="Y2933" t="s">
        <v>1026</v>
      </c>
      <c r="Z2933" t="str">
        <f t="shared" si="665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666"/>
        <v>40544</v>
      </c>
      <c r="D2934" s="4">
        <f t="shared" si="667"/>
        <v>0.85479452054794525</v>
      </c>
      <c r="E2934" s="3">
        <f t="shared" si="668"/>
        <v>2011</v>
      </c>
      <c r="F2934" s="3">
        <f t="shared" si="669"/>
        <v>11</v>
      </c>
      <c r="G2934" s="3">
        <f t="shared" si="670"/>
        <v>9</v>
      </c>
      <c r="H2934" s="3">
        <f t="shared" si="671"/>
        <v>20</v>
      </c>
      <c r="I2934" s="3">
        <f t="shared" si="672"/>
        <v>19</v>
      </c>
      <c r="J2934" s="3">
        <f t="shared" si="673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674"/>
        <v>YES</v>
      </c>
      <c r="Q2934" t="str">
        <f t="shared" si="675"/>
        <v>NO</v>
      </c>
      <c r="R2934" t="str">
        <f t="shared" si="676"/>
        <v>YES</v>
      </c>
      <c r="T2934" t="s">
        <v>198</v>
      </c>
      <c r="U2934" t="str">
        <f t="shared" si="663"/>
        <v>Mount Auburn St</v>
      </c>
      <c r="V2934" t="s">
        <v>24</v>
      </c>
      <c r="W2934" t="str">
        <f t="shared" si="664"/>
        <v>Coolidge Ave</v>
      </c>
      <c r="X2934" t="str">
        <f>IF(ISBLANK(S2934),"Intersection","Non-Intersection")</f>
        <v>Intersection</v>
      </c>
      <c r="Y2934" t="s">
        <v>2019</v>
      </c>
      <c r="Z2934" t="str">
        <f t="shared" si="665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666"/>
        <v>40544</v>
      </c>
      <c r="D2935" s="4">
        <f t="shared" si="667"/>
        <v>0.85479452054794525</v>
      </c>
      <c r="E2935" s="3">
        <f t="shared" si="668"/>
        <v>2011</v>
      </c>
      <c r="F2935" s="3">
        <f t="shared" si="669"/>
        <v>11</v>
      </c>
      <c r="G2935" s="3">
        <f t="shared" si="670"/>
        <v>9</v>
      </c>
      <c r="H2935" s="3">
        <f t="shared" si="671"/>
        <v>20</v>
      </c>
      <c r="I2935" s="3">
        <f t="shared" si="672"/>
        <v>10</v>
      </c>
      <c r="J2935" s="3">
        <f t="shared" si="673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674"/>
        <v>YES</v>
      </c>
      <c r="Q2935" t="str">
        <f t="shared" si="675"/>
        <v>NO</v>
      </c>
      <c r="R2935" t="str">
        <f t="shared" si="676"/>
        <v>YES</v>
      </c>
      <c r="T2935" t="s">
        <v>14</v>
      </c>
      <c r="U2935" t="str">
        <f t="shared" si="663"/>
        <v>Massachusetts Ave</v>
      </c>
      <c r="V2935" t="s">
        <v>1841</v>
      </c>
      <c r="W2935" t="str">
        <f t="shared" si="664"/>
        <v>Linden St</v>
      </c>
      <c r="X2935" t="str">
        <f>IF(ISBLANK(S2935),"Intersection","Non-Intersection")</f>
        <v>Intersection</v>
      </c>
      <c r="Y2935" t="s">
        <v>3921</v>
      </c>
      <c r="Z2935" t="str">
        <f t="shared" si="665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666"/>
        <v>40544</v>
      </c>
      <c r="D2936" s="4">
        <f t="shared" si="667"/>
        <v>0.85479452054794525</v>
      </c>
      <c r="E2936" s="3">
        <f t="shared" si="668"/>
        <v>2011</v>
      </c>
      <c r="F2936" s="3">
        <f t="shared" si="669"/>
        <v>11</v>
      </c>
      <c r="G2936" s="3">
        <f t="shared" si="670"/>
        <v>9</v>
      </c>
      <c r="H2936" s="3">
        <f t="shared" si="671"/>
        <v>6</v>
      </c>
      <c r="I2936" s="3">
        <f t="shared" si="672"/>
        <v>40</v>
      </c>
      <c r="J2936" s="3">
        <f t="shared" si="673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674"/>
        <v>YES</v>
      </c>
      <c r="Q2936" t="str">
        <f t="shared" si="675"/>
        <v>NO</v>
      </c>
      <c r="R2936" t="str">
        <f t="shared" si="676"/>
        <v>NO</v>
      </c>
      <c r="T2936" t="s">
        <v>104</v>
      </c>
      <c r="U2936" t="str">
        <f t="shared" si="663"/>
        <v>Inman St</v>
      </c>
      <c r="W2936" t="str">
        <f t="shared" si="664"/>
        <v/>
      </c>
      <c r="X2936" t="str">
        <f>IF(ISBLANK(S2936),"Intersection","Non-Intersection")</f>
        <v>Intersection</v>
      </c>
      <c r="Y2936" t="s">
        <v>3923</v>
      </c>
      <c r="Z2936" t="str">
        <f t="shared" si="665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666"/>
        <v>40544</v>
      </c>
      <c r="D2937" s="4">
        <f t="shared" si="667"/>
        <v>0.8575342465753425</v>
      </c>
      <c r="E2937" s="3">
        <f t="shared" si="668"/>
        <v>2011</v>
      </c>
      <c r="F2937" s="3">
        <f t="shared" si="669"/>
        <v>11</v>
      </c>
      <c r="G2937" s="3">
        <f t="shared" si="670"/>
        <v>10</v>
      </c>
      <c r="H2937" s="3">
        <f t="shared" si="671"/>
        <v>16</v>
      </c>
      <c r="I2937" s="3">
        <f t="shared" si="672"/>
        <v>5</v>
      </c>
      <c r="J2937" s="3">
        <f t="shared" si="673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674"/>
        <v>YES</v>
      </c>
      <c r="Q2937" t="str">
        <f t="shared" si="675"/>
        <v>NO</v>
      </c>
      <c r="R2937" t="str">
        <f t="shared" si="676"/>
        <v>NO</v>
      </c>
      <c r="T2937" t="s">
        <v>14</v>
      </c>
      <c r="U2937" t="str">
        <f t="shared" si="663"/>
        <v>Massachusetts Ave</v>
      </c>
      <c r="V2937" t="s">
        <v>1997</v>
      </c>
      <c r="W2937" t="str">
        <f t="shared" si="664"/>
        <v>Central Sq</v>
      </c>
      <c r="X2937" t="str">
        <f>IF(ISBLANK(S2937),"Intersection","Non-Intersection")</f>
        <v>Intersection</v>
      </c>
      <c r="Y2937" t="s">
        <v>3924</v>
      </c>
      <c r="Z2937" t="str">
        <f t="shared" si="665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666"/>
        <v>40544</v>
      </c>
      <c r="D2938" s="4">
        <f t="shared" si="667"/>
        <v>0.8575342465753425</v>
      </c>
      <c r="E2938" s="3">
        <f t="shared" si="668"/>
        <v>2011</v>
      </c>
      <c r="F2938" s="3">
        <f t="shared" si="669"/>
        <v>11</v>
      </c>
      <c r="G2938" s="3">
        <f t="shared" si="670"/>
        <v>10</v>
      </c>
      <c r="H2938" s="3">
        <f t="shared" si="671"/>
        <v>16</v>
      </c>
      <c r="I2938" s="3">
        <f t="shared" si="672"/>
        <v>9</v>
      </c>
      <c r="J2938" s="3">
        <f t="shared" si="673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674"/>
        <v>YES</v>
      </c>
      <c r="Q2938" t="str">
        <f t="shared" si="675"/>
        <v>NO</v>
      </c>
      <c r="R2938" t="str">
        <f t="shared" si="676"/>
        <v>NO</v>
      </c>
      <c r="T2938" t="s">
        <v>92</v>
      </c>
      <c r="U2938" t="str">
        <f t="shared" si="663"/>
        <v>Wheeler St</v>
      </c>
      <c r="W2938" t="str">
        <f t="shared" si="664"/>
        <v/>
      </c>
      <c r="X2938" t="str">
        <f>IF(ISBLANK(S2938),"Intersection","Non-Intersection")</f>
        <v>Intersection</v>
      </c>
      <c r="Y2938" t="s">
        <v>93</v>
      </c>
      <c r="Z2938" t="str">
        <f t="shared" si="665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666"/>
        <v>40544</v>
      </c>
      <c r="D2939" s="4">
        <f t="shared" si="667"/>
        <v>0.8575342465753425</v>
      </c>
      <c r="E2939" s="3">
        <f t="shared" si="668"/>
        <v>2011</v>
      </c>
      <c r="F2939" s="3">
        <f t="shared" si="669"/>
        <v>11</v>
      </c>
      <c r="G2939" s="3">
        <f t="shared" si="670"/>
        <v>10</v>
      </c>
      <c r="H2939" s="3">
        <f t="shared" si="671"/>
        <v>18</v>
      </c>
      <c r="I2939" s="3">
        <f t="shared" si="672"/>
        <v>20</v>
      </c>
      <c r="J2939" s="3">
        <f t="shared" si="673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674"/>
        <v>YES</v>
      </c>
      <c r="Q2939" t="str">
        <f t="shared" si="675"/>
        <v>NO</v>
      </c>
      <c r="R2939" t="str">
        <f t="shared" si="676"/>
        <v>NO</v>
      </c>
      <c r="S2939">
        <v>97</v>
      </c>
      <c r="T2939" t="s">
        <v>464</v>
      </c>
      <c r="U2939" t="str">
        <f t="shared" si="663"/>
        <v>Aberdeen Way</v>
      </c>
      <c r="W2939" t="str">
        <f t="shared" si="664"/>
        <v/>
      </c>
      <c r="X2939" t="str">
        <f>IF(ISBLANK(S2939),"Intersection","Non-Intersection")</f>
        <v>Non-Intersection</v>
      </c>
      <c r="Y2939" t="s">
        <v>3926</v>
      </c>
      <c r="Z2939" t="str">
        <f t="shared" si="665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666"/>
        <v>40544</v>
      </c>
      <c r="D2940" s="4">
        <f t="shared" si="667"/>
        <v>0.8575342465753425</v>
      </c>
      <c r="E2940" s="3">
        <f t="shared" si="668"/>
        <v>2011</v>
      </c>
      <c r="F2940" s="3">
        <f t="shared" si="669"/>
        <v>11</v>
      </c>
      <c r="G2940" s="3">
        <f t="shared" si="670"/>
        <v>10</v>
      </c>
      <c r="H2940" s="3">
        <f t="shared" si="671"/>
        <v>8</v>
      </c>
      <c r="I2940" s="3">
        <f t="shared" si="672"/>
        <v>0</v>
      </c>
      <c r="J2940" s="3">
        <f t="shared" si="673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674"/>
        <v>YES</v>
      </c>
      <c r="Q2940" t="str">
        <f t="shared" si="675"/>
        <v>NO</v>
      </c>
      <c r="R2940" t="str">
        <f t="shared" si="676"/>
        <v>NO</v>
      </c>
      <c r="S2940">
        <v>1667</v>
      </c>
      <c r="T2940" t="s">
        <v>14</v>
      </c>
      <c r="U2940" t="str">
        <f t="shared" si="663"/>
        <v>Massachusetts Ave</v>
      </c>
      <c r="W2940" t="str">
        <f t="shared" si="664"/>
        <v/>
      </c>
      <c r="X2940" t="str">
        <f>IF(ISBLANK(S2940),"Intersection","Non-Intersection")</f>
        <v>Non-Intersection</v>
      </c>
      <c r="Y2940" t="s">
        <v>3812</v>
      </c>
      <c r="Z2940" t="str">
        <f t="shared" si="665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666"/>
        <v>40544</v>
      </c>
      <c r="D2941" s="4">
        <f t="shared" si="667"/>
        <v>0.8575342465753425</v>
      </c>
      <c r="E2941" s="3">
        <f t="shared" si="668"/>
        <v>2011</v>
      </c>
      <c r="F2941" s="3">
        <f t="shared" si="669"/>
        <v>11</v>
      </c>
      <c r="G2941" s="3">
        <f t="shared" si="670"/>
        <v>10</v>
      </c>
      <c r="H2941" s="3">
        <f t="shared" si="671"/>
        <v>17</v>
      </c>
      <c r="I2941" s="3">
        <f t="shared" si="672"/>
        <v>19</v>
      </c>
      <c r="J2941" s="3">
        <f t="shared" si="673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674"/>
        <v>YES</v>
      </c>
      <c r="Q2941" t="str">
        <f t="shared" si="675"/>
        <v>NO</v>
      </c>
      <c r="R2941" t="str">
        <f t="shared" si="676"/>
        <v>NO</v>
      </c>
      <c r="S2941">
        <v>1815</v>
      </c>
      <c r="T2941" t="s">
        <v>14</v>
      </c>
      <c r="U2941" t="str">
        <f t="shared" si="663"/>
        <v>Massachusetts Ave</v>
      </c>
      <c r="W2941" t="str">
        <f t="shared" si="664"/>
        <v/>
      </c>
      <c r="X2941" t="str">
        <f>IF(ISBLANK(S2941),"Intersection","Non-Intersection")</f>
        <v>Non-Intersection</v>
      </c>
      <c r="Y2941" t="s">
        <v>2783</v>
      </c>
      <c r="Z2941" t="str">
        <f t="shared" si="665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666"/>
        <v>40544</v>
      </c>
      <c r="D2942" s="4">
        <f t="shared" si="667"/>
        <v>0.8575342465753425</v>
      </c>
      <c r="E2942" s="3">
        <f t="shared" si="668"/>
        <v>2011</v>
      </c>
      <c r="F2942" s="3">
        <f t="shared" si="669"/>
        <v>11</v>
      </c>
      <c r="G2942" s="3">
        <f t="shared" si="670"/>
        <v>10</v>
      </c>
      <c r="H2942" s="3">
        <f t="shared" si="671"/>
        <v>7</v>
      </c>
      <c r="I2942" s="3">
        <f t="shared" si="672"/>
        <v>40</v>
      </c>
      <c r="J2942" s="3">
        <f t="shared" si="673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674"/>
        <v>YES</v>
      </c>
      <c r="Q2942" t="str">
        <f t="shared" si="675"/>
        <v>NO</v>
      </c>
      <c r="R2942" t="str">
        <f t="shared" si="676"/>
        <v>NO</v>
      </c>
      <c r="S2942">
        <v>196</v>
      </c>
      <c r="T2942" t="s">
        <v>291</v>
      </c>
      <c r="U2942" t="str">
        <f t="shared" si="663"/>
        <v>Raymond St</v>
      </c>
      <c r="W2942" t="str">
        <f t="shared" si="664"/>
        <v/>
      </c>
      <c r="X2942" t="str">
        <f>IF(ISBLANK(S2942),"Intersection","Non-Intersection")</f>
        <v>Non-Intersection</v>
      </c>
      <c r="Y2942" t="s">
        <v>3928</v>
      </c>
      <c r="Z2942" t="str">
        <f t="shared" si="665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666"/>
        <v>40544</v>
      </c>
      <c r="D2943" s="4">
        <f t="shared" si="667"/>
        <v>0.8575342465753425</v>
      </c>
      <c r="E2943" s="3">
        <f t="shared" si="668"/>
        <v>2011</v>
      </c>
      <c r="F2943" s="3">
        <f t="shared" si="669"/>
        <v>11</v>
      </c>
      <c r="G2943" s="3">
        <f t="shared" si="670"/>
        <v>10</v>
      </c>
      <c r="H2943" s="3">
        <f t="shared" si="671"/>
        <v>17</v>
      </c>
      <c r="I2943" s="3">
        <f t="shared" si="672"/>
        <v>49</v>
      </c>
      <c r="J2943" s="3">
        <f t="shared" si="673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674"/>
        <v>YES</v>
      </c>
      <c r="Q2943" t="str">
        <f t="shared" si="675"/>
        <v>NO</v>
      </c>
      <c r="R2943" t="str">
        <f t="shared" si="676"/>
        <v>NO</v>
      </c>
      <c r="S2943">
        <v>41</v>
      </c>
      <c r="T2943" t="s">
        <v>74</v>
      </c>
      <c r="U2943" t="str">
        <f t="shared" si="663"/>
        <v>Hampshire St</v>
      </c>
      <c r="W2943" t="str">
        <f t="shared" si="664"/>
        <v/>
      </c>
      <c r="X2943" t="str">
        <f>IF(ISBLANK(S2943),"Intersection","Non-Intersection")</f>
        <v>Non-Intersection</v>
      </c>
      <c r="Y2943" t="s">
        <v>3930</v>
      </c>
      <c r="Z2943" t="str">
        <f t="shared" si="665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666"/>
        <v>40544</v>
      </c>
      <c r="D2944" s="4">
        <f t="shared" si="667"/>
        <v>0.86027397260273974</v>
      </c>
      <c r="E2944" s="3">
        <f t="shared" si="668"/>
        <v>2011</v>
      </c>
      <c r="F2944" s="3">
        <f t="shared" si="669"/>
        <v>11</v>
      </c>
      <c r="G2944" s="3">
        <f t="shared" si="670"/>
        <v>11</v>
      </c>
      <c r="H2944" s="3">
        <f t="shared" si="671"/>
        <v>1</v>
      </c>
      <c r="I2944" s="3">
        <f t="shared" si="672"/>
        <v>38</v>
      </c>
      <c r="J2944" s="3">
        <f t="shared" si="673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674"/>
        <v>YES</v>
      </c>
      <c r="Q2944" t="str">
        <f t="shared" si="675"/>
        <v>NO</v>
      </c>
      <c r="R2944" t="str">
        <f t="shared" si="676"/>
        <v>NO</v>
      </c>
      <c r="S2944">
        <v>33</v>
      </c>
      <c r="T2944" t="s">
        <v>3932</v>
      </c>
      <c r="U2944" t="str">
        <f t="shared" si="663"/>
        <v>Elmwood Ave</v>
      </c>
      <c r="W2944" t="str">
        <f t="shared" si="664"/>
        <v/>
      </c>
      <c r="X2944" t="str">
        <f>IF(ISBLANK(S2944),"Intersection","Non-Intersection")</f>
        <v>Non-Intersection</v>
      </c>
      <c r="Y2944" t="s">
        <v>3933</v>
      </c>
      <c r="Z2944" t="str">
        <f t="shared" si="665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666"/>
        <v>40544</v>
      </c>
      <c r="D2945" s="4">
        <f t="shared" si="667"/>
        <v>0.86027397260273974</v>
      </c>
      <c r="E2945" s="3">
        <f t="shared" si="668"/>
        <v>2011</v>
      </c>
      <c r="F2945" s="3">
        <f t="shared" si="669"/>
        <v>11</v>
      </c>
      <c r="G2945" s="3">
        <f t="shared" si="670"/>
        <v>11</v>
      </c>
      <c r="H2945" s="3">
        <f t="shared" si="671"/>
        <v>10</v>
      </c>
      <c r="I2945" s="3">
        <f t="shared" si="672"/>
        <v>38</v>
      </c>
      <c r="J2945" s="3">
        <f t="shared" si="673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674"/>
        <v>YES</v>
      </c>
      <c r="Q2945" t="str">
        <f t="shared" si="675"/>
        <v>YES</v>
      </c>
      <c r="R2945" t="str">
        <f t="shared" si="676"/>
        <v>NO</v>
      </c>
      <c r="T2945" t="s">
        <v>105</v>
      </c>
      <c r="U2945" t="str">
        <f t="shared" si="663"/>
        <v>Broadway</v>
      </c>
      <c r="V2945" t="s">
        <v>101</v>
      </c>
      <c r="W2945" t="str">
        <f t="shared" si="664"/>
        <v>Columbia St</v>
      </c>
      <c r="X2945" t="str">
        <f>IF(ISBLANK(S2945),"Intersection","Non-Intersection")</f>
        <v>Intersection</v>
      </c>
      <c r="Y2945" t="s">
        <v>1403</v>
      </c>
      <c r="Z2945" t="str">
        <f t="shared" si="665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666"/>
        <v>40544</v>
      </c>
      <c r="D2946" s="4">
        <f t="shared" si="667"/>
        <v>0.86027397260273974</v>
      </c>
      <c r="E2946" s="3">
        <f t="shared" si="668"/>
        <v>2011</v>
      </c>
      <c r="F2946" s="3">
        <f t="shared" si="669"/>
        <v>11</v>
      </c>
      <c r="G2946" s="3">
        <f t="shared" si="670"/>
        <v>11</v>
      </c>
      <c r="H2946" s="3">
        <f t="shared" si="671"/>
        <v>11</v>
      </c>
      <c r="I2946" s="3">
        <f t="shared" si="672"/>
        <v>45</v>
      </c>
      <c r="J2946" s="3">
        <f t="shared" si="673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674"/>
        <v>YES</v>
      </c>
      <c r="Q2946" t="str">
        <f t="shared" si="675"/>
        <v>NO</v>
      </c>
      <c r="R2946" t="str">
        <f t="shared" si="676"/>
        <v>NO</v>
      </c>
      <c r="T2946" t="s">
        <v>198</v>
      </c>
      <c r="U2946" t="str">
        <f t="shared" si="663"/>
        <v>Mount Auburn St</v>
      </c>
      <c r="V2946" t="s">
        <v>24</v>
      </c>
      <c r="W2946" t="str">
        <f t="shared" si="664"/>
        <v>Coolidge Ave</v>
      </c>
      <c r="X2946" t="str">
        <f>IF(ISBLANK(S2946),"Intersection","Non-Intersection")</f>
        <v>Intersection</v>
      </c>
      <c r="Y2946" t="s">
        <v>2019</v>
      </c>
      <c r="Z2946" t="str">
        <f t="shared" si="665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666"/>
        <v>40544</v>
      </c>
      <c r="D2947" s="4">
        <f t="shared" si="667"/>
        <v>0.86027397260273974</v>
      </c>
      <c r="E2947" s="3">
        <f t="shared" si="668"/>
        <v>2011</v>
      </c>
      <c r="F2947" s="3">
        <f t="shared" si="669"/>
        <v>11</v>
      </c>
      <c r="G2947" s="3">
        <f t="shared" si="670"/>
        <v>11</v>
      </c>
      <c r="H2947" s="3">
        <f t="shared" si="671"/>
        <v>18</v>
      </c>
      <c r="I2947" s="3">
        <f t="shared" si="672"/>
        <v>30</v>
      </c>
      <c r="J2947" s="3">
        <f t="shared" si="673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674"/>
        <v>YES</v>
      </c>
      <c r="Q2947" t="str">
        <f t="shared" si="675"/>
        <v>NO</v>
      </c>
      <c r="R2947" t="str">
        <f t="shared" si="676"/>
        <v>NO</v>
      </c>
      <c r="S2947">
        <v>38</v>
      </c>
      <c r="T2947" t="s">
        <v>464</v>
      </c>
      <c r="U2947" t="str">
        <f t="shared" ref="U2947:U3010" si="677">TRIM(PROPER(T2947))</f>
        <v>Aberdeen Way</v>
      </c>
      <c r="W2947" t="str">
        <f t="shared" ref="W2947:W3010" si="678">TRIM(PROPER(V2947))</f>
        <v/>
      </c>
      <c r="X2947" t="str">
        <f>IF(ISBLANK(S2947),"Intersection","Non-Intersection")</f>
        <v>Non-Intersection</v>
      </c>
      <c r="Y2947" t="s">
        <v>3935</v>
      </c>
      <c r="Z2947" t="str">
        <f t="shared" ref="Z2947:Z3010" si="679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666"/>
        <v>40544</v>
      </c>
      <c r="D2948" s="4">
        <f t="shared" si="667"/>
        <v>0.86027397260273974</v>
      </c>
      <c r="E2948" s="3">
        <f t="shared" si="668"/>
        <v>2011</v>
      </c>
      <c r="F2948" s="3">
        <f t="shared" si="669"/>
        <v>11</v>
      </c>
      <c r="G2948" s="3">
        <f t="shared" si="670"/>
        <v>11</v>
      </c>
      <c r="H2948" s="3">
        <f t="shared" si="671"/>
        <v>6</v>
      </c>
      <c r="I2948" s="3">
        <f t="shared" si="672"/>
        <v>45</v>
      </c>
      <c r="J2948" s="3">
        <f t="shared" si="673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674"/>
        <v>YES</v>
      </c>
      <c r="Q2948" t="str">
        <f t="shared" si="675"/>
        <v>NO</v>
      </c>
      <c r="R2948" t="str">
        <f t="shared" si="676"/>
        <v>NO</v>
      </c>
      <c r="T2948" t="s">
        <v>1132</v>
      </c>
      <c r="U2948" t="str">
        <f t="shared" si="677"/>
        <v>Moulton St</v>
      </c>
      <c r="V2948" t="s">
        <v>186</v>
      </c>
      <c r="W2948" t="str">
        <f t="shared" si="678"/>
        <v>Concord Ave</v>
      </c>
      <c r="X2948" t="str">
        <f>IF(ISBLANK(S2948),"Intersection","Non-Intersection")</f>
        <v>Intersection</v>
      </c>
      <c r="Y2948" t="s">
        <v>3875</v>
      </c>
      <c r="Z2948" t="str">
        <f t="shared" si="679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666"/>
        <v>40544</v>
      </c>
      <c r="D2949" s="4">
        <f t="shared" si="667"/>
        <v>0.86027397260273974</v>
      </c>
      <c r="E2949" s="3">
        <f t="shared" si="668"/>
        <v>2011</v>
      </c>
      <c r="F2949" s="3">
        <f t="shared" si="669"/>
        <v>11</v>
      </c>
      <c r="G2949" s="3">
        <f t="shared" si="670"/>
        <v>11</v>
      </c>
      <c r="H2949" s="3">
        <f t="shared" si="671"/>
        <v>19</v>
      </c>
      <c r="I2949" s="3">
        <f t="shared" si="672"/>
        <v>25</v>
      </c>
      <c r="J2949" s="3">
        <f t="shared" si="673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674"/>
        <v>YES</v>
      </c>
      <c r="Q2949" t="str">
        <f t="shared" si="675"/>
        <v>NO</v>
      </c>
      <c r="R2949" t="str">
        <f t="shared" si="676"/>
        <v>NO</v>
      </c>
      <c r="T2949" t="s">
        <v>14</v>
      </c>
      <c r="U2949" t="str">
        <f t="shared" si="677"/>
        <v>Massachusetts Ave</v>
      </c>
      <c r="V2949" t="s">
        <v>104</v>
      </c>
      <c r="W2949" t="str">
        <f t="shared" si="678"/>
        <v>Inman St</v>
      </c>
      <c r="X2949" t="str">
        <f>IF(ISBLANK(S2949),"Intersection","Non-Intersection")</f>
        <v>Intersection</v>
      </c>
      <c r="Y2949" t="s">
        <v>1129</v>
      </c>
      <c r="Z2949" t="str">
        <f t="shared" si="679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666"/>
        <v>40544</v>
      </c>
      <c r="D2950" s="4">
        <f t="shared" si="667"/>
        <v>0.86027397260273974</v>
      </c>
      <c r="E2950" s="3">
        <f t="shared" si="668"/>
        <v>2011</v>
      </c>
      <c r="F2950" s="3">
        <f t="shared" si="669"/>
        <v>11</v>
      </c>
      <c r="G2950" s="3">
        <f t="shared" si="670"/>
        <v>11</v>
      </c>
      <c r="H2950" s="3">
        <f t="shared" si="671"/>
        <v>12</v>
      </c>
      <c r="I2950" s="3">
        <f t="shared" si="672"/>
        <v>0</v>
      </c>
      <c r="J2950" s="3">
        <f t="shared" si="673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674"/>
        <v>YES</v>
      </c>
      <c r="Q2950" t="str">
        <f t="shared" si="675"/>
        <v>NO</v>
      </c>
      <c r="R2950" t="str">
        <f t="shared" si="676"/>
        <v>NO</v>
      </c>
      <c r="S2950">
        <v>3</v>
      </c>
      <c r="T2950" t="s">
        <v>340</v>
      </c>
      <c r="U2950" t="str">
        <f t="shared" si="677"/>
        <v>Davenport St</v>
      </c>
      <c r="W2950" t="str">
        <f t="shared" si="678"/>
        <v/>
      </c>
      <c r="X2950" t="str">
        <f>IF(ISBLANK(S2950),"Intersection","Non-Intersection")</f>
        <v>Non-Intersection</v>
      </c>
      <c r="Y2950" t="s">
        <v>3937</v>
      </c>
      <c r="Z2950" t="str">
        <f t="shared" si="679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666"/>
        <v>40544</v>
      </c>
      <c r="D2951" s="4">
        <f t="shared" si="667"/>
        <v>0.86301369863013699</v>
      </c>
      <c r="E2951" s="3">
        <f t="shared" si="668"/>
        <v>2011</v>
      </c>
      <c r="F2951" s="3">
        <f t="shared" si="669"/>
        <v>11</v>
      </c>
      <c r="G2951" s="3">
        <f t="shared" si="670"/>
        <v>12</v>
      </c>
      <c r="H2951" s="3">
        <f t="shared" si="671"/>
        <v>11</v>
      </c>
      <c r="I2951" s="3">
        <f t="shared" si="672"/>
        <v>26</v>
      </c>
      <c r="J2951" s="3">
        <f t="shared" si="673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674"/>
        <v>YES</v>
      </c>
      <c r="Q2951" t="str">
        <f t="shared" si="675"/>
        <v>NO</v>
      </c>
      <c r="R2951" t="str">
        <f t="shared" si="676"/>
        <v>NO</v>
      </c>
      <c r="S2951">
        <v>50</v>
      </c>
      <c r="T2951" t="s">
        <v>658</v>
      </c>
      <c r="U2951" t="str">
        <f t="shared" si="677"/>
        <v>Mooney St</v>
      </c>
      <c r="W2951" t="str">
        <f t="shared" si="678"/>
        <v/>
      </c>
      <c r="X2951" t="str">
        <f>IF(ISBLANK(S2951),"Intersection","Non-Intersection")</f>
        <v>Non-Intersection</v>
      </c>
      <c r="Y2951" t="s">
        <v>2516</v>
      </c>
      <c r="Z2951" t="str">
        <f t="shared" si="679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666"/>
        <v>40544</v>
      </c>
      <c r="D2952" s="4">
        <f t="shared" si="667"/>
        <v>0.86301369863013699</v>
      </c>
      <c r="E2952" s="3">
        <f t="shared" si="668"/>
        <v>2011</v>
      </c>
      <c r="F2952" s="3">
        <f t="shared" si="669"/>
        <v>11</v>
      </c>
      <c r="G2952" s="3">
        <f t="shared" si="670"/>
        <v>12</v>
      </c>
      <c r="H2952" s="3">
        <f t="shared" si="671"/>
        <v>2</v>
      </c>
      <c r="I2952" s="3">
        <f t="shared" si="672"/>
        <v>45</v>
      </c>
      <c r="J2952" s="3">
        <f t="shared" si="673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674"/>
        <v>YES</v>
      </c>
      <c r="Q2952" t="str">
        <f t="shared" si="675"/>
        <v>NO</v>
      </c>
      <c r="R2952" t="str">
        <f t="shared" si="676"/>
        <v>NO</v>
      </c>
      <c r="T2952" t="s">
        <v>3893</v>
      </c>
      <c r="U2952" t="str">
        <f t="shared" si="677"/>
        <v>North Point Blvd</v>
      </c>
      <c r="V2952" t="s">
        <v>3370</v>
      </c>
      <c r="W2952" t="str">
        <f t="shared" si="678"/>
        <v>Education Way</v>
      </c>
      <c r="X2952" t="str">
        <f>IF(ISBLANK(S2952),"Intersection","Non-Intersection")</f>
        <v>Intersection</v>
      </c>
      <c r="Y2952" t="s">
        <v>3939</v>
      </c>
      <c r="Z2952" t="str">
        <f t="shared" si="679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666"/>
        <v>40544</v>
      </c>
      <c r="D2953" s="4">
        <f t="shared" si="667"/>
        <v>0.86301369863013699</v>
      </c>
      <c r="E2953" s="3">
        <f t="shared" si="668"/>
        <v>2011</v>
      </c>
      <c r="F2953" s="3">
        <f t="shared" si="669"/>
        <v>11</v>
      </c>
      <c r="G2953" s="3">
        <f t="shared" si="670"/>
        <v>12</v>
      </c>
      <c r="H2953" s="3">
        <f t="shared" si="671"/>
        <v>11</v>
      </c>
      <c r="I2953" s="3">
        <f t="shared" si="672"/>
        <v>15</v>
      </c>
      <c r="J2953" s="3">
        <f t="shared" si="673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674"/>
        <v>YES</v>
      </c>
      <c r="Q2953" t="str">
        <f t="shared" si="675"/>
        <v>NO</v>
      </c>
      <c r="R2953" t="str">
        <f t="shared" si="676"/>
        <v>YES</v>
      </c>
      <c r="T2953" t="s">
        <v>19</v>
      </c>
      <c r="U2953" t="str">
        <f t="shared" si="677"/>
        <v>Cambridge St</v>
      </c>
      <c r="V2953" t="s">
        <v>75</v>
      </c>
      <c r="W2953" t="str">
        <f t="shared" si="678"/>
        <v>Elm St</v>
      </c>
      <c r="X2953" t="str">
        <f>IF(ISBLANK(S2953),"Intersection","Non-Intersection")</f>
        <v>Intersection</v>
      </c>
      <c r="Y2953" t="s">
        <v>321</v>
      </c>
      <c r="Z2953" t="str">
        <f t="shared" si="679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666"/>
        <v>40544</v>
      </c>
      <c r="D2954" s="4">
        <f t="shared" si="667"/>
        <v>0.86301369863013699</v>
      </c>
      <c r="E2954" s="3">
        <f t="shared" si="668"/>
        <v>2011</v>
      </c>
      <c r="F2954" s="3">
        <f t="shared" si="669"/>
        <v>11</v>
      </c>
      <c r="G2954" s="3">
        <f t="shared" si="670"/>
        <v>12</v>
      </c>
      <c r="H2954" s="3">
        <f t="shared" si="671"/>
        <v>21</v>
      </c>
      <c r="I2954" s="3">
        <f t="shared" si="672"/>
        <v>21</v>
      </c>
      <c r="J2954" s="3">
        <f t="shared" si="673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674"/>
        <v>YES</v>
      </c>
      <c r="Q2954" t="str">
        <f t="shared" si="675"/>
        <v>NO</v>
      </c>
      <c r="R2954" t="str">
        <f t="shared" si="676"/>
        <v>NO</v>
      </c>
      <c r="S2954">
        <v>306</v>
      </c>
      <c r="T2954" t="s">
        <v>342</v>
      </c>
      <c r="U2954" t="str">
        <f t="shared" si="677"/>
        <v>Prospect St</v>
      </c>
      <c r="W2954" t="str">
        <f t="shared" si="678"/>
        <v/>
      </c>
      <c r="X2954" t="str">
        <f>IF(ISBLANK(S2954),"Intersection","Non-Intersection")</f>
        <v>Non-Intersection</v>
      </c>
      <c r="Y2954" t="s">
        <v>3941</v>
      </c>
      <c r="Z2954" t="str">
        <f t="shared" si="679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666"/>
        <v>40544</v>
      </c>
      <c r="D2955" s="4">
        <f t="shared" si="667"/>
        <v>0.86301369863013699</v>
      </c>
      <c r="E2955" s="3">
        <f t="shared" si="668"/>
        <v>2011</v>
      </c>
      <c r="F2955" s="3">
        <f t="shared" si="669"/>
        <v>11</v>
      </c>
      <c r="G2955" s="3">
        <f t="shared" si="670"/>
        <v>12</v>
      </c>
      <c r="H2955" s="3">
        <f t="shared" si="671"/>
        <v>21</v>
      </c>
      <c r="I2955" s="3">
        <f t="shared" si="672"/>
        <v>45</v>
      </c>
      <c r="J2955" s="3">
        <f t="shared" si="673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674"/>
        <v>YES</v>
      </c>
      <c r="Q2955" t="str">
        <f t="shared" si="675"/>
        <v>YES</v>
      </c>
      <c r="R2955" t="str">
        <f t="shared" si="676"/>
        <v>NO</v>
      </c>
      <c r="T2955" t="s">
        <v>14</v>
      </c>
      <c r="U2955" t="str">
        <f t="shared" si="677"/>
        <v>Massachusetts Ave</v>
      </c>
      <c r="V2955" t="s">
        <v>178</v>
      </c>
      <c r="W2955" t="str">
        <f t="shared" si="678"/>
        <v>Pleasant St</v>
      </c>
      <c r="X2955" t="str">
        <f>IF(ISBLANK(S2955),"Intersection","Non-Intersection")</f>
        <v>Intersection</v>
      </c>
      <c r="Y2955" t="s">
        <v>1866</v>
      </c>
      <c r="Z2955" t="str">
        <f t="shared" si="679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666"/>
        <v>40544</v>
      </c>
      <c r="D2956" s="4">
        <f t="shared" si="667"/>
        <v>0.86301369863013699</v>
      </c>
      <c r="E2956" s="3">
        <f t="shared" si="668"/>
        <v>2011</v>
      </c>
      <c r="F2956" s="3">
        <f t="shared" si="669"/>
        <v>11</v>
      </c>
      <c r="G2956" s="3">
        <f t="shared" si="670"/>
        <v>12</v>
      </c>
      <c r="H2956" s="3">
        <f t="shared" si="671"/>
        <v>22</v>
      </c>
      <c r="I2956" s="3">
        <f t="shared" si="672"/>
        <v>2</v>
      </c>
      <c r="J2956" s="3">
        <f t="shared" si="673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674"/>
        <v>YES</v>
      </c>
      <c r="Q2956" t="str">
        <f t="shared" si="675"/>
        <v>NO</v>
      </c>
      <c r="R2956" t="str">
        <f t="shared" si="676"/>
        <v>NO</v>
      </c>
      <c r="T2956" t="s">
        <v>506</v>
      </c>
      <c r="U2956" t="str">
        <f t="shared" si="677"/>
        <v>Bigelow St</v>
      </c>
      <c r="V2956" t="s">
        <v>703</v>
      </c>
      <c r="W2956" t="str">
        <f t="shared" si="678"/>
        <v>Doyle Way</v>
      </c>
      <c r="X2956" t="str">
        <f>IF(ISBLANK(S2956),"Intersection","Non-Intersection")</f>
        <v>Intersection</v>
      </c>
      <c r="Y2956" t="s">
        <v>1576</v>
      </c>
      <c r="Z2956" t="str">
        <f t="shared" si="679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666"/>
        <v>40544</v>
      </c>
      <c r="D2957" s="4">
        <f t="shared" si="667"/>
        <v>0.86301369863013699</v>
      </c>
      <c r="E2957" s="3">
        <f t="shared" si="668"/>
        <v>2011</v>
      </c>
      <c r="F2957" s="3">
        <f t="shared" si="669"/>
        <v>11</v>
      </c>
      <c r="G2957" s="3">
        <f t="shared" si="670"/>
        <v>12</v>
      </c>
      <c r="H2957" s="3">
        <f t="shared" si="671"/>
        <v>15</v>
      </c>
      <c r="I2957" s="3">
        <f t="shared" si="672"/>
        <v>30</v>
      </c>
      <c r="J2957" s="3">
        <f t="shared" si="673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674"/>
        <v>YES</v>
      </c>
      <c r="Q2957" t="str">
        <f t="shared" si="675"/>
        <v>NO</v>
      </c>
      <c r="R2957" t="str">
        <f t="shared" si="676"/>
        <v>NO</v>
      </c>
      <c r="S2957">
        <v>150</v>
      </c>
      <c r="T2957" t="s">
        <v>835</v>
      </c>
      <c r="U2957" t="str">
        <f t="shared" si="677"/>
        <v>Erie St</v>
      </c>
      <c r="W2957" t="str">
        <f t="shared" si="678"/>
        <v/>
      </c>
      <c r="X2957" t="str">
        <f>IF(ISBLANK(S2957),"Intersection","Non-Intersection")</f>
        <v>Non-Intersection</v>
      </c>
      <c r="Y2957" t="s">
        <v>3943</v>
      </c>
      <c r="Z2957" t="str">
        <f t="shared" si="679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666"/>
        <v>40544</v>
      </c>
      <c r="D2958" s="4">
        <f t="shared" si="667"/>
        <v>0.86575342465753424</v>
      </c>
      <c r="E2958" s="3">
        <f t="shared" si="668"/>
        <v>2011</v>
      </c>
      <c r="F2958" s="3">
        <f t="shared" si="669"/>
        <v>11</v>
      </c>
      <c r="G2958" s="3">
        <f t="shared" si="670"/>
        <v>13</v>
      </c>
      <c r="H2958" s="3">
        <f t="shared" si="671"/>
        <v>0</v>
      </c>
      <c r="I2958" s="3">
        <f t="shared" si="672"/>
        <v>59</v>
      </c>
      <c r="J2958" s="3">
        <f t="shared" si="673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674"/>
        <v>YES</v>
      </c>
      <c r="Q2958" t="str">
        <f t="shared" si="675"/>
        <v>NO</v>
      </c>
      <c r="R2958" t="str">
        <f t="shared" si="676"/>
        <v>NO</v>
      </c>
      <c r="T2958" t="s">
        <v>19</v>
      </c>
      <c r="U2958" t="str">
        <f t="shared" si="677"/>
        <v>Cambridge St</v>
      </c>
      <c r="V2958" t="s">
        <v>129</v>
      </c>
      <c r="W2958" t="str">
        <f t="shared" si="678"/>
        <v>Cardinal Medeiros Ave</v>
      </c>
      <c r="X2958" t="str">
        <f>IF(ISBLANK(S2958),"Intersection","Non-Intersection")</f>
        <v>Intersection</v>
      </c>
      <c r="Y2958" t="s">
        <v>130</v>
      </c>
      <c r="Z2958" t="str">
        <f t="shared" si="679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666"/>
        <v>40544</v>
      </c>
      <c r="D2959" s="4">
        <f t="shared" si="667"/>
        <v>0.86575342465753424</v>
      </c>
      <c r="E2959" s="3">
        <f t="shared" si="668"/>
        <v>2011</v>
      </c>
      <c r="F2959" s="3">
        <f t="shared" si="669"/>
        <v>11</v>
      </c>
      <c r="G2959" s="3">
        <f t="shared" si="670"/>
        <v>13</v>
      </c>
      <c r="H2959" s="3">
        <f t="shared" si="671"/>
        <v>2</v>
      </c>
      <c r="I2959" s="3">
        <f t="shared" si="672"/>
        <v>39</v>
      </c>
      <c r="J2959" s="3">
        <f t="shared" si="673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674"/>
        <v>YES</v>
      </c>
      <c r="Q2959" t="str">
        <f t="shared" si="675"/>
        <v>NO</v>
      </c>
      <c r="R2959" t="str">
        <f t="shared" si="676"/>
        <v>NO</v>
      </c>
      <c r="T2959" t="s">
        <v>198</v>
      </c>
      <c r="U2959" t="str">
        <f t="shared" si="677"/>
        <v>Mount Auburn St</v>
      </c>
      <c r="V2959" t="s">
        <v>1906</v>
      </c>
      <c r="W2959" t="str">
        <f t="shared" si="678"/>
        <v>Holyoke St</v>
      </c>
      <c r="X2959" t="str">
        <f>IF(ISBLANK(S2959),"Intersection","Non-Intersection")</f>
        <v>Intersection</v>
      </c>
      <c r="Y2959" t="s">
        <v>3827</v>
      </c>
      <c r="Z2959" t="str">
        <f t="shared" si="679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666"/>
        <v>40544</v>
      </c>
      <c r="D2960" s="4">
        <f t="shared" si="667"/>
        <v>0.86575342465753424</v>
      </c>
      <c r="E2960" s="3">
        <f t="shared" si="668"/>
        <v>2011</v>
      </c>
      <c r="F2960" s="3">
        <f t="shared" si="669"/>
        <v>11</v>
      </c>
      <c r="G2960" s="3">
        <f t="shared" si="670"/>
        <v>13</v>
      </c>
      <c r="H2960" s="3">
        <f t="shared" si="671"/>
        <v>14</v>
      </c>
      <c r="I2960" s="3">
        <f t="shared" si="672"/>
        <v>0</v>
      </c>
      <c r="J2960" s="3">
        <f t="shared" si="673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674"/>
        <v>YES</v>
      </c>
      <c r="Q2960" t="str">
        <f t="shared" si="675"/>
        <v>NO</v>
      </c>
      <c r="R2960" t="str">
        <f t="shared" si="676"/>
        <v>NO</v>
      </c>
      <c r="S2960">
        <v>97</v>
      </c>
      <c r="T2960" t="s">
        <v>1189</v>
      </c>
      <c r="U2960" t="str">
        <f t="shared" si="677"/>
        <v>Pine St</v>
      </c>
      <c r="W2960" t="str">
        <f t="shared" si="678"/>
        <v/>
      </c>
      <c r="X2960" t="str">
        <f>IF(ISBLANK(S2960),"Intersection","Non-Intersection")</f>
        <v>Non-Intersection</v>
      </c>
      <c r="Y2960" t="s">
        <v>3945</v>
      </c>
      <c r="Z2960" t="str">
        <f t="shared" si="679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666"/>
        <v>40544</v>
      </c>
      <c r="D2961" s="4">
        <f t="shared" si="667"/>
        <v>0.86575342465753424</v>
      </c>
      <c r="E2961" s="3">
        <f t="shared" si="668"/>
        <v>2011</v>
      </c>
      <c r="F2961" s="3">
        <f t="shared" si="669"/>
        <v>11</v>
      </c>
      <c r="G2961" s="3">
        <f t="shared" si="670"/>
        <v>13</v>
      </c>
      <c r="H2961" s="3">
        <f t="shared" si="671"/>
        <v>14</v>
      </c>
      <c r="I2961" s="3">
        <f t="shared" si="672"/>
        <v>17</v>
      </c>
      <c r="J2961" s="3">
        <f t="shared" si="673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674"/>
        <v>YES</v>
      </c>
      <c r="Q2961" t="str">
        <f t="shared" si="675"/>
        <v>NO</v>
      </c>
      <c r="R2961" t="str">
        <f t="shared" si="676"/>
        <v>NO</v>
      </c>
      <c r="S2961">
        <v>100</v>
      </c>
      <c r="T2961" t="s">
        <v>19</v>
      </c>
      <c r="U2961" t="str">
        <f t="shared" si="677"/>
        <v>Cambridge St</v>
      </c>
      <c r="W2961" t="str">
        <f t="shared" si="678"/>
        <v/>
      </c>
      <c r="X2961" t="str">
        <f>IF(ISBLANK(S2961),"Intersection","Non-Intersection")</f>
        <v>Non-Intersection</v>
      </c>
      <c r="Y2961" t="s">
        <v>3947</v>
      </c>
      <c r="Z2961" t="str">
        <f t="shared" si="679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666"/>
        <v>40544</v>
      </c>
      <c r="D2962" s="4">
        <f t="shared" si="667"/>
        <v>0.86575342465753424</v>
      </c>
      <c r="E2962" s="3">
        <f t="shared" si="668"/>
        <v>2011</v>
      </c>
      <c r="F2962" s="3">
        <f t="shared" si="669"/>
        <v>11</v>
      </c>
      <c r="G2962" s="3">
        <f t="shared" si="670"/>
        <v>13</v>
      </c>
      <c r="H2962" s="3">
        <f t="shared" si="671"/>
        <v>2</v>
      </c>
      <c r="I2962" s="3">
        <f t="shared" si="672"/>
        <v>39</v>
      </c>
      <c r="J2962" s="3">
        <f t="shared" si="673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674"/>
        <v>YES</v>
      </c>
      <c r="Q2962" t="str">
        <f t="shared" si="675"/>
        <v>NO</v>
      </c>
      <c r="R2962" t="str">
        <f t="shared" si="676"/>
        <v>NO</v>
      </c>
      <c r="T2962" t="s">
        <v>198</v>
      </c>
      <c r="U2962" t="str">
        <f t="shared" si="677"/>
        <v>Mount Auburn St</v>
      </c>
      <c r="V2962" t="s">
        <v>1906</v>
      </c>
      <c r="W2962" t="str">
        <f t="shared" si="678"/>
        <v>Holyoke St</v>
      </c>
      <c r="X2962" t="str">
        <f>IF(ISBLANK(S2962),"Intersection","Non-Intersection")</f>
        <v>Intersection</v>
      </c>
      <c r="Y2962" t="s">
        <v>3827</v>
      </c>
      <c r="Z2962" t="str">
        <f t="shared" si="679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666"/>
        <v>40544</v>
      </c>
      <c r="D2963" s="4">
        <f t="shared" si="667"/>
        <v>0.86849315068493149</v>
      </c>
      <c r="E2963" s="3">
        <f t="shared" si="668"/>
        <v>2011</v>
      </c>
      <c r="F2963" s="3">
        <f t="shared" si="669"/>
        <v>11</v>
      </c>
      <c r="G2963" s="3">
        <f t="shared" si="670"/>
        <v>14</v>
      </c>
      <c r="H2963" s="3">
        <f t="shared" si="671"/>
        <v>19</v>
      </c>
      <c r="I2963" s="3">
        <f t="shared" si="672"/>
        <v>2</v>
      </c>
      <c r="J2963" s="3">
        <f t="shared" si="673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674"/>
        <v>YES</v>
      </c>
      <c r="Q2963" t="str">
        <f t="shared" si="675"/>
        <v>NO</v>
      </c>
      <c r="R2963" t="str">
        <f t="shared" si="676"/>
        <v>NO</v>
      </c>
      <c r="S2963">
        <v>280</v>
      </c>
      <c r="T2963" t="s">
        <v>509</v>
      </c>
      <c r="U2963" t="str">
        <f t="shared" si="677"/>
        <v>Green St</v>
      </c>
      <c r="W2963" t="str">
        <f t="shared" si="678"/>
        <v/>
      </c>
      <c r="X2963" t="str">
        <f>IF(ISBLANK(S2963),"Intersection","Non-Intersection")</f>
        <v>Non-Intersection</v>
      </c>
      <c r="Y2963" t="s">
        <v>3948</v>
      </c>
      <c r="Z2963" t="str">
        <f t="shared" si="679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666"/>
        <v>40544</v>
      </c>
      <c r="D2964" s="4">
        <f t="shared" si="667"/>
        <v>0.87123287671232874</v>
      </c>
      <c r="E2964" s="3">
        <f t="shared" si="668"/>
        <v>2011</v>
      </c>
      <c r="F2964" s="3">
        <f t="shared" si="669"/>
        <v>11</v>
      </c>
      <c r="G2964" s="3">
        <f t="shared" si="670"/>
        <v>15</v>
      </c>
      <c r="H2964" s="3">
        <f t="shared" si="671"/>
        <v>8</v>
      </c>
      <c r="I2964" s="3">
        <f t="shared" si="672"/>
        <v>35</v>
      </c>
      <c r="J2964" s="3">
        <f t="shared" si="673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674"/>
        <v>YES</v>
      </c>
      <c r="Q2964" t="str">
        <f t="shared" si="675"/>
        <v>NO</v>
      </c>
      <c r="R2964" t="str">
        <f t="shared" si="676"/>
        <v>NO</v>
      </c>
      <c r="T2964" t="s">
        <v>326</v>
      </c>
      <c r="U2964" t="str">
        <f t="shared" si="677"/>
        <v>Jfk St</v>
      </c>
      <c r="V2964" t="s">
        <v>198</v>
      </c>
      <c r="W2964" t="str">
        <f t="shared" si="678"/>
        <v>Mount Auburn St</v>
      </c>
      <c r="X2964" t="str">
        <f>IF(ISBLANK(S2964),"Intersection","Non-Intersection")</f>
        <v>Intersection</v>
      </c>
      <c r="Y2964" t="s">
        <v>385</v>
      </c>
      <c r="Z2964" t="str">
        <f t="shared" si="679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666"/>
        <v>40544</v>
      </c>
      <c r="D2965" s="4">
        <f t="shared" si="667"/>
        <v>0.87123287671232874</v>
      </c>
      <c r="E2965" s="3">
        <f t="shared" si="668"/>
        <v>2011</v>
      </c>
      <c r="F2965" s="3">
        <f t="shared" si="669"/>
        <v>11</v>
      </c>
      <c r="G2965" s="3">
        <f t="shared" si="670"/>
        <v>15</v>
      </c>
      <c r="H2965" s="3">
        <f t="shared" si="671"/>
        <v>9</v>
      </c>
      <c r="I2965" s="3">
        <f t="shared" si="672"/>
        <v>49</v>
      </c>
      <c r="J2965" s="3">
        <f t="shared" si="673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674"/>
        <v>YES</v>
      </c>
      <c r="Q2965" t="str">
        <f t="shared" si="675"/>
        <v>NO</v>
      </c>
      <c r="R2965" t="str">
        <f t="shared" si="676"/>
        <v>NO</v>
      </c>
      <c r="T2965" t="s">
        <v>19</v>
      </c>
      <c r="U2965" t="str">
        <f t="shared" si="677"/>
        <v>Cambridge St</v>
      </c>
      <c r="V2965" t="s">
        <v>685</v>
      </c>
      <c r="W2965" t="str">
        <f t="shared" si="678"/>
        <v>Warren St</v>
      </c>
      <c r="X2965" t="str">
        <f>IF(ISBLANK(S2965),"Intersection","Non-Intersection")</f>
        <v>Intersection</v>
      </c>
      <c r="Y2965" t="s">
        <v>1217</v>
      </c>
      <c r="Z2965" t="str">
        <f t="shared" si="679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666"/>
        <v>40544</v>
      </c>
      <c r="D2966" s="4">
        <f t="shared" si="667"/>
        <v>0.87123287671232874</v>
      </c>
      <c r="E2966" s="3">
        <f t="shared" si="668"/>
        <v>2011</v>
      </c>
      <c r="F2966" s="3">
        <f t="shared" si="669"/>
        <v>11</v>
      </c>
      <c r="G2966" s="3">
        <f t="shared" si="670"/>
        <v>15</v>
      </c>
      <c r="H2966" s="3">
        <f t="shared" si="671"/>
        <v>8</v>
      </c>
      <c r="I2966" s="3">
        <f t="shared" si="672"/>
        <v>19</v>
      </c>
      <c r="J2966" s="3">
        <f t="shared" si="673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674"/>
        <v>YES</v>
      </c>
      <c r="Q2966" t="str">
        <f t="shared" si="675"/>
        <v>YES</v>
      </c>
      <c r="R2966" t="str">
        <f t="shared" si="676"/>
        <v>NO</v>
      </c>
      <c r="T2966" t="s">
        <v>1502</v>
      </c>
      <c r="U2966" t="str">
        <f t="shared" si="677"/>
        <v>Gore St</v>
      </c>
      <c r="V2966" t="s">
        <v>1646</v>
      </c>
      <c r="W2966" t="str">
        <f t="shared" si="678"/>
        <v>Lambert St</v>
      </c>
      <c r="X2966" t="str">
        <f>IF(ISBLANK(S2966),"Intersection","Non-Intersection")</f>
        <v>Intersection</v>
      </c>
      <c r="Y2966" t="s">
        <v>3950</v>
      </c>
      <c r="Z2966" t="str">
        <f t="shared" si="679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666"/>
        <v>40544</v>
      </c>
      <c r="D2967" s="4">
        <f t="shared" si="667"/>
        <v>0.87123287671232874</v>
      </c>
      <c r="E2967" s="3">
        <f t="shared" si="668"/>
        <v>2011</v>
      </c>
      <c r="F2967" s="3">
        <f t="shared" si="669"/>
        <v>11</v>
      </c>
      <c r="G2967" s="3">
        <f t="shared" si="670"/>
        <v>15</v>
      </c>
      <c r="H2967" s="3">
        <f t="shared" si="671"/>
        <v>15</v>
      </c>
      <c r="I2967" s="3">
        <f t="shared" si="672"/>
        <v>14</v>
      </c>
      <c r="J2967" s="3">
        <f t="shared" si="673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674"/>
        <v>YES</v>
      </c>
      <c r="Q2967" t="str">
        <f t="shared" si="675"/>
        <v>NO</v>
      </c>
      <c r="R2967" t="str">
        <f t="shared" si="676"/>
        <v>NO</v>
      </c>
      <c r="T2967" t="s">
        <v>61</v>
      </c>
      <c r="U2967" t="str">
        <f t="shared" si="677"/>
        <v>First St</v>
      </c>
      <c r="V2967" t="s">
        <v>1062</v>
      </c>
      <c r="W2967" t="str">
        <f t="shared" si="678"/>
        <v>Cambridgeside Pl</v>
      </c>
      <c r="X2967" t="str">
        <f>IF(ISBLANK(S2967),"Intersection","Non-Intersection")</f>
        <v>Intersection</v>
      </c>
      <c r="Y2967" t="s">
        <v>3952</v>
      </c>
      <c r="Z2967" t="str">
        <f t="shared" si="679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666"/>
        <v>40544</v>
      </c>
      <c r="D2968" s="4">
        <f t="shared" si="667"/>
        <v>0.87123287671232874</v>
      </c>
      <c r="E2968" s="3">
        <f t="shared" si="668"/>
        <v>2011</v>
      </c>
      <c r="F2968" s="3">
        <f t="shared" si="669"/>
        <v>11</v>
      </c>
      <c r="G2968" s="3">
        <f t="shared" si="670"/>
        <v>15</v>
      </c>
      <c r="H2968" s="3">
        <f t="shared" si="671"/>
        <v>17</v>
      </c>
      <c r="I2968" s="3">
        <f t="shared" si="672"/>
        <v>13</v>
      </c>
      <c r="J2968" s="3">
        <f t="shared" si="673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674"/>
        <v>YES</v>
      </c>
      <c r="Q2968" t="str">
        <f t="shared" si="675"/>
        <v>NO</v>
      </c>
      <c r="R2968" t="str">
        <f t="shared" si="676"/>
        <v>NO</v>
      </c>
      <c r="S2968">
        <v>850</v>
      </c>
      <c r="T2968" t="s">
        <v>19</v>
      </c>
      <c r="U2968" t="str">
        <f t="shared" si="677"/>
        <v>Cambridge St</v>
      </c>
      <c r="W2968" t="str">
        <f t="shared" si="678"/>
        <v/>
      </c>
      <c r="X2968" t="str">
        <f>IF(ISBLANK(S2968),"Intersection","Non-Intersection")</f>
        <v>Non-Intersection</v>
      </c>
      <c r="Y2968" t="s">
        <v>3953</v>
      </c>
      <c r="Z2968" t="str">
        <f t="shared" si="679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666"/>
        <v>40544</v>
      </c>
      <c r="D2969" s="4">
        <f t="shared" si="667"/>
        <v>0.87123287671232874</v>
      </c>
      <c r="E2969" s="3">
        <f t="shared" si="668"/>
        <v>2011</v>
      </c>
      <c r="F2969" s="3">
        <f t="shared" si="669"/>
        <v>11</v>
      </c>
      <c r="G2969" s="3">
        <f t="shared" si="670"/>
        <v>15</v>
      </c>
      <c r="H2969" s="3">
        <f t="shared" si="671"/>
        <v>17</v>
      </c>
      <c r="I2969" s="3">
        <f t="shared" si="672"/>
        <v>6</v>
      </c>
      <c r="J2969" s="3">
        <f t="shared" si="673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674"/>
        <v>YES</v>
      </c>
      <c r="Q2969" t="str">
        <f t="shared" si="675"/>
        <v>YES</v>
      </c>
      <c r="R2969" t="str">
        <f t="shared" si="676"/>
        <v>NO</v>
      </c>
      <c r="S2969">
        <v>320</v>
      </c>
      <c r="T2969" t="s">
        <v>105</v>
      </c>
      <c r="U2969" t="str">
        <f t="shared" si="677"/>
        <v>Broadway</v>
      </c>
      <c r="W2969" t="str">
        <f t="shared" si="678"/>
        <v/>
      </c>
      <c r="X2969" t="str">
        <f>IF(ISBLANK(S2969),"Intersection","Non-Intersection")</f>
        <v>Non-Intersection</v>
      </c>
      <c r="Y2969" t="s">
        <v>3955</v>
      </c>
      <c r="Z2969" t="str">
        <f t="shared" si="679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666"/>
        <v>40544</v>
      </c>
      <c r="D2970" s="4">
        <f t="shared" si="667"/>
        <v>0.87397260273972599</v>
      </c>
      <c r="E2970" s="3">
        <f t="shared" si="668"/>
        <v>2011</v>
      </c>
      <c r="F2970" s="3">
        <f t="shared" si="669"/>
        <v>11</v>
      </c>
      <c r="G2970" s="3">
        <f t="shared" si="670"/>
        <v>16</v>
      </c>
      <c r="H2970" s="3">
        <f t="shared" si="671"/>
        <v>7</v>
      </c>
      <c r="I2970" s="3">
        <f t="shared" si="672"/>
        <v>30</v>
      </c>
      <c r="J2970" s="3">
        <f t="shared" si="673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674"/>
        <v>YES</v>
      </c>
      <c r="Q2970" t="str">
        <f t="shared" si="675"/>
        <v>NO</v>
      </c>
      <c r="R2970" t="str">
        <f t="shared" si="676"/>
        <v>NO</v>
      </c>
      <c r="S2970">
        <v>11</v>
      </c>
      <c r="T2970" t="s">
        <v>757</v>
      </c>
      <c r="U2970" t="str">
        <f t="shared" si="677"/>
        <v>Blackstone St</v>
      </c>
      <c r="W2970" t="str">
        <f t="shared" si="678"/>
        <v/>
      </c>
      <c r="X2970" t="str">
        <f>IF(ISBLANK(S2970),"Intersection","Non-Intersection")</f>
        <v>Non-Intersection</v>
      </c>
      <c r="Y2970" t="s">
        <v>1203</v>
      </c>
      <c r="Z2970" t="str">
        <f t="shared" si="679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666"/>
        <v>40544</v>
      </c>
      <c r="D2971" s="4">
        <f t="shared" si="667"/>
        <v>0.87397260273972599</v>
      </c>
      <c r="E2971" s="3">
        <f t="shared" si="668"/>
        <v>2011</v>
      </c>
      <c r="F2971" s="3">
        <f t="shared" si="669"/>
        <v>11</v>
      </c>
      <c r="G2971" s="3">
        <f t="shared" si="670"/>
        <v>16</v>
      </c>
      <c r="H2971" s="3">
        <f t="shared" si="671"/>
        <v>12</v>
      </c>
      <c r="I2971" s="3">
        <f t="shared" si="672"/>
        <v>14</v>
      </c>
      <c r="J2971" s="3">
        <f t="shared" si="673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674"/>
        <v>YES</v>
      </c>
      <c r="Q2971" t="str">
        <f t="shared" si="675"/>
        <v>NO</v>
      </c>
      <c r="R2971" t="str">
        <f t="shared" si="676"/>
        <v>YES</v>
      </c>
      <c r="T2971" t="s">
        <v>1906</v>
      </c>
      <c r="U2971" t="str">
        <f t="shared" si="677"/>
        <v>Holyoke St</v>
      </c>
      <c r="W2971" t="str">
        <f t="shared" si="678"/>
        <v/>
      </c>
      <c r="X2971" t="str">
        <f>IF(ISBLANK(S2971),"Intersection","Non-Intersection")</f>
        <v>Intersection</v>
      </c>
      <c r="Y2971" t="s">
        <v>3957</v>
      </c>
      <c r="Z2971" t="str">
        <f t="shared" si="679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666"/>
        <v>40544</v>
      </c>
      <c r="D2972" s="4">
        <f t="shared" si="667"/>
        <v>0.87397260273972599</v>
      </c>
      <c r="E2972" s="3">
        <f t="shared" si="668"/>
        <v>2011</v>
      </c>
      <c r="F2972" s="3">
        <f t="shared" si="669"/>
        <v>11</v>
      </c>
      <c r="G2972" s="3">
        <f t="shared" si="670"/>
        <v>16</v>
      </c>
      <c r="H2972" s="3">
        <f t="shared" si="671"/>
        <v>15</v>
      </c>
      <c r="I2972" s="3">
        <f t="shared" si="672"/>
        <v>0</v>
      </c>
      <c r="J2972" s="3">
        <f t="shared" si="673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674"/>
        <v>YES</v>
      </c>
      <c r="Q2972" t="str">
        <f t="shared" si="675"/>
        <v>NO</v>
      </c>
      <c r="R2972" t="str">
        <f t="shared" si="676"/>
        <v>NO</v>
      </c>
      <c r="T2972" t="s">
        <v>342</v>
      </c>
      <c r="U2972" t="str">
        <f t="shared" si="677"/>
        <v>Prospect St</v>
      </c>
      <c r="V2972" t="s">
        <v>105</v>
      </c>
      <c r="W2972" t="str">
        <f t="shared" si="678"/>
        <v>Broadway</v>
      </c>
      <c r="X2972" t="str">
        <f>IF(ISBLANK(S2972),"Intersection","Non-Intersection")</f>
        <v>Intersection</v>
      </c>
      <c r="Y2972" t="s">
        <v>725</v>
      </c>
      <c r="Z2972" t="str">
        <f t="shared" si="679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666"/>
        <v>40544</v>
      </c>
      <c r="D2973" s="4">
        <f t="shared" si="667"/>
        <v>0.87397260273972599</v>
      </c>
      <c r="E2973" s="3">
        <f t="shared" si="668"/>
        <v>2011</v>
      </c>
      <c r="F2973" s="3">
        <f t="shared" si="669"/>
        <v>11</v>
      </c>
      <c r="G2973" s="3">
        <f t="shared" si="670"/>
        <v>16</v>
      </c>
      <c r="H2973" s="3">
        <f t="shared" si="671"/>
        <v>17</v>
      </c>
      <c r="I2973" s="3">
        <f t="shared" si="672"/>
        <v>10</v>
      </c>
      <c r="J2973" s="3">
        <f t="shared" si="673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674"/>
        <v>YES</v>
      </c>
      <c r="Q2973" t="str">
        <f t="shared" si="675"/>
        <v>NO</v>
      </c>
      <c r="R2973" t="str">
        <f t="shared" si="676"/>
        <v>NO</v>
      </c>
      <c r="T2973" t="s">
        <v>1502</v>
      </c>
      <c r="U2973" t="str">
        <f t="shared" si="677"/>
        <v>Gore St</v>
      </c>
      <c r="V2973" t="s">
        <v>1646</v>
      </c>
      <c r="W2973" t="str">
        <f t="shared" si="678"/>
        <v>Lambert St</v>
      </c>
      <c r="X2973" t="str">
        <f>IF(ISBLANK(S2973),"Intersection","Non-Intersection")</f>
        <v>Intersection</v>
      </c>
      <c r="Y2973" t="s">
        <v>3950</v>
      </c>
      <c r="Z2973" t="str">
        <f t="shared" si="679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666"/>
        <v>40544</v>
      </c>
      <c r="D2974" s="4">
        <f t="shared" si="667"/>
        <v>0.87397260273972599</v>
      </c>
      <c r="E2974" s="3">
        <f t="shared" si="668"/>
        <v>2011</v>
      </c>
      <c r="F2974" s="3">
        <f t="shared" si="669"/>
        <v>11</v>
      </c>
      <c r="G2974" s="3">
        <f t="shared" si="670"/>
        <v>16</v>
      </c>
      <c r="H2974" s="3">
        <f t="shared" si="671"/>
        <v>15</v>
      </c>
      <c r="I2974" s="3">
        <f t="shared" si="672"/>
        <v>59</v>
      </c>
      <c r="J2974" s="3">
        <f t="shared" si="673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674"/>
        <v>YES</v>
      </c>
      <c r="Q2974" t="str">
        <f t="shared" si="675"/>
        <v>NO</v>
      </c>
      <c r="R2974" t="str">
        <f t="shared" si="676"/>
        <v>NO</v>
      </c>
      <c r="S2974">
        <v>222</v>
      </c>
      <c r="T2974" t="s">
        <v>105</v>
      </c>
      <c r="U2974" t="str">
        <f t="shared" si="677"/>
        <v>Broadway</v>
      </c>
      <c r="W2974" t="str">
        <f t="shared" si="678"/>
        <v/>
      </c>
      <c r="X2974" t="str">
        <f>IF(ISBLANK(S2974),"Intersection","Non-Intersection")</f>
        <v>Non-Intersection</v>
      </c>
      <c r="Y2974" t="s">
        <v>2033</v>
      </c>
      <c r="Z2974" t="str">
        <f t="shared" si="679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666"/>
        <v>40544</v>
      </c>
      <c r="D2975" s="4">
        <f t="shared" si="667"/>
        <v>0.87397260273972599</v>
      </c>
      <c r="E2975" s="3">
        <f t="shared" si="668"/>
        <v>2011</v>
      </c>
      <c r="F2975" s="3">
        <f t="shared" si="669"/>
        <v>11</v>
      </c>
      <c r="G2975" s="3">
        <f t="shared" si="670"/>
        <v>16</v>
      </c>
      <c r="H2975" s="3">
        <f t="shared" si="671"/>
        <v>18</v>
      </c>
      <c r="I2975" s="3">
        <f t="shared" si="672"/>
        <v>14</v>
      </c>
      <c r="J2975" s="3">
        <f t="shared" si="673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674"/>
        <v>YES</v>
      </c>
      <c r="Q2975" t="str">
        <f t="shared" si="675"/>
        <v>NO</v>
      </c>
      <c r="R2975" t="str">
        <f t="shared" si="676"/>
        <v>NO</v>
      </c>
      <c r="T2975" t="s">
        <v>27</v>
      </c>
      <c r="U2975" t="str">
        <f t="shared" si="677"/>
        <v>Western Ave</v>
      </c>
      <c r="V2975" t="s">
        <v>757</v>
      </c>
      <c r="W2975" t="str">
        <f t="shared" si="678"/>
        <v>Blackstone St</v>
      </c>
      <c r="X2975" t="str">
        <f>IF(ISBLANK(S2975),"Intersection","Non-Intersection")</f>
        <v>Intersection</v>
      </c>
      <c r="Y2975" t="s">
        <v>1405</v>
      </c>
      <c r="Z2975" t="str">
        <f t="shared" si="679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666"/>
        <v>40544</v>
      </c>
      <c r="D2976" s="4">
        <f t="shared" si="667"/>
        <v>0.87397260273972599</v>
      </c>
      <c r="E2976" s="3">
        <f t="shared" si="668"/>
        <v>2011</v>
      </c>
      <c r="F2976" s="3">
        <f t="shared" si="669"/>
        <v>11</v>
      </c>
      <c r="G2976" s="3">
        <f t="shared" si="670"/>
        <v>16</v>
      </c>
      <c r="H2976" s="3">
        <f t="shared" si="671"/>
        <v>18</v>
      </c>
      <c r="I2976" s="3">
        <f t="shared" si="672"/>
        <v>30</v>
      </c>
      <c r="J2976" s="3">
        <f t="shared" si="673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674"/>
        <v>YES</v>
      </c>
      <c r="Q2976" t="str">
        <f t="shared" si="675"/>
        <v>NO</v>
      </c>
      <c r="R2976" t="str">
        <f t="shared" si="676"/>
        <v>YES</v>
      </c>
      <c r="S2976">
        <v>340</v>
      </c>
      <c r="T2976" t="s">
        <v>41</v>
      </c>
      <c r="U2976" t="str">
        <f t="shared" si="677"/>
        <v>River St</v>
      </c>
      <c r="W2976" t="str">
        <f t="shared" si="678"/>
        <v/>
      </c>
      <c r="X2976" t="str">
        <f>IF(ISBLANK(S2976),"Intersection","Non-Intersection")</f>
        <v>Non-Intersection</v>
      </c>
      <c r="Y2976" t="s">
        <v>696</v>
      </c>
      <c r="Z2976" t="str">
        <f t="shared" si="679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666"/>
        <v>40544</v>
      </c>
      <c r="D2977" s="4">
        <f t="shared" si="667"/>
        <v>0.87397260273972599</v>
      </c>
      <c r="E2977" s="3">
        <f t="shared" si="668"/>
        <v>2011</v>
      </c>
      <c r="F2977" s="3">
        <f t="shared" si="669"/>
        <v>11</v>
      </c>
      <c r="G2977" s="3">
        <f t="shared" si="670"/>
        <v>16</v>
      </c>
      <c r="H2977" s="3">
        <f t="shared" si="671"/>
        <v>20</v>
      </c>
      <c r="I2977" s="3">
        <f t="shared" si="672"/>
        <v>0</v>
      </c>
      <c r="J2977" s="3">
        <f t="shared" si="673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674"/>
        <v>NO</v>
      </c>
      <c r="Q2977" t="str">
        <f t="shared" si="675"/>
        <v>NO</v>
      </c>
      <c r="R2977" t="str">
        <f t="shared" si="676"/>
        <v>NO</v>
      </c>
      <c r="S2977">
        <v>13</v>
      </c>
      <c r="T2977" t="s">
        <v>2466</v>
      </c>
      <c r="U2977" t="str">
        <f t="shared" si="677"/>
        <v>Regent St</v>
      </c>
      <c r="W2977" t="str">
        <f t="shared" si="678"/>
        <v/>
      </c>
      <c r="X2977" t="str">
        <f>IF(ISBLANK(S2977),"Intersection","Non-Intersection")</f>
        <v>Non-Intersection</v>
      </c>
      <c r="Y2977" t="s">
        <v>2467</v>
      </c>
      <c r="Z2977" t="str">
        <f t="shared" si="679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666"/>
        <v>40544</v>
      </c>
      <c r="D2978" s="4">
        <f t="shared" si="667"/>
        <v>0.87397260273972599</v>
      </c>
      <c r="E2978" s="3">
        <f t="shared" si="668"/>
        <v>2011</v>
      </c>
      <c r="F2978" s="3">
        <f t="shared" si="669"/>
        <v>11</v>
      </c>
      <c r="G2978" s="3">
        <f t="shared" si="670"/>
        <v>16</v>
      </c>
      <c r="H2978" s="3">
        <f t="shared" si="671"/>
        <v>15</v>
      </c>
      <c r="I2978" s="3">
        <f t="shared" si="672"/>
        <v>0</v>
      </c>
      <c r="J2978" s="3">
        <f t="shared" si="673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674"/>
        <v>YES</v>
      </c>
      <c r="Q2978" t="str">
        <f t="shared" si="675"/>
        <v>NO</v>
      </c>
      <c r="R2978" t="str">
        <f t="shared" si="676"/>
        <v>NO</v>
      </c>
      <c r="T2978" t="s">
        <v>14</v>
      </c>
      <c r="U2978" t="str">
        <f t="shared" si="677"/>
        <v>Massachusetts Ave</v>
      </c>
      <c r="V2978" t="s">
        <v>710</v>
      </c>
      <c r="W2978" t="str">
        <f t="shared" si="678"/>
        <v>Fresh Pond Pky</v>
      </c>
      <c r="X2978" t="str">
        <f>IF(ISBLANK(S2978),"Intersection","Non-Intersection")</f>
        <v>Intersection</v>
      </c>
      <c r="Y2978" t="s">
        <v>2104</v>
      </c>
      <c r="Z2978" t="str">
        <f t="shared" si="679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666"/>
        <v>40544</v>
      </c>
      <c r="D2979" s="4">
        <f t="shared" si="667"/>
        <v>0.87397260273972599</v>
      </c>
      <c r="E2979" s="3">
        <f t="shared" si="668"/>
        <v>2011</v>
      </c>
      <c r="F2979" s="3">
        <f t="shared" si="669"/>
        <v>11</v>
      </c>
      <c r="G2979" s="3">
        <f t="shared" si="670"/>
        <v>16</v>
      </c>
      <c r="H2979" s="3">
        <f t="shared" si="671"/>
        <v>21</v>
      </c>
      <c r="I2979" s="3">
        <f t="shared" si="672"/>
        <v>0</v>
      </c>
      <c r="J2979" s="3">
        <f t="shared" si="673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674"/>
        <v>YES</v>
      </c>
      <c r="Q2979" t="str">
        <f t="shared" si="675"/>
        <v>NO</v>
      </c>
      <c r="R2979" t="str">
        <f t="shared" si="676"/>
        <v>NO</v>
      </c>
      <c r="S2979">
        <v>124</v>
      </c>
      <c r="T2979" t="s">
        <v>198</v>
      </c>
      <c r="U2979" t="str">
        <f t="shared" si="677"/>
        <v>Mount Auburn St</v>
      </c>
      <c r="W2979" t="str">
        <f t="shared" si="678"/>
        <v/>
      </c>
      <c r="X2979" t="str">
        <f>IF(ISBLANK(S2979),"Intersection","Non-Intersection")</f>
        <v>Non-Intersection</v>
      </c>
      <c r="Y2979" t="s">
        <v>3116</v>
      </c>
      <c r="Z2979" t="str">
        <f t="shared" si="679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666"/>
        <v>40544</v>
      </c>
      <c r="D2980" s="4">
        <f t="shared" si="667"/>
        <v>0.87671232876712324</v>
      </c>
      <c r="E2980" s="3">
        <f t="shared" si="668"/>
        <v>2011</v>
      </c>
      <c r="F2980" s="3">
        <f t="shared" si="669"/>
        <v>11</v>
      </c>
      <c r="G2980" s="3">
        <f t="shared" si="670"/>
        <v>17</v>
      </c>
      <c r="H2980" s="3">
        <f t="shared" si="671"/>
        <v>7</v>
      </c>
      <c r="I2980" s="3">
        <f t="shared" si="672"/>
        <v>44</v>
      </c>
      <c r="J2980" s="3">
        <f t="shared" si="673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674"/>
        <v>YES</v>
      </c>
      <c r="Q2980" t="str">
        <f t="shared" si="675"/>
        <v>NO</v>
      </c>
      <c r="R2980" t="str">
        <f t="shared" si="676"/>
        <v>NO</v>
      </c>
      <c r="S2980">
        <v>79</v>
      </c>
      <c r="T2980" t="s">
        <v>326</v>
      </c>
      <c r="U2980" t="str">
        <f t="shared" si="677"/>
        <v>Jfk St</v>
      </c>
      <c r="W2980" t="str">
        <f t="shared" si="678"/>
        <v/>
      </c>
      <c r="X2980" t="str">
        <f>IF(ISBLANK(S2980),"Intersection","Non-Intersection")</f>
        <v>Non-Intersection</v>
      </c>
      <c r="Y2980" t="s">
        <v>1851</v>
      </c>
      <c r="Z2980" t="str">
        <f t="shared" si="679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666"/>
        <v>40544</v>
      </c>
      <c r="D2981" s="4">
        <f t="shared" si="667"/>
        <v>0.87671232876712324</v>
      </c>
      <c r="E2981" s="3">
        <f t="shared" si="668"/>
        <v>2011</v>
      </c>
      <c r="F2981" s="3">
        <f t="shared" si="669"/>
        <v>11</v>
      </c>
      <c r="G2981" s="3">
        <f t="shared" si="670"/>
        <v>17</v>
      </c>
      <c r="H2981" s="3">
        <f t="shared" si="671"/>
        <v>8</v>
      </c>
      <c r="I2981" s="3">
        <f t="shared" si="672"/>
        <v>0</v>
      </c>
      <c r="J2981" s="3">
        <f t="shared" si="673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674"/>
        <v>YES</v>
      </c>
      <c r="Q2981" t="str">
        <f t="shared" si="675"/>
        <v>YES</v>
      </c>
      <c r="R2981" t="str">
        <f t="shared" si="676"/>
        <v>NO</v>
      </c>
      <c r="S2981">
        <v>232</v>
      </c>
      <c r="T2981" t="s">
        <v>105</v>
      </c>
      <c r="U2981" t="str">
        <f t="shared" si="677"/>
        <v>Broadway</v>
      </c>
      <c r="W2981" t="str">
        <f t="shared" si="678"/>
        <v/>
      </c>
      <c r="X2981" t="str">
        <f>IF(ISBLANK(S2981),"Intersection","Non-Intersection")</f>
        <v>Non-Intersection</v>
      </c>
      <c r="Y2981" t="s">
        <v>3958</v>
      </c>
      <c r="Z2981" t="str">
        <f t="shared" si="679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666"/>
        <v>40544</v>
      </c>
      <c r="D2982" s="4">
        <f t="shared" si="667"/>
        <v>0.87671232876712324</v>
      </c>
      <c r="E2982" s="3">
        <f t="shared" si="668"/>
        <v>2011</v>
      </c>
      <c r="F2982" s="3">
        <f t="shared" si="669"/>
        <v>11</v>
      </c>
      <c r="G2982" s="3">
        <f t="shared" si="670"/>
        <v>17</v>
      </c>
      <c r="H2982" s="3">
        <f t="shared" si="671"/>
        <v>8</v>
      </c>
      <c r="I2982" s="3">
        <f t="shared" si="672"/>
        <v>15</v>
      </c>
      <c r="J2982" s="3">
        <f t="shared" si="673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674"/>
        <v>YES</v>
      </c>
      <c r="Q2982" t="str">
        <f t="shared" si="675"/>
        <v>NO</v>
      </c>
      <c r="R2982" t="str">
        <f t="shared" si="676"/>
        <v>NO</v>
      </c>
      <c r="T2982" t="s">
        <v>252</v>
      </c>
      <c r="U2982" t="str">
        <f t="shared" si="677"/>
        <v>Walden St</v>
      </c>
      <c r="V2982" t="s">
        <v>291</v>
      </c>
      <c r="W2982" t="str">
        <f t="shared" si="678"/>
        <v>Raymond St</v>
      </c>
      <c r="X2982" t="str">
        <f>IF(ISBLANK(S2982),"Intersection","Non-Intersection")</f>
        <v>Intersection</v>
      </c>
      <c r="Y2982" t="s">
        <v>2263</v>
      </c>
      <c r="Z2982" t="str">
        <f t="shared" si="679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666"/>
        <v>40544</v>
      </c>
      <c r="D2983" s="4">
        <f t="shared" si="667"/>
        <v>0.87671232876712324</v>
      </c>
      <c r="E2983" s="3">
        <f t="shared" si="668"/>
        <v>2011</v>
      </c>
      <c r="F2983" s="3">
        <f t="shared" si="669"/>
        <v>11</v>
      </c>
      <c r="G2983" s="3">
        <f t="shared" si="670"/>
        <v>17</v>
      </c>
      <c r="H2983" s="3">
        <f t="shared" si="671"/>
        <v>17</v>
      </c>
      <c r="I2983" s="3">
        <f t="shared" si="672"/>
        <v>0</v>
      </c>
      <c r="J2983" s="3">
        <f t="shared" si="673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674"/>
        <v>YES</v>
      </c>
      <c r="Q2983" t="str">
        <f t="shared" si="675"/>
        <v>NO</v>
      </c>
      <c r="R2983" t="str">
        <f t="shared" si="676"/>
        <v>NO</v>
      </c>
      <c r="S2983">
        <v>1300</v>
      </c>
      <c r="T2983" t="s">
        <v>14</v>
      </c>
      <c r="U2983" t="str">
        <f t="shared" si="677"/>
        <v>Massachusetts Ave</v>
      </c>
      <c r="W2983" t="str">
        <f t="shared" si="678"/>
        <v/>
      </c>
      <c r="X2983" t="str">
        <f>IF(ISBLANK(S2983),"Intersection","Non-Intersection")</f>
        <v>Non-Intersection</v>
      </c>
      <c r="Y2983" t="s">
        <v>3200</v>
      </c>
      <c r="Z2983" t="str">
        <f t="shared" si="679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666"/>
        <v>40544</v>
      </c>
      <c r="D2984" s="4">
        <f t="shared" si="667"/>
        <v>0.87671232876712324</v>
      </c>
      <c r="E2984" s="3">
        <f t="shared" si="668"/>
        <v>2011</v>
      </c>
      <c r="F2984" s="3">
        <f t="shared" si="669"/>
        <v>11</v>
      </c>
      <c r="G2984" s="3">
        <f t="shared" si="670"/>
        <v>17</v>
      </c>
      <c r="H2984" s="3">
        <f t="shared" si="671"/>
        <v>18</v>
      </c>
      <c r="I2984" s="3">
        <f t="shared" si="672"/>
        <v>0</v>
      </c>
      <c r="J2984" s="3">
        <f t="shared" si="673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674"/>
        <v>YES</v>
      </c>
      <c r="Q2984" t="str">
        <f t="shared" si="675"/>
        <v>NO</v>
      </c>
      <c r="R2984" t="str">
        <f t="shared" si="676"/>
        <v>NO</v>
      </c>
      <c r="S2984">
        <v>75</v>
      </c>
      <c r="T2984" t="s">
        <v>985</v>
      </c>
      <c r="U2984" t="str">
        <f t="shared" si="677"/>
        <v>Plymouth St</v>
      </c>
      <c r="W2984" t="str">
        <f t="shared" si="678"/>
        <v/>
      </c>
      <c r="X2984" t="str">
        <f>IF(ISBLANK(S2984),"Intersection","Non-Intersection")</f>
        <v>Non-Intersection</v>
      </c>
      <c r="Y2984" t="s">
        <v>3960</v>
      </c>
      <c r="Z2984" t="str">
        <f t="shared" si="679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666"/>
        <v>40544</v>
      </c>
      <c r="D2985" s="4">
        <f t="shared" si="667"/>
        <v>0.87671232876712324</v>
      </c>
      <c r="E2985" s="3">
        <f t="shared" si="668"/>
        <v>2011</v>
      </c>
      <c r="F2985" s="3">
        <f t="shared" si="669"/>
        <v>11</v>
      </c>
      <c r="G2985" s="3">
        <f t="shared" si="670"/>
        <v>17</v>
      </c>
      <c r="H2985" s="3">
        <f t="shared" si="671"/>
        <v>19</v>
      </c>
      <c r="I2985" s="3">
        <f t="shared" si="672"/>
        <v>30</v>
      </c>
      <c r="J2985" s="3">
        <f t="shared" si="673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674"/>
        <v>YES</v>
      </c>
      <c r="Q2985" t="str">
        <f t="shared" si="675"/>
        <v>NO</v>
      </c>
      <c r="R2985" t="str">
        <f t="shared" si="676"/>
        <v>NO</v>
      </c>
      <c r="S2985">
        <v>71</v>
      </c>
      <c r="T2985" t="s">
        <v>760</v>
      </c>
      <c r="U2985" t="str">
        <f t="shared" si="677"/>
        <v>Fulkerson St</v>
      </c>
      <c r="W2985" t="str">
        <f t="shared" si="678"/>
        <v/>
      </c>
      <c r="X2985" t="str">
        <f>IF(ISBLANK(S2985),"Intersection","Non-Intersection")</f>
        <v>Non-Intersection</v>
      </c>
      <c r="Y2985" t="s">
        <v>1080</v>
      </c>
      <c r="Z2985" t="str">
        <f t="shared" si="679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666"/>
        <v>40544</v>
      </c>
      <c r="D2986" s="4">
        <f t="shared" si="667"/>
        <v>0.8794520547945206</v>
      </c>
      <c r="E2986" s="3">
        <f t="shared" si="668"/>
        <v>2011</v>
      </c>
      <c r="F2986" s="3">
        <f t="shared" si="669"/>
        <v>11</v>
      </c>
      <c r="G2986" s="3">
        <f t="shared" si="670"/>
        <v>18</v>
      </c>
      <c r="H2986" s="3">
        <f t="shared" si="671"/>
        <v>13</v>
      </c>
      <c r="I2986" s="3">
        <f t="shared" si="672"/>
        <v>51</v>
      </c>
      <c r="J2986" s="3">
        <f t="shared" si="673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674"/>
        <v>YES</v>
      </c>
      <c r="Q2986" t="str">
        <f t="shared" si="675"/>
        <v>NO</v>
      </c>
      <c r="R2986" t="str">
        <f t="shared" si="676"/>
        <v>NO</v>
      </c>
      <c r="S2986">
        <v>457</v>
      </c>
      <c r="T2986" t="s">
        <v>198</v>
      </c>
      <c r="U2986" t="str">
        <f t="shared" si="677"/>
        <v>Mount Auburn St</v>
      </c>
      <c r="W2986" t="str">
        <f t="shared" si="678"/>
        <v/>
      </c>
      <c r="X2986" t="str">
        <f>IF(ISBLANK(S2986),"Intersection","Non-Intersection")</f>
        <v>Non-Intersection</v>
      </c>
      <c r="Y2986" t="s">
        <v>3962</v>
      </c>
      <c r="Z2986" t="str">
        <f t="shared" si="679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666"/>
        <v>40544</v>
      </c>
      <c r="D2987" s="4">
        <f t="shared" si="667"/>
        <v>0.8794520547945206</v>
      </c>
      <c r="E2987" s="3">
        <f t="shared" si="668"/>
        <v>2011</v>
      </c>
      <c r="F2987" s="3">
        <f t="shared" si="669"/>
        <v>11</v>
      </c>
      <c r="G2987" s="3">
        <f t="shared" si="670"/>
        <v>18</v>
      </c>
      <c r="H2987" s="3">
        <f t="shared" si="671"/>
        <v>16</v>
      </c>
      <c r="I2987" s="3">
        <f t="shared" si="672"/>
        <v>28</v>
      </c>
      <c r="J2987" s="3">
        <f t="shared" si="673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674"/>
        <v>YES</v>
      </c>
      <c r="Q2987" t="str">
        <f t="shared" si="675"/>
        <v>YES</v>
      </c>
      <c r="R2987" t="str">
        <f t="shared" si="676"/>
        <v>NO</v>
      </c>
      <c r="T2987" t="s">
        <v>1976</v>
      </c>
      <c r="U2987" t="str">
        <f t="shared" si="677"/>
        <v>Orchard St</v>
      </c>
      <c r="V2987" t="s">
        <v>524</v>
      </c>
      <c r="W2987" t="str">
        <f t="shared" si="678"/>
        <v>Blake St</v>
      </c>
      <c r="X2987" t="str">
        <f>IF(ISBLANK(S2987),"Intersection","Non-Intersection")</f>
        <v>Intersection</v>
      </c>
      <c r="Y2987" t="s">
        <v>3964</v>
      </c>
      <c r="Z2987" t="str">
        <f t="shared" si="679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666"/>
        <v>40544</v>
      </c>
      <c r="D2988" s="4">
        <f t="shared" si="667"/>
        <v>0.8794520547945206</v>
      </c>
      <c r="E2988" s="3">
        <f t="shared" si="668"/>
        <v>2011</v>
      </c>
      <c r="F2988" s="3">
        <f t="shared" si="669"/>
        <v>11</v>
      </c>
      <c r="G2988" s="3">
        <f t="shared" si="670"/>
        <v>18</v>
      </c>
      <c r="H2988" s="3">
        <f t="shared" si="671"/>
        <v>17</v>
      </c>
      <c r="I2988" s="3">
        <f t="shared" si="672"/>
        <v>55</v>
      </c>
      <c r="J2988" s="3">
        <f t="shared" si="673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674"/>
        <v>YES</v>
      </c>
      <c r="Q2988" t="str">
        <f t="shared" si="675"/>
        <v>NO</v>
      </c>
      <c r="R2988" t="str">
        <f t="shared" si="676"/>
        <v>NO</v>
      </c>
      <c r="T2988" t="s">
        <v>326</v>
      </c>
      <c r="U2988" t="str">
        <f t="shared" si="677"/>
        <v>Jfk St</v>
      </c>
      <c r="V2988" t="s">
        <v>3966</v>
      </c>
      <c r="W2988" t="str">
        <f t="shared" si="678"/>
        <v>South St</v>
      </c>
      <c r="X2988" t="str">
        <f>IF(ISBLANK(S2988),"Intersection","Non-Intersection")</f>
        <v>Intersection</v>
      </c>
      <c r="Y2988" t="s">
        <v>3967</v>
      </c>
      <c r="Z2988" t="str">
        <f t="shared" si="679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666"/>
        <v>40544</v>
      </c>
      <c r="D2989" s="4">
        <f t="shared" si="667"/>
        <v>0.88219178082191785</v>
      </c>
      <c r="E2989" s="3">
        <f t="shared" si="668"/>
        <v>2011</v>
      </c>
      <c r="F2989" s="3">
        <f t="shared" si="669"/>
        <v>11</v>
      </c>
      <c r="G2989" s="3">
        <f t="shared" si="670"/>
        <v>19</v>
      </c>
      <c r="H2989" s="3">
        <f t="shared" si="671"/>
        <v>0</v>
      </c>
      <c r="I2989" s="3">
        <f t="shared" si="672"/>
        <v>4</v>
      </c>
      <c r="J2989" s="3">
        <f t="shared" si="673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674"/>
        <v>YES</v>
      </c>
      <c r="Q2989" t="str">
        <f t="shared" si="675"/>
        <v>NO</v>
      </c>
      <c r="R2989" t="str">
        <f t="shared" si="676"/>
        <v>NO</v>
      </c>
      <c r="T2989" t="s">
        <v>119</v>
      </c>
      <c r="U2989" t="str">
        <f t="shared" si="677"/>
        <v>Albany St</v>
      </c>
      <c r="V2989" t="s">
        <v>14</v>
      </c>
      <c r="W2989" t="str">
        <f t="shared" si="678"/>
        <v>Massachusetts Ave</v>
      </c>
      <c r="X2989" t="str">
        <f>IF(ISBLANK(S2989),"Intersection","Non-Intersection")</f>
        <v>Intersection</v>
      </c>
      <c r="Y2989" t="s">
        <v>1000</v>
      </c>
      <c r="Z2989" t="str">
        <f t="shared" si="679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666"/>
        <v>40544</v>
      </c>
      <c r="D2990" s="4">
        <f t="shared" si="667"/>
        <v>0.88219178082191785</v>
      </c>
      <c r="E2990" s="3">
        <f t="shared" si="668"/>
        <v>2011</v>
      </c>
      <c r="F2990" s="3">
        <f t="shared" si="669"/>
        <v>11</v>
      </c>
      <c r="G2990" s="3">
        <f t="shared" si="670"/>
        <v>19</v>
      </c>
      <c r="H2990" s="3">
        <f t="shared" si="671"/>
        <v>11</v>
      </c>
      <c r="I2990" s="3">
        <f t="shared" si="672"/>
        <v>0</v>
      </c>
      <c r="J2990" s="3">
        <f t="shared" si="673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674"/>
        <v>YES</v>
      </c>
      <c r="Q2990" t="str">
        <f t="shared" si="675"/>
        <v>NO</v>
      </c>
      <c r="R2990" t="str">
        <f t="shared" si="676"/>
        <v>NO</v>
      </c>
      <c r="T2990" t="s">
        <v>42</v>
      </c>
      <c r="U2990" t="str">
        <f t="shared" si="677"/>
        <v>Putnam Ave</v>
      </c>
      <c r="V2990" t="s">
        <v>1024</v>
      </c>
      <c r="W2990" t="str">
        <f t="shared" si="678"/>
        <v>Kinnaird St</v>
      </c>
      <c r="X2990" t="str">
        <f>IF(ISBLANK(S2990),"Intersection","Non-Intersection")</f>
        <v>Intersection</v>
      </c>
      <c r="Y2990" t="s">
        <v>2183</v>
      </c>
      <c r="Z2990" t="str">
        <f t="shared" si="679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666"/>
        <v>40544</v>
      </c>
      <c r="D2991" s="4">
        <f t="shared" si="667"/>
        <v>0.88219178082191785</v>
      </c>
      <c r="E2991" s="3">
        <f t="shared" si="668"/>
        <v>2011</v>
      </c>
      <c r="F2991" s="3">
        <f t="shared" si="669"/>
        <v>11</v>
      </c>
      <c r="G2991" s="3">
        <f t="shared" si="670"/>
        <v>19</v>
      </c>
      <c r="H2991" s="3">
        <f t="shared" si="671"/>
        <v>11</v>
      </c>
      <c r="I2991" s="3">
        <f t="shared" si="672"/>
        <v>29</v>
      </c>
      <c r="J2991" s="3">
        <f t="shared" si="673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674"/>
        <v>YES</v>
      </c>
      <c r="Q2991" t="str">
        <f t="shared" si="675"/>
        <v>NO</v>
      </c>
      <c r="R2991" t="str">
        <f t="shared" si="676"/>
        <v>YES</v>
      </c>
      <c r="T2991" t="s">
        <v>19</v>
      </c>
      <c r="U2991" t="str">
        <f t="shared" si="677"/>
        <v>Cambridge St</v>
      </c>
      <c r="V2991" t="s">
        <v>101</v>
      </c>
      <c r="W2991" t="str">
        <f t="shared" si="678"/>
        <v>Columbia St</v>
      </c>
      <c r="X2991" t="str">
        <f>IF(ISBLANK(S2991),"Intersection","Non-Intersection")</f>
        <v>Intersection</v>
      </c>
      <c r="Y2991" t="s">
        <v>438</v>
      </c>
      <c r="Z2991" t="str">
        <f t="shared" si="679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666"/>
        <v>40544</v>
      </c>
      <c r="D2992" s="4">
        <f t="shared" si="667"/>
        <v>0.88219178082191785</v>
      </c>
      <c r="E2992" s="3">
        <f t="shared" si="668"/>
        <v>2011</v>
      </c>
      <c r="F2992" s="3">
        <f t="shared" si="669"/>
        <v>11</v>
      </c>
      <c r="G2992" s="3">
        <f t="shared" si="670"/>
        <v>19</v>
      </c>
      <c r="H2992" s="3">
        <f t="shared" si="671"/>
        <v>12</v>
      </c>
      <c r="I2992" s="3">
        <f t="shared" si="672"/>
        <v>59</v>
      </c>
      <c r="J2992" s="3">
        <f t="shared" si="673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674"/>
        <v>YES</v>
      </c>
      <c r="Q2992" t="str">
        <f t="shared" si="675"/>
        <v>NO</v>
      </c>
      <c r="R2992" t="str">
        <f t="shared" si="676"/>
        <v>NO</v>
      </c>
      <c r="S2992">
        <v>186</v>
      </c>
      <c r="T2992" t="s">
        <v>170</v>
      </c>
      <c r="U2992" t="str">
        <f t="shared" si="677"/>
        <v>Alewife Brook Pky</v>
      </c>
      <c r="W2992" t="str">
        <f t="shared" si="678"/>
        <v/>
      </c>
      <c r="X2992" t="str">
        <f>IF(ISBLANK(S2992),"Intersection","Non-Intersection")</f>
        <v>Non-Intersection</v>
      </c>
      <c r="Y2992" t="s">
        <v>242</v>
      </c>
      <c r="Z2992" t="str">
        <f t="shared" si="679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666"/>
        <v>40544</v>
      </c>
      <c r="D2993" s="4">
        <f t="shared" si="667"/>
        <v>0.88219178082191785</v>
      </c>
      <c r="E2993" s="3">
        <f t="shared" si="668"/>
        <v>2011</v>
      </c>
      <c r="F2993" s="3">
        <f t="shared" si="669"/>
        <v>11</v>
      </c>
      <c r="G2993" s="3">
        <f t="shared" si="670"/>
        <v>19</v>
      </c>
      <c r="H2993" s="3">
        <f t="shared" si="671"/>
        <v>20</v>
      </c>
      <c r="I2993" s="3">
        <f t="shared" si="672"/>
        <v>29</v>
      </c>
      <c r="J2993" s="3">
        <f t="shared" si="673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674"/>
        <v>YES</v>
      </c>
      <c r="Q2993" t="str">
        <f t="shared" si="675"/>
        <v>YES</v>
      </c>
      <c r="R2993" t="str">
        <f t="shared" si="676"/>
        <v>NO</v>
      </c>
      <c r="S2993">
        <v>350</v>
      </c>
      <c r="T2993" t="s">
        <v>260</v>
      </c>
      <c r="U2993" t="str">
        <f t="shared" si="677"/>
        <v>Third St</v>
      </c>
      <c r="V2993" t="s">
        <v>1615</v>
      </c>
      <c r="W2993" t="str">
        <f t="shared" si="678"/>
        <v>Kendall Sq</v>
      </c>
      <c r="X2993" t="str">
        <f>IF(ISBLANK(S2993),"Intersection","Non-Intersection")</f>
        <v>Non-Intersection</v>
      </c>
      <c r="Y2993" t="s">
        <v>3969</v>
      </c>
      <c r="Z2993" t="str">
        <f t="shared" si="679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680">EOMONTH(B2994,MONTH(B2994)*-1)+1</f>
        <v>40544</v>
      </c>
      <c r="D2994" s="4">
        <f t="shared" ref="D2994:D3054" si="681">YEARFRAC(C2994,B2994,1)</f>
        <v>0.8849315068493151</v>
      </c>
      <c r="E2994" s="3">
        <f t="shared" ref="E2994:E3054" si="682">YEAR(B2994)</f>
        <v>2011</v>
      </c>
      <c r="F2994" s="3">
        <f t="shared" ref="F2994:F3054" si="683">MONTH(B2994)</f>
        <v>11</v>
      </c>
      <c r="G2994" s="3">
        <f t="shared" ref="G2994:G3054" si="684">DAY(B2994)</f>
        <v>20</v>
      </c>
      <c r="H2994" s="3">
        <f t="shared" ref="H2994:H3054" si="685">HOUR(B2994)</f>
        <v>9</v>
      </c>
      <c r="I2994" s="3">
        <f t="shared" ref="I2994:I3054" si="686">MINUTE(B2994)</f>
        <v>0</v>
      </c>
      <c r="J2994" s="3">
        <f t="shared" ref="J2994:J3054" si="687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688">IF(OR(N2994="Auto",O2994="Auto"),"YES",IF(OR(N2994="Taxi",O2994="Taxi"),"YES",IF(OR(N2994="Van",O2994="Van"),"YES",IF(OR(N2994="Truck",O2994="Truck"),"YES","NO"))))</f>
        <v>YES</v>
      </c>
      <c r="Q2994" t="str">
        <f t="shared" ref="Q2994:Q3054" si="689">IF(OR(N2994="Bicycle",O2994="Bicycle"),"YES","NO")</f>
        <v>NO</v>
      </c>
      <c r="R2994" t="str">
        <f t="shared" ref="R2994:R3054" si="690">IF(OR(N2994="Pedestrian",O2994="Pedestrian"),"YES","NO")</f>
        <v>NO</v>
      </c>
      <c r="T2994" t="s">
        <v>189</v>
      </c>
      <c r="U2994" t="str">
        <f t="shared" si="677"/>
        <v>Windsor St</v>
      </c>
      <c r="V2994" t="s">
        <v>19</v>
      </c>
      <c r="W2994" t="str">
        <f t="shared" si="678"/>
        <v>Cambridge St</v>
      </c>
      <c r="X2994" t="str">
        <f>IF(ISBLANK(S2994),"Intersection","Non-Intersection")</f>
        <v>Intersection</v>
      </c>
      <c r="Y2994" t="s">
        <v>331</v>
      </c>
      <c r="Z2994" t="str">
        <f t="shared" si="679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680"/>
        <v>40544</v>
      </c>
      <c r="D2995" s="4">
        <f t="shared" si="681"/>
        <v>0.8849315068493151</v>
      </c>
      <c r="E2995" s="3">
        <f t="shared" si="682"/>
        <v>2011</v>
      </c>
      <c r="F2995" s="3">
        <f t="shared" si="683"/>
        <v>11</v>
      </c>
      <c r="G2995" s="3">
        <f t="shared" si="684"/>
        <v>20</v>
      </c>
      <c r="H2995" s="3">
        <f t="shared" si="685"/>
        <v>10</v>
      </c>
      <c r="I2995" s="3">
        <f t="shared" si="686"/>
        <v>44</v>
      </c>
      <c r="J2995" s="3">
        <f t="shared" si="687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688"/>
        <v>YES</v>
      </c>
      <c r="Q2995" t="str">
        <f t="shared" si="689"/>
        <v>YES</v>
      </c>
      <c r="R2995" t="str">
        <f t="shared" si="690"/>
        <v>NO</v>
      </c>
      <c r="T2995" t="s">
        <v>133</v>
      </c>
      <c r="U2995" t="str">
        <f t="shared" si="677"/>
        <v>Harvard St</v>
      </c>
      <c r="V2995" t="s">
        <v>342</v>
      </c>
      <c r="W2995" t="str">
        <f t="shared" si="678"/>
        <v>Prospect St</v>
      </c>
      <c r="X2995" t="str">
        <f>IF(ISBLANK(S2995),"Intersection","Non-Intersection")</f>
        <v>Intersection</v>
      </c>
      <c r="Y2995" t="s">
        <v>1084</v>
      </c>
      <c r="Z2995" t="str">
        <f t="shared" si="679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680"/>
        <v>40544</v>
      </c>
      <c r="D2996" s="4">
        <f t="shared" si="681"/>
        <v>0.88767123287671235</v>
      </c>
      <c r="E2996" s="3">
        <f t="shared" si="682"/>
        <v>2011</v>
      </c>
      <c r="F2996" s="3">
        <f t="shared" si="683"/>
        <v>11</v>
      </c>
      <c r="G2996" s="3">
        <f t="shared" si="684"/>
        <v>21</v>
      </c>
      <c r="H2996" s="3">
        <f t="shared" si="685"/>
        <v>14</v>
      </c>
      <c r="I2996" s="3">
        <f t="shared" si="686"/>
        <v>54</v>
      </c>
      <c r="J2996" s="3">
        <f t="shared" si="687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688"/>
        <v>YES</v>
      </c>
      <c r="Q2996" t="str">
        <f t="shared" si="689"/>
        <v>NO</v>
      </c>
      <c r="R2996" t="str">
        <f t="shared" si="690"/>
        <v>NO</v>
      </c>
      <c r="T2996" t="s">
        <v>14</v>
      </c>
      <c r="U2996" t="str">
        <f t="shared" si="677"/>
        <v>Massachusetts Ave</v>
      </c>
      <c r="V2996" t="s">
        <v>15</v>
      </c>
      <c r="W2996" t="str">
        <f t="shared" si="678"/>
        <v>Rindge Ave</v>
      </c>
      <c r="X2996" t="str">
        <f>IF(ISBLANK(S2996),"Intersection","Non-Intersection")</f>
        <v>Intersection</v>
      </c>
      <c r="Y2996" t="s">
        <v>16</v>
      </c>
      <c r="Z2996" t="str">
        <f t="shared" si="679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680"/>
        <v>40544</v>
      </c>
      <c r="D2997" s="4">
        <f t="shared" si="681"/>
        <v>0.8904109589041096</v>
      </c>
      <c r="E2997" s="3">
        <f t="shared" si="682"/>
        <v>2011</v>
      </c>
      <c r="F2997" s="3">
        <f t="shared" si="683"/>
        <v>11</v>
      </c>
      <c r="G2997" s="3">
        <f t="shared" si="684"/>
        <v>22</v>
      </c>
      <c r="H2997" s="3">
        <f t="shared" si="685"/>
        <v>14</v>
      </c>
      <c r="I2997" s="3">
        <f t="shared" si="686"/>
        <v>19</v>
      </c>
      <c r="J2997" s="3">
        <f t="shared" si="687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688"/>
        <v>YES</v>
      </c>
      <c r="Q2997" t="str">
        <f t="shared" si="689"/>
        <v>NO</v>
      </c>
      <c r="R2997" t="str">
        <f t="shared" si="690"/>
        <v>NO</v>
      </c>
      <c r="T2997" t="s">
        <v>198</v>
      </c>
      <c r="U2997" t="str">
        <f t="shared" si="677"/>
        <v>Mount Auburn St</v>
      </c>
      <c r="V2997" t="s">
        <v>1177</v>
      </c>
      <c r="W2997" t="str">
        <f t="shared" si="678"/>
        <v>Plympton St</v>
      </c>
      <c r="X2997" t="str">
        <f>IF(ISBLANK(S2997),"Intersection","Non-Intersection")</f>
        <v>Intersection</v>
      </c>
      <c r="Y2997" t="s">
        <v>3194</v>
      </c>
      <c r="Z2997" t="str">
        <f t="shared" si="679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680"/>
        <v>40544</v>
      </c>
      <c r="D2998" s="4">
        <f t="shared" si="681"/>
        <v>0.8904109589041096</v>
      </c>
      <c r="E2998" s="3">
        <f t="shared" si="682"/>
        <v>2011</v>
      </c>
      <c r="F2998" s="3">
        <f t="shared" si="683"/>
        <v>11</v>
      </c>
      <c r="G2998" s="3">
        <f t="shared" si="684"/>
        <v>22</v>
      </c>
      <c r="H2998" s="3">
        <f t="shared" si="685"/>
        <v>19</v>
      </c>
      <c r="I2998" s="3">
        <f t="shared" si="686"/>
        <v>2</v>
      </c>
      <c r="J2998" s="3">
        <f t="shared" si="687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688"/>
        <v>YES</v>
      </c>
      <c r="Q2998" t="str">
        <f t="shared" si="689"/>
        <v>NO</v>
      </c>
      <c r="R2998" t="str">
        <f t="shared" si="690"/>
        <v>NO</v>
      </c>
      <c r="T2998" t="s">
        <v>198</v>
      </c>
      <c r="U2998" t="str">
        <f t="shared" si="677"/>
        <v>Mount Auburn St</v>
      </c>
      <c r="V2998" t="s">
        <v>24</v>
      </c>
      <c r="W2998" t="str">
        <f t="shared" si="678"/>
        <v>Coolidge Ave</v>
      </c>
      <c r="X2998" t="str">
        <f>IF(ISBLANK(S2998),"Intersection","Non-Intersection")</f>
        <v>Intersection</v>
      </c>
      <c r="Y2998" t="s">
        <v>2019</v>
      </c>
      <c r="Z2998" t="str">
        <f t="shared" si="679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680"/>
        <v>40544</v>
      </c>
      <c r="D2999" s="4">
        <f t="shared" si="681"/>
        <v>0.8904109589041096</v>
      </c>
      <c r="E2999" s="3">
        <f t="shared" si="682"/>
        <v>2011</v>
      </c>
      <c r="F2999" s="3">
        <f t="shared" si="683"/>
        <v>11</v>
      </c>
      <c r="G2999" s="3">
        <f t="shared" si="684"/>
        <v>22</v>
      </c>
      <c r="H2999" s="3">
        <f t="shared" si="685"/>
        <v>14</v>
      </c>
      <c r="I2999" s="3">
        <f t="shared" si="686"/>
        <v>42</v>
      </c>
      <c r="J2999" s="3">
        <f t="shared" si="687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688"/>
        <v>YES</v>
      </c>
      <c r="Q2999" t="str">
        <f t="shared" si="689"/>
        <v>NO</v>
      </c>
      <c r="R2999" t="str">
        <f t="shared" si="690"/>
        <v>NO</v>
      </c>
      <c r="S2999">
        <v>15</v>
      </c>
      <c r="T2999" t="s">
        <v>1739</v>
      </c>
      <c r="U2999" t="str">
        <f t="shared" si="677"/>
        <v>Harding St</v>
      </c>
      <c r="W2999" t="str">
        <f t="shared" si="678"/>
        <v/>
      </c>
      <c r="X2999" t="str">
        <f>IF(ISBLANK(S2999),"Intersection","Non-Intersection")</f>
        <v>Non-Intersection</v>
      </c>
      <c r="Y2999" t="s">
        <v>3971</v>
      </c>
      <c r="Z2999" t="str">
        <f t="shared" si="679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680"/>
        <v>40544</v>
      </c>
      <c r="D3000" s="4">
        <f t="shared" si="681"/>
        <v>0.89315068493150684</v>
      </c>
      <c r="E3000" s="3">
        <f t="shared" si="682"/>
        <v>2011</v>
      </c>
      <c r="F3000" s="3">
        <f t="shared" si="683"/>
        <v>11</v>
      </c>
      <c r="G3000" s="3">
        <f t="shared" si="684"/>
        <v>23</v>
      </c>
      <c r="H3000" s="3">
        <f t="shared" si="685"/>
        <v>7</v>
      </c>
      <c r="I3000" s="3">
        <f t="shared" si="686"/>
        <v>15</v>
      </c>
      <c r="J3000" s="3">
        <f t="shared" si="687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688"/>
        <v>YES</v>
      </c>
      <c r="Q3000" t="str">
        <f t="shared" si="689"/>
        <v>NO</v>
      </c>
      <c r="R3000" t="str">
        <f t="shared" si="690"/>
        <v>YES</v>
      </c>
      <c r="T3000" t="s">
        <v>74</v>
      </c>
      <c r="U3000" t="str">
        <f t="shared" si="677"/>
        <v>Hampshire St</v>
      </c>
      <c r="V3000" t="s">
        <v>342</v>
      </c>
      <c r="W3000" t="str">
        <f t="shared" si="678"/>
        <v>Prospect St</v>
      </c>
      <c r="X3000" t="str">
        <f>IF(ISBLANK(S3000),"Intersection","Non-Intersection")</f>
        <v>Intersection</v>
      </c>
      <c r="Y3000" t="s">
        <v>462</v>
      </c>
      <c r="Z3000" t="str">
        <f t="shared" si="679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680"/>
        <v>40544</v>
      </c>
      <c r="D3001" s="4">
        <f t="shared" si="681"/>
        <v>0.89315068493150684</v>
      </c>
      <c r="E3001" s="3">
        <f t="shared" si="682"/>
        <v>2011</v>
      </c>
      <c r="F3001" s="3">
        <f t="shared" si="683"/>
        <v>11</v>
      </c>
      <c r="G3001" s="3">
        <f t="shared" si="684"/>
        <v>23</v>
      </c>
      <c r="H3001" s="3">
        <f t="shared" si="685"/>
        <v>9</v>
      </c>
      <c r="I3001" s="3">
        <f t="shared" si="686"/>
        <v>59</v>
      </c>
      <c r="J3001" s="3">
        <f t="shared" si="687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688"/>
        <v>YES</v>
      </c>
      <c r="Q3001" t="str">
        <f t="shared" si="689"/>
        <v>NO</v>
      </c>
      <c r="R3001" t="str">
        <f t="shared" si="690"/>
        <v>NO</v>
      </c>
      <c r="T3001" t="s">
        <v>70</v>
      </c>
      <c r="U3001" t="str">
        <f t="shared" si="677"/>
        <v>Pearl St</v>
      </c>
      <c r="V3001" t="s">
        <v>3973</v>
      </c>
      <c r="W3001" t="str">
        <f t="shared" si="678"/>
        <v>Tufts St</v>
      </c>
      <c r="X3001" t="str">
        <f>IF(ISBLANK(S3001),"Intersection","Non-Intersection")</f>
        <v>Intersection</v>
      </c>
      <c r="Y3001" t="s">
        <v>3974</v>
      </c>
      <c r="Z3001" t="str">
        <f t="shared" si="679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680"/>
        <v>40544</v>
      </c>
      <c r="D3002" s="4">
        <f t="shared" si="681"/>
        <v>0.89315068493150684</v>
      </c>
      <c r="E3002" s="3">
        <f t="shared" si="682"/>
        <v>2011</v>
      </c>
      <c r="F3002" s="3">
        <f t="shared" si="683"/>
        <v>11</v>
      </c>
      <c r="G3002" s="3">
        <f t="shared" si="684"/>
        <v>23</v>
      </c>
      <c r="H3002" s="3">
        <f t="shared" si="685"/>
        <v>11</v>
      </c>
      <c r="I3002" s="3">
        <f t="shared" si="686"/>
        <v>15</v>
      </c>
      <c r="J3002" s="3">
        <f t="shared" si="687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688"/>
        <v>YES</v>
      </c>
      <c r="Q3002" t="str">
        <f t="shared" si="689"/>
        <v>NO</v>
      </c>
      <c r="R3002" t="str">
        <f t="shared" si="690"/>
        <v>NO</v>
      </c>
      <c r="S3002">
        <v>75</v>
      </c>
      <c r="T3002" t="s">
        <v>192</v>
      </c>
      <c r="U3002" t="str">
        <f t="shared" si="677"/>
        <v>Hancock St</v>
      </c>
      <c r="W3002" t="str">
        <f t="shared" si="678"/>
        <v/>
      </c>
      <c r="X3002" t="str">
        <f>IF(ISBLANK(S3002),"Intersection","Non-Intersection")</f>
        <v>Non-Intersection</v>
      </c>
      <c r="Y3002" t="s">
        <v>3976</v>
      </c>
      <c r="Z3002" t="str">
        <f t="shared" si="679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680"/>
        <v>40544</v>
      </c>
      <c r="D3003" s="4">
        <f t="shared" si="681"/>
        <v>0.89315068493150684</v>
      </c>
      <c r="E3003" s="3">
        <f t="shared" si="682"/>
        <v>2011</v>
      </c>
      <c r="F3003" s="3">
        <f t="shared" si="683"/>
        <v>11</v>
      </c>
      <c r="G3003" s="3">
        <f t="shared" si="684"/>
        <v>23</v>
      </c>
      <c r="H3003" s="3">
        <f t="shared" si="685"/>
        <v>18</v>
      </c>
      <c r="I3003" s="3">
        <f t="shared" si="686"/>
        <v>11</v>
      </c>
      <c r="J3003" s="3">
        <f t="shared" si="687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688"/>
        <v>YES</v>
      </c>
      <c r="Q3003" t="str">
        <f t="shared" si="689"/>
        <v>NO</v>
      </c>
      <c r="R3003" t="str">
        <f t="shared" si="690"/>
        <v>NO</v>
      </c>
      <c r="S3003">
        <v>650</v>
      </c>
      <c r="T3003" t="s">
        <v>186</v>
      </c>
      <c r="U3003" t="str">
        <f t="shared" si="677"/>
        <v>Concord Ave</v>
      </c>
      <c r="W3003" t="str">
        <f t="shared" si="678"/>
        <v/>
      </c>
      <c r="X3003" t="str">
        <f>IF(ISBLANK(S3003),"Intersection","Non-Intersection")</f>
        <v>Non-Intersection</v>
      </c>
      <c r="Y3003" t="s">
        <v>1601</v>
      </c>
      <c r="Z3003" t="str">
        <f t="shared" si="679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680"/>
        <v>40544</v>
      </c>
      <c r="D3004" s="4">
        <f t="shared" si="681"/>
        <v>0.89589041095890409</v>
      </c>
      <c r="E3004" s="3">
        <f t="shared" si="682"/>
        <v>2011</v>
      </c>
      <c r="F3004" s="3">
        <f t="shared" si="683"/>
        <v>11</v>
      </c>
      <c r="G3004" s="3">
        <f t="shared" si="684"/>
        <v>24</v>
      </c>
      <c r="H3004" s="3">
        <f t="shared" si="685"/>
        <v>22</v>
      </c>
      <c r="I3004" s="3">
        <f t="shared" si="686"/>
        <v>37</v>
      </c>
      <c r="J3004" s="3">
        <f t="shared" si="687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688"/>
        <v>YES</v>
      </c>
      <c r="Q3004" t="str">
        <f t="shared" si="689"/>
        <v>NO</v>
      </c>
      <c r="R3004" t="str">
        <f t="shared" si="690"/>
        <v>NO</v>
      </c>
      <c r="T3004" t="s">
        <v>14</v>
      </c>
      <c r="U3004" t="str">
        <f t="shared" si="677"/>
        <v>Massachusetts Ave</v>
      </c>
      <c r="V3004" t="s">
        <v>170</v>
      </c>
      <c r="W3004" t="str">
        <f t="shared" si="678"/>
        <v>Alewife Brook Pky</v>
      </c>
      <c r="X3004" t="str">
        <f>IF(ISBLANK(S3004),"Intersection","Non-Intersection")</f>
        <v>Intersection</v>
      </c>
      <c r="Y3004" t="s">
        <v>2954</v>
      </c>
      <c r="Z3004" t="str">
        <f t="shared" si="679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680"/>
        <v>40544</v>
      </c>
      <c r="D3005" s="4">
        <f t="shared" si="681"/>
        <v>0.89589041095890409</v>
      </c>
      <c r="E3005" s="3">
        <f t="shared" si="682"/>
        <v>2011</v>
      </c>
      <c r="F3005" s="3">
        <f t="shared" si="683"/>
        <v>11</v>
      </c>
      <c r="G3005" s="3">
        <f t="shared" si="684"/>
        <v>24</v>
      </c>
      <c r="H3005" s="3">
        <f t="shared" si="685"/>
        <v>22</v>
      </c>
      <c r="I3005" s="3">
        <f t="shared" si="686"/>
        <v>30</v>
      </c>
      <c r="J3005" s="3">
        <f t="shared" si="687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688"/>
        <v>YES</v>
      </c>
      <c r="Q3005" t="str">
        <f t="shared" si="689"/>
        <v>NO</v>
      </c>
      <c r="R3005" t="str">
        <f t="shared" si="690"/>
        <v>NO</v>
      </c>
      <c r="S3005">
        <v>1702</v>
      </c>
      <c r="T3005" t="s">
        <v>14</v>
      </c>
      <c r="U3005" t="str">
        <f t="shared" si="677"/>
        <v>Massachusetts Ave</v>
      </c>
      <c r="W3005" t="str">
        <f t="shared" si="678"/>
        <v/>
      </c>
      <c r="X3005" t="str">
        <f>IF(ISBLANK(S3005),"Intersection","Non-Intersection")</f>
        <v>Non-Intersection</v>
      </c>
      <c r="Y3005" t="s">
        <v>3978</v>
      </c>
      <c r="Z3005" t="str">
        <f t="shared" si="679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680"/>
        <v>40544</v>
      </c>
      <c r="D3006" s="4">
        <f t="shared" si="681"/>
        <v>0.89863013698630134</v>
      </c>
      <c r="E3006" s="3">
        <f t="shared" si="682"/>
        <v>2011</v>
      </c>
      <c r="F3006" s="3">
        <f t="shared" si="683"/>
        <v>11</v>
      </c>
      <c r="G3006" s="3">
        <f t="shared" si="684"/>
        <v>25</v>
      </c>
      <c r="H3006" s="3">
        <f t="shared" si="685"/>
        <v>18</v>
      </c>
      <c r="I3006" s="3">
        <f t="shared" si="686"/>
        <v>40</v>
      </c>
      <c r="J3006" s="3">
        <f t="shared" si="687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688"/>
        <v>YES</v>
      </c>
      <c r="Q3006" t="str">
        <f t="shared" si="689"/>
        <v>YES</v>
      </c>
      <c r="R3006" t="str">
        <f t="shared" si="690"/>
        <v>NO</v>
      </c>
      <c r="T3006" t="s">
        <v>14</v>
      </c>
      <c r="U3006" t="str">
        <f t="shared" si="677"/>
        <v>Massachusetts Ave</v>
      </c>
      <c r="V3006" t="s">
        <v>3980</v>
      </c>
      <c r="W3006" t="str">
        <f t="shared" si="678"/>
        <v>Dana Pl</v>
      </c>
      <c r="X3006" t="str">
        <f>IF(ISBLANK(S3006),"Intersection","Non-Intersection")</f>
        <v>Intersection</v>
      </c>
      <c r="Y3006" t="s">
        <v>3981</v>
      </c>
      <c r="Z3006" t="str">
        <f t="shared" si="679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680"/>
        <v>40544</v>
      </c>
      <c r="D3007" s="4">
        <f t="shared" si="681"/>
        <v>0.89863013698630134</v>
      </c>
      <c r="E3007" s="3">
        <f t="shared" si="682"/>
        <v>2011</v>
      </c>
      <c r="F3007" s="3">
        <f t="shared" si="683"/>
        <v>11</v>
      </c>
      <c r="G3007" s="3">
        <f t="shared" si="684"/>
        <v>25</v>
      </c>
      <c r="H3007" s="3">
        <f t="shared" si="685"/>
        <v>12</v>
      </c>
      <c r="I3007" s="3">
        <f t="shared" si="686"/>
        <v>59</v>
      </c>
      <c r="J3007" s="3">
        <f t="shared" si="687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688"/>
        <v>YES</v>
      </c>
      <c r="Q3007" t="str">
        <f t="shared" si="689"/>
        <v>NO</v>
      </c>
      <c r="R3007" t="str">
        <f t="shared" si="690"/>
        <v>NO</v>
      </c>
      <c r="S3007">
        <v>364</v>
      </c>
      <c r="T3007" t="s">
        <v>15</v>
      </c>
      <c r="U3007" t="str">
        <f t="shared" si="677"/>
        <v>Rindge Ave</v>
      </c>
      <c r="W3007" t="str">
        <f t="shared" si="678"/>
        <v/>
      </c>
      <c r="X3007" t="str">
        <f>IF(ISBLANK(S3007),"Intersection","Non-Intersection")</f>
        <v>Non-Intersection</v>
      </c>
      <c r="Y3007" t="s">
        <v>542</v>
      </c>
      <c r="Z3007" t="str">
        <f t="shared" si="679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680"/>
        <v>40544</v>
      </c>
      <c r="D3008" s="4">
        <f t="shared" si="681"/>
        <v>0.89863013698630134</v>
      </c>
      <c r="E3008" s="3">
        <f t="shared" si="682"/>
        <v>2011</v>
      </c>
      <c r="F3008" s="3">
        <f t="shared" si="683"/>
        <v>11</v>
      </c>
      <c r="G3008" s="3">
        <f t="shared" si="684"/>
        <v>25</v>
      </c>
      <c r="H3008" s="3">
        <f t="shared" si="685"/>
        <v>14</v>
      </c>
      <c r="I3008" s="3">
        <f t="shared" si="686"/>
        <v>1</v>
      </c>
      <c r="J3008" s="3">
        <f t="shared" si="687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688"/>
        <v>YES</v>
      </c>
      <c r="Q3008" t="str">
        <f t="shared" si="689"/>
        <v>NO</v>
      </c>
      <c r="R3008" t="str">
        <f t="shared" si="690"/>
        <v>NO</v>
      </c>
      <c r="T3008" t="s">
        <v>14</v>
      </c>
      <c r="U3008" t="str">
        <f t="shared" si="677"/>
        <v>Massachusetts Ave</v>
      </c>
      <c r="V3008" t="s">
        <v>202</v>
      </c>
      <c r="W3008" t="str">
        <f t="shared" si="678"/>
        <v>Vassar St</v>
      </c>
      <c r="X3008" t="str">
        <f>IF(ISBLANK(S3008),"Intersection","Non-Intersection")</f>
        <v>Intersection</v>
      </c>
      <c r="Y3008" t="s">
        <v>361</v>
      </c>
      <c r="Z3008" t="str">
        <f t="shared" si="679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680"/>
        <v>40544</v>
      </c>
      <c r="D3009" s="4">
        <f t="shared" si="681"/>
        <v>0.90136986301369859</v>
      </c>
      <c r="E3009" s="3">
        <f t="shared" si="682"/>
        <v>2011</v>
      </c>
      <c r="F3009" s="3">
        <f t="shared" si="683"/>
        <v>11</v>
      </c>
      <c r="G3009" s="3">
        <f t="shared" si="684"/>
        <v>26</v>
      </c>
      <c r="H3009" s="3">
        <f t="shared" si="685"/>
        <v>8</v>
      </c>
      <c r="I3009" s="3">
        <f t="shared" si="686"/>
        <v>15</v>
      </c>
      <c r="J3009" s="3">
        <f t="shared" si="687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688"/>
        <v>YES</v>
      </c>
      <c r="Q3009" t="str">
        <f t="shared" si="689"/>
        <v>NO</v>
      </c>
      <c r="R3009" t="str">
        <f t="shared" si="690"/>
        <v>NO</v>
      </c>
      <c r="T3009" t="s">
        <v>14</v>
      </c>
      <c r="U3009" t="str">
        <f t="shared" si="677"/>
        <v>Massachusetts Ave</v>
      </c>
      <c r="V3009" t="s">
        <v>94</v>
      </c>
      <c r="W3009" t="str">
        <f t="shared" si="678"/>
        <v>Shepard St</v>
      </c>
      <c r="X3009" t="str">
        <f>IF(ISBLANK(S3009),"Intersection","Non-Intersection")</f>
        <v>Intersection</v>
      </c>
      <c r="Y3009" t="s">
        <v>95</v>
      </c>
      <c r="Z3009" t="str">
        <f t="shared" si="679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680"/>
        <v>40544</v>
      </c>
      <c r="D3010" s="4">
        <f t="shared" si="681"/>
        <v>0.90136986301369859</v>
      </c>
      <c r="E3010" s="3">
        <f t="shared" si="682"/>
        <v>2011</v>
      </c>
      <c r="F3010" s="3">
        <f t="shared" si="683"/>
        <v>11</v>
      </c>
      <c r="G3010" s="3">
        <f t="shared" si="684"/>
        <v>26</v>
      </c>
      <c r="H3010" s="3">
        <f t="shared" si="685"/>
        <v>13</v>
      </c>
      <c r="I3010" s="3">
        <f t="shared" si="686"/>
        <v>30</v>
      </c>
      <c r="J3010" s="3">
        <f t="shared" si="687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688"/>
        <v>YES</v>
      </c>
      <c r="Q3010" t="str">
        <f t="shared" si="689"/>
        <v>NO</v>
      </c>
      <c r="R3010" t="str">
        <f t="shared" si="690"/>
        <v>NO</v>
      </c>
      <c r="T3010" t="s">
        <v>19</v>
      </c>
      <c r="U3010" t="str">
        <f t="shared" si="677"/>
        <v>Cambridge St</v>
      </c>
      <c r="V3010" t="s">
        <v>14</v>
      </c>
      <c r="W3010" t="str">
        <f t="shared" si="678"/>
        <v>Massachusetts Ave</v>
      </c>
      <c r="X3010" t="str">
        <f>IF(ISBLANK(S3010),"Intersection","Non-Intersection")</f>
        <v>Intersection</v>
      </c>
      <c r="Y3010" t="s">
        <v>945</v>
      </c>
      <c r="Z3010" t="str">
        <f t="shared" si="679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680"/>
        <v>40544</v>
      </c>
      <c r="D3011" s="4">
        <f t="shared" si="681"/>
        <v>0.90136986301369859</v>
      </c>
      <c r="E3011" s="3">
        <f t="shared" si="682"/>
        <v>2011</v>
      </c>
      <c r="F3011" s="3">
        <f t="shared" si="683"/>
        <v>11</v>
      </c>
      <c r="G3011" s="3">
        <f t="shared" si="684"/>
        <v>26</v>
      </c>
      <c r="H3011" s="3">
        <f t="shared" si="685"/>
        <v>16</v>
      </c>
      <c r="I3011" s="3">
        <f t="shared" si="686"/>
        <v>34</v>
      </c>
      <c r="J3011" s="3">
        <f t="shared" si="687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688"/>
        <v>YES</v>
      </c>
      <c r="Q3011" t="str">
        <f t="shared" si="689"/>
        <v>YES</v>
      </c>
      <c r="R3011" t="str">
        <f t="shared" si="690"/>
        <v>NO</v>
      </c>
      <c r="T3011" t="s">
        <v>14</v>
      </c>
      <c r="U3011" t="str">
        <f t="shared" ref="U3011:U3074" si="691">TRIM(PROPER(T3011))</f>
        <v>Massachusetts Ave</v>
      </c>
      <c r="V3011" t="s">
        <v>1316</v>
      </c>
      <c r="W3011" t="str">
        <f t="shared" ref="W3011:W3074" si="692">TRIM(PROPER(V3011))</f>
        <v>State St</v>
      </c>
      <c r="X3011" t="str">
        <f>IF(ISBLANK(S3011),"Intersection","Non-Intersection")</f>
        <v>Intersection</v>
      </c>
      <c r="Y3011" t="s">
        <v>1317</v>
      </c>
      <c r="Z3011" t="str">
        <f t="shared" ref="Z3011:Z3074" si="693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680"/>
        <v>40544</v>
      </c>
      <c r="D3012" s="4">
        <f t="shared" si="681"/>
        <v>0.90410958904109584</v>
      </c>
      <c r="E3012" s="3">
        <f t="shared" si="682"/>
        <v>2011</v>
      </c>
      <c r="F3012" s="3">
        <f t="shared" si="683"/>
        <v>11</v>
      </c>
      <c r="G3012" s="3">
        <f t="shared" si="684"/>
        <v>27</v>
      </c>
      <c r="H3012" s="3">
        <f t="shared" si="685"/>
        <v>2</v>
      </c>
      <c r="I3012" s="3">
        <f t="shared" si="686"/>
        <v>0</v>
      </c>
      <c r="J3012" s="3">
        <f t="shared" si="687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688"/>
        <v>YES</v>
      </c>
      <c r="Q3012" t="str">
        <f t="shared" si="689"/>
        <v>NO</v>
      </c>
      <c r="R3012" t="str">
        <f t="shared" si="690"/>
        <v>NO</v>
      </c>
      <c r="T3012" t="s">
        <v>2678</v>
      </c>
      <c r="U3012" t="str">
        <f t="shared" si="691"/>
        <v>Jay St</v>
      </c>
      <c r="V3012" t="s">
        <v>1024</v>
      </c>
      <c r="W3012" t="str">
        <f t="shared" si="692"/>
        <v>Kinnaird St</v>
      </c>
      <c r="X3012" t="str">
        <f>IF(ISBLANK(S3012),"Intersection","Non-Intersection")</f>
        <v>Intersection</v>
      </c>
      <c r="Y3012" t="s">
        <v>3983</v>
      </c>
      <c r="Z3012" t="str">
        <f t="shared" si="693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680"/>
        <v>40544</v>
      </c>
      <c r="D3013" s="4">
        <f t="shared" si="681"/>
        <v>0.90410958904109584</v>
      </c>
      <c r="E3013" s="3">
        <f t="shared" si="682"/>
        <v>2011</v>
      </c>
      <c r="F3013" s="3">
        <f t="shared" si="683"/>
        <v>11</v>
      </c>
      <c r="G3013" s="3">
        <f t="shared" si="684"/>
        <v>27</v>
      </c>
      <c r="H3013" s="3">
        <f t="shared" si="685"/>
        <v>7</v>
      </c>
      <c r="I3013" s="3">
        <f t="shared" si="686"/>
        <v>30</v>
      </c>
      <c r="J3013" s="3">
        <f t="shared" si="687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688"/>
        <v>YES</v>
      </c>
      <c r="Q3013" t="str">
        <f t="shared" si="689"/>
        <v>NO</v>
      </c>
      <c r="R3013" t="str">
        <f t="shared" si="690"/>
        <v>NO</v>
      </c>
      <c r="T3013" t="s">
        <v>14</v>
      </c>
      <c r="U3013" t="str">
        <f t="shared" si="691"/>
        <v>Massachusetts Ave</v>
      </c>
      <c r="V3013" t="s">
        <v>487</v>
      </c>
      <c r="W3013" t="str">
        <f t="shared" si="692"/>
        <v>Beech St</v>
      </c>
      <c r="X3013" t="str">
        <f>IF(ISBLANK(S3013),"Intersection","Non-Intersection")</f>
        <v>Intersection</v>
      </c>
      <c r="Y3013" t="s">
        <v>787</v>
      </c>
      <c r="Z3013" t="str">
        <f t="shared" si="693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680"/>
        <v>40544</v>
      </c>
      <c r="D3014" s="4">
        <f t="shared" si="681"/>
        <v>0.90410958904109584</v>
      </c>
      <c r="E3014" s="3">
        <f t="shared" si="682"/>
        <v>2011</v>
      </c>
      <c r="F3014" s="3">
        <f t="shared" si="683"/>
        <v>11</v>
      </c>
      <c r="G3014" s="3">
        <f t="shared" si="684"/>
        <v>27</v>
      </c>
      <c r="H3014" s="3">
        <f t="shared" si="685"/>
        <v>20</v>
      </c>
      <c r="I3014" s="3">
        <f t="shared" si="686"/>
        <v>29</v>
      </c>
      <c r="J3014" s="3">
        <f t="shared" si="687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688"/>
        <v>YES</v>
      </c>
      <c r="Q3014" t="str">
        <f t="shared" si="689"/>
        <v>NO</v>
      </c>
      <c r="R3014" t="str">
        <f t="shared" si="690"/>
        <v>NO</v>
      </c>
      <c r="T3014" t="s">
        <v>178</v>
      </c>
      <c r="U3014" t="str">
        <f t="shared" si="691"/>
        <v>Pleasant St</v>
      </c>
      <c r="V3014" t="s">
        <v>509</v>
      </c>
      <c r="W3014" t="str">
        <f t="shared" si="692"/>
        <v>Green St</v>
      </c>
      <c r="X3014" t="str">
        <f>IF(ISBLANK(S3014),"Intersection","Non-Intersection")</f>
        <v>Intersection</v>
      </c>
      <c r="Y3014" t="s">
        <v>1008</v>
      </c>
      <c r="Z3014" t="str">
        <f t="shared" si="693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680"/>
        <v>40544</v>
      </c>
      <c r="D3015" s="4">
        <f t="shared" si="681"/>
        <v>0.9068493150684932</v>
      </c>
      <c r="E3015" s="3">
        <f t="shared" si="682"/>
        <v>2011</v>
      </c>
      <c r="F3015" s="3">
        <f t="shared" si="683"/>
        <v>11</v>
      </c>
      <c r="G3015" s="3">
        <f t="shared" si="684"/>
        <v>28</v>
      </c>
      <c r="H3015" s="3">
        <f t="shared" si="685"/>
        <v>11</v>
      </c>
      <c r="I3015" s="3">
        <f t="shared" si="686"/>
        <v>0</v>
      </c>
      <c r="J3015" s="3">
        <f t="shared" si="687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688"/>
        <v>YES</v>
      </c>
      <c r="Q3015" t="str">
        <f t="shared" si="689"/>
        <v>NO</v>
      </c>
      <c r="R3015" t="str">
        <f t="shared" si="690"/>
        <v>NO</v>
      </c>
      <c r="S3015">
        <v>725</v>
      </c>
      <c r="T3015" t="s">
        <v>186</v>
      </c>
      <c r="U3015" t="str">
        <f t="shared" si="691"/>
        <v>Concord Ave</v>
      </c>
      <c r="W3015" t="str">
        <f t="shared" si="692"/>
        <v/>
      </c>
      <c r="X3015" t="str">
        <f>IF(ISBLANK(S3015),"Intersection","Non-Intersection")</f>
        <v>Non-Intersection</v>
      </c>
      <c r="Y3015" t="s">
        <v>617</v>
      </c>
      <c r="Z3015" t="str">
        <f t="shared" si="693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680"/>
        <v>40544</v>
      </c>
      <c r="D3016" s="4">
        <f t="shared" si="681"/>
        <v>0.9068493150684932</v>
      </c>
      <c r="E3016" s="3">
        <f t="shared" si="682"/>
        <v>2011</v>
      </c>
      <c r="F3016" s="3">
        <f t="shared" si="683"/>
        <v>11</v>
      </c>
      <c r="G3016" s="3">
        <f t="shared" si="684"/>
        <v>28</v>
      </c>
      <c r="H3016" s="3">
        <f t="shared" si="685"/>
        <v>12</v>
      </c>
      <c r="I3016" s="3">
        <f t="shared" si="686"/>
        <v>45</v>
      </c>
      <c r="J3016" s="3">
        <f t="shared" si="687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688"/>
        <v>YES</v>
      </c>
      <c r="Q3016" t="str">
        <f t="shared" si="689"/>
        <v>NO</v>
      </c>
      <c r="R3016" t="str">
        <f t="shared" si="690"/>
        <v>NO</v>
      </c>
      <c r="S3016">
        <v>1580</v>
      </c>
      <c r="T3016" t="s">
        <v>14</v>
      </c>
      <c r="U3016" t="str">
        <f t="shared" si="691"/>
        <v>Massachusetts Ave</v>
      </c>
      <c r="W3016" t="str">
        <f t="shared" si="692"/>
        <v/>
      </c>
      <c r="X3016" t="str">
        <f>IF(ISBLANK(S3016),"Intersection","Non-Intersection")</f>
        <v>Non-Intersection</v>
      </c>
      <c r="Y3016" t="s">
        <v>1968</v>
      </c>
      <c r="Z3016" t="str">
        <f t="shared" si="693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680"/>
        <v>40544</v>
      </c>
      <c r="D3017" s="4">
        <f t="shared" si="681"/>
        <v>0.9068493150684932</v>
      </c>
      <c r="E3017" s="3">
        <f t="shared" si="682"/>
        <v>2011</v>
      </c>
      <c r="F3017" s="3">
        <f t="shared" si="683"/>
        <v>11</v>
      </c>
      <c r="G3017" s="3">
        <f t="shared" si="684"/>
        <v>28</v>
      </c>
      <c r="H3017" s="3">
        <f t="shared" si="685"/>
        <v>19</v>
      </c>
      <c r="I3017" s="3">
        <f t="shared" si="686"/>
        <v>40</v>
      </c>
      <c r="J3017" s="3">
        <f t="shared" si="687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688"/>
        <v>YES</v>
      </c>
      <c r="Q3017" t="str">
        <f t="shared" si="689"/>
        <v>NO</v>
      </c>
      <c r="R3017" t="str">
        <f t="shared" si="690"/>
        <v>NO</v>
      </c>
      <c r="T3017" t="s">
        <v>296</v>
      </c>
      <c r="U3017" t="str">
        <f t="shared" si="691"/>
        <v>Mason St</v>
      </c>
      <c r="V3017" t="s">
        <v>185</v>
      </c>
      <c r="W3017" t="str">
        <f t="shared" si="692"/>
        <v>Garden St</v>
      </c>
      <c r="X3017" t="str">
        <f>IF(ISBLANK(S3017),"Intersection","Non-Intersection")</f>
        <v>Intersection</v>
      </c>
      <c r="Y3017" t="s">
        <v>297</v>
      </c>
      <c r="Z3017" t="str">
        <f t="shared" si="693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680"/>
        <v>40544</v>
      </c>
      <c r="D3018" s="4">
        <f t="shared" si="681"/>
        <v>0.9068493150684932</v>
      </c>
      <c r="E3018" s="3">
        <f t="shared" si="682"/>
        <v>2011</v>
      </c>
      <c r="F3018" s="3">
        <f t="shared" si="683"/>
        <v>11</v>
      </c>
      <c r="G3018" s="3">
        <f t="shared" si="684"/>
        <v>28</v>
      </c>
      <c r="H3018" s="3">
        <f t="shared" si="685"/>
        <v>15</v>
      </c>
      <c r="I3018" s="3">
        <f t="shared" si="686"/>
        <v>30</v>
      </c>
      <c r="J3018" s="3">
        <f t="shared" si="687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688"/>
        <v>YES</v>
      </c>
      <c r="Q3018" t="str">
        <f t="shared" si="689"/>
        <v>NO</v>
      </c>
      <c r="R3018" t="str">
        <f t="shared" si="690"/>
        <v>NO</v>
      </c>
      <c r="S3018">
        <v>200</v>
      </c>
      <c r="T3018" t="s">
        <v>170</v>
      </c>
      <c r="U3018" t="str">
        <f t="shared" si="691"/>
        <v>Alewife Brook Pky</v>
      </c>
      <c r="W3018" t="str">
        <f t="shared" si="692"/>
        <v/>
      </c>
      <c r="X3018" t="str">
        <f>IF(ISBLANK(S3018),"Intersection","Non-Intersection")</f>
        <v>Non-Intersection</v>
      </c>
      <c r="Y3018" t="s">
        <v>2274</v>
      </c>
      <c r="Z3018" t="str">
        <f t="shared" si="693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680"/>
        <v>40544</v>
      </c>
      <c r="D3019" s="4">
        <f t="shared" si="681"/>
        <v>0.9068493150684932</v>
      </c>
      <c r="E3019" s="3">
        <f t="shared" si="682"/>
        <v>2011</v>
      </c>
      <c r="F3019" s="3">
        <f t="shared" si="683"/>
        <v>11</v>
      </c>
      <c r="G3019" s="3">
        <f t="shared" si="684"/>
        <v>28</v>
      </c>
      <c r="H3019" s="3">
        <f t="shared" si="685"/>
        <v>22</v>
      </c>
      <c r="I3019" s="3">
        <f t="shared" si="686"/>
        <v>59</v>
      </c>
      <c r="J3019" s="3">
        <f t="shared" si="687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688"/>
        <v>YES</v>
      </c>
      <c r="Q3019" t="str">
        <f t="shared" si="689"/>
        <v>NO</v>
      </c>
      <c r="R3019" t="str">
        <f t="shared" si="690"/>
        <v>NO</v>
      </c>
      <c r="S3019">
        <v>6</v>
      </c>
      <c r="T3019" t="s">
        <v>3985</v>
      </c>
      <c r="U3019" t="str">
        <f t="shared" si="691"/>
        <v>Jefferson Park</v>
      </c>
      <c r="W3019" t="str">
        <f t="shared" si="692"/>
        <v/>
      </c>
      <c r="X3019" t="str">
        <f>IF(ISBLANK(S3019),"Intersection","Non-Intersection")</f>
        <v>Non-Intersection</v>
      </c>
      <c r="Y3019" t="s">
        <v>3986</v>
      </c>
      <c r="Z3019" t="str">
        <f t="shared" si="693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680"/>
        <v>40544</v>
      </c>
      <c r="D3020" s="4">
        <f t="shared" si="681"/>
        <v>0.90958904109589045</v>
      </c>
      <c r="E3020" s="3">
        <f t="shared" si="682"/>
        <v>2011</v>
      </c>
      <c r="F3020" s="3">
        <f t="shared" si="683"/>
        <v>11</v>
      </c>
      <c r="G3020" s="3">
        <f t="shared" si="684"/>
        <v>29</v>
      </c>
      <c r="H3020" s="3">
        <f t="shared" si="685"/>
        <v>8</v>
      </c>
      <c r="I3020" s="3">
        <f t="shared" si="686"/>
        <v>45</v>
      </c>
      <c r="J3020" s="3">
        <f t="shared" si="687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688"/>
        <v>YES</v>
      </c>
      <c r="Q3020" t="str">
        <f t="shared" si="689"/>
        <v>NO</v>
      </c>
      <c r="R3020" t="str">
        <f t="shared" si="690"/>
        <v>NO</v>
      </c>
      <c r="T3020" t="s">
        <v>269</v>
      </c>
      <c r="U3020" t="str">
        <f t="shared" si="691"/>
        <v>Porter Sq</v>
      </c>
      <c r="W3020" t="str">
        <f t="shared" si="692"/>
        <v/>
      </c>
      <c r="X3020" t="str">
        <f>IF(ISBLANK(S3020),"Intersection","Non-Intersection")</f>
        <v>Intersection</v>
      </c>
      <c r="Y3020" t="s">
        <v>923</v>
      </c>
      <c r="Z3020" t="str">
        <f t="shared" si="693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680"/>
        <v>40544</v>
      </c>
      <c r="D3021" s="4">
        <f t="shared" si="681"/>
        <v>0.90958904109589045</v>
      </c>
      <c r="E3021" s="3">
        <f t="shared" si="682"/>
        <v>2011</v>
      </c>
      <c r="F3021" s="3">
        <f t="shared" si="683"/>
        <v>11</v>
      </c>
      <c r="G3021" s="3">
        <f t="shared" si="684"/>
        <v>29</v>
      </c>
      <c r="H3021" s="3">
        <f t="shared" si="685"/>
        <v>15</v>
      </c>
      <c r="I3021" s="3">
        <f t="shared" si="686"/>
        <v>30</v>
      </c>
      <c r="J3021" s="3">
        <f t="shared" si="687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688"/>
        <v>YES</v>
      </c>
      <c r="Q3021" t="str">
        <f t="shared" si="689"/>
        <v>NO</v>
      </c>
      <c r="R3021" t="str">
        <f t="shared" si="690"/>
        <v>NO</v>
      </c>
      <c r="S3021">
        <v>17</v>
      </c>
      <c r="T3021" t="s">
        <v>3408</v>
      </c>
      <c r="U3021" t="str">
        <f t="shared" si="691"/>
        <v>Shea Rd</v>
      </c>
      <c r="W3021" t="str">
        <f t="shared" si="692"/>
        <v/>
      </c>
      <c r="X3021" t="str">
        <f>IF(ISBLANK(S3021),"Intersection","Non-Intersection")</f>
        <v>Non-Intersection</v>
      </c>
      <c r="Y3021" t="s">
        <v>3988</v>
      </c>
      <c r="Z3021" t="str">
        <f t="shared" si="693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680"/>
        <v>40544</v>
      </c>
      <c r="D3022" s="4">
        <f t="shared" si="681"/>
        <v>0.90958904109589045</v>
      </c>
      <c r="E3022" s="3">
        <f t="shared" si="682"/>
        <v>2011</v>
      </c>
      <c r="F3022" s="3">
        <f t="shared" si="683"/>
        <v>11</v>
      </c>
      <c r="G3022" s="3">
        <f t="shared" si="684"/>
        <v>29</v>
      </c>
      <c r="H3022" s="3">
        <f t="shared" si="685"/>
        <v>15</v>
      </c>
      <c r="I3022" s="3">
        <f t="shared" si="686"/>
        <v>40</v>
      </c>
      <c r="J3022" s="3">
        <f t="shared" si="687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688"/>
        <v>YES</v>
      </c>
      <c r="Q3022" t="str">
        <f t="shared" si="689"/>
        <v>NO</v>
      </c>
      <c r="R3022" t="str">
        <f t="shared" si="690"/>
        <v>NO</v>
      </c>
      <c r="T3022" t="s">
        <v>335</v>
      </c>
      <c r="U3022" t="str">
        <f t="shared" si="691"/>
        <v>Ware St</v>
      </c>
      <c r="V3022" t="s">
        <v>133</v>
      </c>
      <c r="W3022" t="str">
        <f t="shared" si="692"/>
        <v>Harvard St</v>
      </c>
      <c r="X3022" t="str">
        <f>IF(ISBLANK(S3022),"Intersection","Non-Intersection")</f>
        <v>Intersection</v>
      </c>
      <c r="Y3022" t="s">
        <v>3990</v>
      </c>
      <c r="Z3022" t="str">
        <f t="shared" si="693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680"/>
        <v>40544</v>
      </c>
      <c r="D3023" s="4">
        <f t="shared" si="681"/>
        <v>0.90958904109589045</v>
      </c>
      <c r="E3023" s="3">
        <f t="shared" si="682"/>
        <v>2011</v>
      </c>
      <c r="F3023" s="3">
        <f t="shared" si="683"/>
        <v>11</v>
      </c>
      <c r="G3023" s="3">
        <f t="shared" si="684"/>
        <v>29</v>
      </c>
      <c r="H3023" s="3">
        <f t="shared" si="685"/>
        <v>17</v>
      </c>
      <c r="I3023" s="3">
        <f t="shared" si="686"/>
        <v>16</v>
      </c>
      <c r="J3023" s="3">
        <f t="shared" si="687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688"/>
        <v>YES</v>
      </c>
      <c r="Q3023" t="str">
        <f t="shared" si="689"/>
        <v>NO</v>
      </c>
      <c r="R3023" t="str">
        <f t="shared" si="690"/>
        <v>NO</v>
      </c>
      <c r="S3023">
        <v>195</v>
      </c>
      <c r="T3023" t="s">
        <v>342</v>
      </c>
      <c r="U3023" t="str">
        <f t="shared" si="691"/>
        <v>Prospect St</v>
      </c>
      <c r="W3023" t="str">
        <f t="shared" si="692"/>
        <v/>
      </c>
      <c r="X3023" t="str">
        <f>IF(ISBLANK(S3023),"Intersection","Non-Intersection")</f>
        <v>Non-Intersection</v>
      </c>
      <c r="Y3023" t="s">
        <v>3992</v>
      </c>
      <c r="Z3023" t="str">
        <f t="shared" si="693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680"/>
        <v>40544</v>
      </c>
      <c r="D3024" s="4">
        <f t="shared" si="681"/>
        <v>0.9123287671232877</v>
      </c>
      <c r="E3024" s="3">
        <f t="shared" si="682"/>
        <v>2011</v>
      </c>
      <c r="F3024" s="3">
        <f t="shared" si="683"/>
        <v>11</v>
      </c>
      <c r="G3024" s="3">
        <f t="shared" si="684"/>
        <v>30</v>
      </c>
      <c r="H3024" s="3">
        <f t="shared" si="685"/>
        <v>8</v>
      </c>
      <c r="I3024" s="3">
        <f t="shared" si="686"/>
        <v>0</v>
      </c>
      <c r="J3024" s="3">
        <f t="shared" si="687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688"/>
        <v>YES</v>
      </c>
      <c r="Q3024" t="str">
        <f t="shared" si="689"/>
        <v>NO</v>
      </c>
      <c r="R3024" t="str">
        <f t="shared" si="690"/>
        <v>NO</v>
      </c>
      <c r="T3024" t="s">
        <v>14</v>
      </c>
      <c r="U3024" t="str">
        <f t="shared" si="691"/>
        <v>Massachusetts Ave</v>
      </c>
      <c r="V3024" t="s">
        <v>2737</v>
      </c>
      <c r="W3024" t="str">
        <f t="shared" si="692"/>
        <v>Woodbridge St</v>
      </c>
      <c r="X3024" t="str">
        <f>IF(ISBLANK(S3024),"Intersection","Non-Intersection")</f>
        <v>Intersection</v>
      </c>
      <c r="Y3024" t="s">
        <v>3994</v>
      </c>
      <c r="Z3024" t="str">
        <f t="shared" si="693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680"/>
        <v>40544</v>
      </c>
      <c r="D3025" s="4">
        <f t="shared" si="681"/>
        <v>0.9123287671232877</v>
      </c>
      <c r="E3025" s="3">
        <f t="shared" si="682"/>
        <v>2011</v>
      </c>
      <c r="F3025" s="3">
        <f t="shared" si="683"/>
        <v>11</v>
      </c>
      <c r="G3025" s="3">
        <f t="shared" si="684"/>
        <v>30</v>
      </c>
      <c r="H3025" s="3">
        <f t="shared" si="685"/>
        <v>8</v>
      </c>
      <c r="I3025" s="3">
        <f t="shared" si="686"/>
        <v>29</v>
      </c>
      <c r="J3025" s="3">
        <f t="shared" si="687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688"/>
        <v>YES</v>
      </c>
      <c r="Q3025" t="str">
        <f t="shared" si="689"/>
        <v>NO</v>
      </c>
      <c r="R3025" t="str">
        <f t="shared" si="690"/>
        <v>NO</v>
      </c>
      <c r="S3025">
        <v>592</v>
      </c>
      <c r="T3025" t="s">
        <v>142</v>
      </c>
      <c r="U3025" t="str">
        <f t="shared" si="691"/>
        <v>Huron Ave</v>
      </c>
      <c r="W3025" t="str">
        <f t="shared" si="692"/>
        <v/>
      </c>
      <c r="X3025" t="str">
        <f>IF(ISBLANK(S3025),"Intersection","Non-Intersection")</f>
        <v>Non-Intersection</v>
      </c>
      <c r="Y3025" t="s">
        <v>3995</v>
      </c>
      <c r="Z3025" t="str">
        <f t="shared" si="693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680"/>
        <v>40544</v>
      </c>
      <c r="D3026" s="4">
        <f t="shared" si="681"/>
        <v>0.9123287671232877</v>
      </c>
      <c r="E3026" s="3">
        <f t="shared" si="682"/>
        <v>2011</v>
      </c>
      <c r="F3026" s="3">
        <f t="shared" si="683"/>
        <v>11</v>
      </c>
      <c r="G3026" s="3">
        <f t="shared" si="684"/>
        <v>30</v>
      </c>
      <c r="H3026" s="3">
        <f t="shared" si="685"/>
        <v>10</v>
      </c>
      <c r="I3026" s="3">
        <f t="shared" si="686"/>
        <v>25</v>
      </c>
      <c r="J3026" s="3">
        <f t="shared" si="687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688"/>
        <v>YES</v>
      </c>
      <c r="Q3026" t="str">
        <f t="shared" si="689"/>
        <v>NO</v>
      </c>
      <c r="R3026" t="str">
        <f t="shared" si="690"/>
        <v>YES</v>
      </c>
      <c r="S3026">
        <v>860</v>
      </c>
      <c r="T3026" t="s">
        <v>14</v>
      </c>
      <c r="U3026" t="str">
        <f t="shared" si="691"/>
        <v>Massachusetts Ave</v>
      </c>
      <c r="W3026" t="str">
        <f t="shared" si="692"/>
        <v/>
      </c>
      <c r="X3026" t="str">
        <f>IF(ISBLANK(S3026),"Intersection","Non-Intersection")</f>
        <v>Non-Intersection</v>
      </c>
      <c r="Y3026" t="s">
        <v>3997</v>
      </c>
      <c r="Z3026" t="str">
        <f t="shared" si="693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680"/>
        <v>40544</v>
      </c>
      <c r="D3027" s="4">
        <f t="shared" si="681"/>
        <v>0.9123287671232877</v>
      </c>
      <c r="E3027" s="3">
        <f t="shared" si="682"/>
        <v>2011</v>
      </c>
      <c r="F3027" s="3">
        <f t="shared" si="683"/>
        <v>11</v>
      </c>
      <c r="G3027" s="3">
        <f t="shared" si="684"/>
        <v>30</v>
      </c>
      <c r="H3027" s="3">
        <f t="shared" si="685"/>
        <v>13</v>
      </c>
      <c r="I3027" s="3">
        <f t="shared" si="686"/>
        <v>5</v>
      </c>
      <c r="J3027" s="3">
        <f t="shared" si="687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688"/>
        <v>YES</v>
      </c>
      <c r="Q3027" t="str">
        <f t="shared" si="689"/>
        <v>YES</v>
      </c>
      <c r="R3027" t="str">
        <f t="shared" si="690"/>
        <v>NO</v>
      </c>
      <c r="T3027" t="s">
        <v>79</v>
      </c>
      <c r="U3027" t="str">
        <f t="shared" si="691"/>
        <v>Ames St</v>
      </c>
      <c r="V3027" t="s">
        <v>1182</v>
      </c>
      <c r="W3027" t="str">
        <f t="shared" si="692"/>
        <v>Amherst St</v>
      </c>
      <c r="X3027" t="str">
        <f>IF(ISBLANK(S3027),"Intersection","Non-Intersection")</f>
        <v>Intersection</v>
      </c>
      <c r="Y3027" t="s">
        <v>1183</v>
      </c>
      <c r="Z3027" t="str">
        <f t="shared" si="693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680"/>
        <v>40544</v>
      </c>
      <c r="D3028" s="4">
        <f t="shared" si="681"/>
        <v>0.9123287671232877</v>
      </c>
      <c r="E3028" s="3">
        <f t="shared" si="682"/>
        <v>2011</v>
      </c>
      <c r="F3028" s="3">
        <f t="shared" si="683"/>
        <v>11</v>
      </c>
      <c r="G3028" s="3">
        <f t="shared" si="684"/>
        <v>30</v>
      </c>
      <c r="H3028" s="3">
        <f t="shared" si="685"/>
        <v>14</v>
      </c>
      <c r="I3028" s="3">
        <f t="shared" si="686"/>
        <v>25</v>
      </c>
      <c r="J3028" s="3">
        <f t="shared" si="687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688"/>
        <v>YES</v>
      </c>
      <c r="Q3028" t="str">
        <f t="shared" si="689"/>
        <v>YES</v>
      </c>
      <c r="R3028" t="str">
        <f t="shared" si="690"/>
        <v>NO</v>
      </c>
      <c r="T3028" t="s">
        <v>41</v>
      </c>
      <c r="U3028" t="str">
        <f t="shared" si="691"/>
        <v>River St</v>
      </c>
      <c r="V3028" t="s">
        <v>757</v>
      </c>
      <c r="W3028" t="str">
        <f t="shared" si="692"/>
        <v>Blackstone St</v>
      </c>
      <c r="X3028" t="str">
        <f>IF(ISBLANK(S3028),"Intersection","Non-Intersection")</f>
        <v>Intersection</v>
      </c>
      <c r="Y3028" t="s">
        <v>758</v>
      </c>
      <c r="Z3028" t="str">
        <f t="shared" si="693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680"/>
        <v>40544</v>
      </c>
      <c r="D3029" s="4">
        <f t="shared" si="681"/>
        <v>0.9123287671232877</v>
      </c>
      <c r="E3029" s="3">
        <f t="shared" si="682"/>
        <v>2011</v>
      </c>
      <c r="F3029" s="3">
        <f t="shared" si="683"/>
        <v>11</v>
      </c>
      <c r="G3029" s="3">
        <f t="shared" si="684"/>
        <v>30</v>
      </c>
      <c r="H3029" s="3">
        <f t="shared" si="685"/>
        <v>16</v>
      </c>
      <c r="I3029" s="3">
        <f t="shared" si="686"/>
        <v>12</v>
      </c>
      <c r="J3029" s="3">
        <f t="shared" si="687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688"/>
        <v>YES</v>
      </c>
      <c r="Q3029" t="str">
        <f t="shared" si="689"/>
        <v>YES</v>
      </c>
      <c r="R3029" t="str">
        <f t="shared" si="690"/>
        <v>NO</v>
      </c>
      <c r="T3029" t="s">
        <v>105</v>
      </c>
      <c r="U3029" t="str">
        <f t="shared" si="691"/>
        <v>Broadway</v>
      </c>
      <c r="V3029" t="s">
        <v>288</v>
      </c>
      <c r="W3029" t="str">
        <f t="shared" si="692"/>
        <v>Galileo Galilei Way</v>
      </c>
      <c r="X3029" t="str">
        <f>IF(ISBLANK(S3029),"Intersection","Non-Intersection")</f>
        <v>Intersection</v>
      </c>
      <c r="Y3029" t="s">
        <v>289</v>
      </c>
      <c r="Z3029" t="str">
        <f t="shared" si="693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680"/>
        <v>40544</v>
      </c>
      <c r="D3030" s="4">
        <f t="shared" si="681"/>
        <v>0.9123287671232877</v>
      </c>
      <c r="E3030" s="3">
        <f t="shared" si="682"/>
        <v>2011</v>
      </c>
      <c r="F3030" s="3">
        <f t="shared" si="683"/>
        <v>11</v>
      </c>
      <c r="G3030" s="3">
        <f t="shared" si="684"/>
        <v>30</v>
      </c>
      <c r="H3030" s="3">
        <f t="shared" si="685"/>
        <v>17</v>
      </c>
      <c r="I3030" s="3">
        <f t="shared" si="686"/>
        <v>15</v>
      </c>
      <c r="J3030" s="3">
        <f t="shared" si="687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688"/>
        <v>YES</v>
      </c>
      <c r="Q3030" t="str">
        <f t="shared" si="689"/>
        <v>NO</v>
      </c>
      <c r="R3030" t="str">
        <f t="shared" si="690"/>
        <v>NO</v>
      </c>
      <c r="T3030" t="s">
        <v>1223</v>
      </c>
      <c r="U3030" t="str">
        <f t="shared" si="691"/>
        <v>Winthrop Sq</v>
      </c>
      <c r="V3030" t="s">
        <v>326</v>
      </c>
      <c r="W3030" t="str">
        <f t="shared" si="692"/>
        <v>Jfk St</v>
      </c>
      <c r="X3030" t="str">
        <f>IF(ISBLANK(S3030),"Intersection","Non-Intersection")</f>
        <v>Intersection</v>
      </c>
      <c r="Y3030" t="s">
        <v>3999</v>
      </c>
      <c r="Z3030" t="str">
        <f t="shared" si="693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680"/>
        <v>40544</v>
      </c>
      <c r="D3031" s="4">
        <f t="shared" si="681"/>
        <v>0.9123287671232877</v>
      </c>
      <c r="E3031" s="3">
        <f t="shared" si="682"/>
        <v>2011</v>
      </c>
      <c r="F3031" s="3">
        <f t="shared" si="683"/>
        <v>11</v>
      </c>
      <c r="G3031" s="3">
        <f t="shared" si="684"/>
        <v>30</v>
      </c>
      <c r="H3031" s="3">
        <f t="shared" si="685"/>
        <v>18</v>
      </c>
      <c r="I3031" s="3">
        <f t="shared" si="686"/>
        <v>0</v>
      </c>
      <c r="J3031" s="3">
        <f t="shared" si="687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688"/>
        <v>YES</v>
      </c>
      <c r="Q3031" t="str">
        <f t="shared" si="689"/>
        <v>NO</v>
      </c>
      <c r="R3031" t="str">
        <f t="shared" si="690"/>
        <v>NO</v>
      </c>
      <c r="T3031" t="s">
        <v>1438</v>
      </c>
      <c r="U3031" t="str">
        <f t="shared" si="691"/>
        <v>Dunster St</v>
      </c>
      <c r="V3031" t="s">
        <v>198</v>
      </c>
      <c r="W3031" t="str">
        <f t="shared" si="692"/>
        <v>Mount Auburn St</v>
      </c>
      <c r="X3031" t="str">
        <f>IF(ISBLANK(S3031),"Intersection","Non-Intersection")</f>
        <v>Intersection</v>
      </c>
      <c r="Y3031" t="s">
        <v>1786</v>
      </c>
      <c r="Z3031" t="str">
        <f t="shared" si="693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680"/>
        <v>40544</v>
      </c>
      <c r="D3032" s="4">
        <f t="shared" si="681"/>
        <v>0.9123287671232877</v>
      </c>
      <c r="E3032" s="3">
        <f t="shared" si="682"/>
        <v>2011</v>
      </c>
      <c r="F3032" s="3">
        <f t="shared" si="683"/>
        <v>11</v>
      </c>
      <c r="G3032" s="3">
        <f t="shared" si="684"/>
        <v>30</v>
      </c>
      <c r="H3032" s="3">
        <f t="shared" si="685"/>
        <v>18</v>
      </c>
      <c r="I3032" s="3">
        <f t="shared" si="686"/>
        <v>59</v>
      </c>
      <c r="J3032" s="3">
        <f t="shared" si="687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688"/>
        <v>YES</v>
      </c>
      <c r="Q3032" t="str">
        <f t="shared" si="689"/>
        <v>YES</v>
      </c>
      <c r="R3032" t="str">
        <f t="shared" si="690"/>
        <v>NO</v>
      </c>
      <c r="T3032" t="s">
        <v>453</v>
      </c>
      <c r="U3032" t="str">
        <f t="shared" si="691"/>
        <v>Brookline St</v>
      </c>
      <c r="V3032" t="s">
        <v>42</v>
      </c>
      <c r="W3032" t="str">
        <f t="shared" si="692"/>
        <v>Putnam Ave</v>
      </c>
      <c r="X3032" t="str">
        <f>IF(ISBLANK(S3032),"Intersection","Non-Intersection")</f>
        <v>Intersection</v>
      </c>
      <c r="Y3032" t="s">
        <v>4001</v>
      </c>
      <c r="Z3032" t="str">
        <f t="shared" si="693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680"/>
        <v>40544</v>
      </c>
      <c r="D3033" s="4">
        <f t="shared" si="681"/>
        <v>0.9123287671232877</v>
      </c>
      <c r="E3033" s="3">
        <f t="shared" si="682"/>
        <v>2011</v>
      </c>
      <c r="F3033" s="3">
        <f t="shared" si="683"/>
        <v>11</v>
      </c>
      <c r="G3033" s="3">
        <f t="shared" si="684"/>
        <v>30</v>
      </c>
      <c r="H3033" s="3">
        <f t="shared" si="685"/>
        <v>9</v>
      </c>
      <c r="I3033" s="3">
        <f t="shared" si="686"/>
        <v>30</v>
      </c>
      <c r="J3033" s="3">
        <f t="shared" si="687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688"/>
        <v>YES</v>
      </c>
      <c r="Q3033" t="str">
        <f t="shared" si="689"/>
        <v>NO</v>
      </c>
      <c r="R3033" t="str">
        <f t="shared" si="690"/>
        <v>NO</v>
      </c>
      <c r="S3033">
        <v>9</v>
      </c>
      <c r="T3033" t="s">
        <v>3425</v>
      </c>
      <c r="U3033" t="str">
        <f t="shared" si="691"/>
        <v>Sheridan St</v>
      </c>
      <c r="W3033" t="str">
        <f t="shared" si="692"/>
        <v/>
      </c>
      <c r="X3033" t="str">
        <f>IF(ISBLANK(S3033),"Intersection","Non-Intersection")</f>
        <v>Non-Intersection</v>
      </c>
      <c r="Y3033" t="s">
        <v>4002</v>
      </c>
      <c r="Z3033" t="str">
        <f t="shared" si="693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680"/>
        <v>40544</v>
      </c>
      <c r="D3034" s="4">
        <f t="shared" si="681"/>
        <v>0.91506849315068495</v>
      </c>
      <c r="E3034" s="3">
        <f t="shared" si="682"/>
        <v>2011</v>
      </c>
      <c r="F3034" s="3">
        <f t="shared" si="683"/>
        <v>12</v>
      </c>
      <c r="G3034" s="3">
        <f t="shared" si="684"/>
        <v>1</v>
      </c>
      <c r="H3034" s="3">
        <f t="shared" si="685"/>
        <v>16</v>
      </c>
      <c r="I3034" s="3">
        <f t="shared" si="686"/>
        <v>16</v>
      </c>
      <c r="J3034" s="3">
        <f t="shared" si="687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688"/>
        <v>YES</v>
      </c>
      <c r="Q3034" t="str">
        <f t="shared" si="689"/>
        <v>NO</v>
      </c>
      <c r="R3034" t="str">
        <f t="shared" si="690"/>
        <v>NO</v>
      </c>
      <c r="T3034" t="s">
        <v>185</v>
      </c>
      <c r="U3034" t="str">
        <f t="shared" si="691"/>
        <v>Garden St</v>
      </c>
      <c r="V3034" t="s">
        <v>3761</v>
      </c>
      <c r="W3034" t="str">
        <f t="shared" si="692"/>
        <v>Winslow St</v>
      </c>
      <c r="X3034" t="str">
        <f>IF(ISBLANK(S3034),"Intersection","Non-Intersection")</f>
        <v>Intersection</v>
      </c>
      <c r="Y3034" t="s">
        <v>4004</v>
      </c>
      <c r="Z3034" t="str">
        <f t="shared" si="693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680"/>
        <v>40544</v>
      </c>
      <c r="D3035" s="4">
        <f t="shared" si="681"/>
        <v>0.91506849315068495</v>
      </c>
      <c r="E3035" s="3">
        <f t="shared" si="682"/>
        <v>2011</v>
      </c>
      <c r="F3035" s="3">
        <f t="shared" si="683"/>
        <v>12</v>
      </c>
      <c r="G3035" s="3">
        <f t="shared" si="684"/>
        <v>1</v>
      </c>
      <c r="H3035" s="3">
        <f t="shared" si="685"/>
        <v>8</v>
      </c>
      <c r="I3035" s="3">
        <f t="shared" si="686"/>
        <v>29</v>
      </c>
      <c r="J3035" s="3">
        <f t="shared" si="687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688"/>
        <v>YES</v>
      </c>
      <c r="Q3035" t="str">
        <f t="shared" si="689"/>
        <v>NO</v>
      </c>
      <c r="R3035" t="str">
        <f t="shared" si="690"/>
        <v>NO</v>
      </c>
      <c r="T3035" t="s">
        <v>1114</v>
      </c>
      <c r="U3035" t="str">
        <f t="shared" si="691"/>
        <v>Market St</v>
      </c>
      <c r="V3035" t="s">
        <v>189</v>
      </c>
      <c r="W3035" t="str">
        <f t="shared" si="692"/>
        <v>Windsor St</v>
      </c>
      <c r="X3035" t="str">
        <f>IF(ISBLANK(S3035),"Intersection","Non-Intersection")</f>
        <v>Intersection</v>
      </c>
      <c r="Y3035" t="s">
        <v>4006</v>
      </c>
      <c r="Z3035" t="str">
        <f t="shared" si="693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680"/>
        <v>40544</v>
      </c>
      <c r="D3036" s="4">
        <f t="shared" si="681"/>
        <v>0.91506849315068495</v>
      </c>
      <c r="E3036" s="3">
        <f t="shared" si="682"/>
        <v>2011</v>
      </c>
      <c r="F3036" s="3">
        <f t="shared" si="683"/>
        <v>12</v>
      </c>
      <c r="G3036" s="3">
        <f t="shared" si="684"/>
        <v>1</v>
      </c>
      <c r="H3036" s="3">
        <f t="shared" si="685"/>
        <v>18</v>
      </c>
      <c r="I3036" s="3">
        <f t="shared" si="686"/>
        <v>0</v>
      </c>
      <c r="J3036" s="3">
        <f t="shared" si="687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688"/>
        <v>YES</v>
      </c>
      <c r="Q3036" t="str">
        <f t="shared" si="689"/>
        <v>NO</v>
      </c>
      <c r="R3036" t="str">
        <f t="shared" si="690"/>
        <v>NO</v>
      </c>
      <c r="T3036" t="s">
        <v>14</v>
      </c>
      <c r="U3036" t="str">
        <f t="shared" si="691"/>
        <v>Massachusetts Ave</v>
      </c>
      <c r="V3036" t="s">
        <v>213</v>
      </c>
      <c r="W3036" t="str">
        <f t="shared" si="692"/>
        <v>Washburn Ave</v>
      </c>
      <c r="X3036" t="str">
        <f>IF(ISBLANK(S3036),"Intersection","Non-Intersection")</f>
        <v>Intersection</v>
      </c>
      <c r="Y3036" t="s">
        <v>214</v>
      </c>
      <c r="Z3036" t="str">
        <f t="shared" si="693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680"/>
        <v>40544</v>
      </c>
      <c r="D3037" s="4">
        <f t="shared" si="681"/>
        <v>0.91506849315068495</v>
      </c>
      <c r="E3037" s="3">
        <f t="shared" si="682"/>
        <v>2011</v>
      </c>
      <c r="F3037" s="3">
        <f t="shared" si="683"/>
        <v>12</v>
      </c>
      <c r="G3037" s="3">
        <f t="shared" si="684"/>
        <v>1</v>
      </c>
      <c r="H3037" s="3">
        <f t="shared" si="685"/>
        <v>12</v>
      </c>
      <c r="I3037" s="3">
        <f t="shared" si="686"/>
        <v>30</v>
      </c>
      <c r="J3037" s="3">
        <f t="shared" si="687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688"/>
        <v>YES</v>
      </c>
      <c r="Q3037" t="str">
        <f t="shared" si="689"/>
        <v>NO</v>
      </c>
      <c r="R3037" t="str">
        <f t="shared" si="690"/>
        <v>NO</v>
      </c>
      <c r="T3037" t="s">
        <v>4007</v>
      </c>
      <c r="U3037" t="str">
        <f t="shared" si="691"/>
        <v>Acacia St</v>
      </c>
      <c r="V3037" t="s">
        <v>316</v>
      </c>
      <c r="W3037" t="str">
        <f t="shared" si="692"/>
        <v>Bishop Allen Dr</v>
      </c>
      <c r="X3037" t="str">
        <f>IF(ISBLANK(S3037),"Intersection","Non-Intersection")</f>
        <v>Intersection</v>
      </c>
      <c r="Y3037" t="s">
        <v>4008</v>
      </c>
      <c r="Z3037" t="str">
        <f t="shared" si="693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680"/>
        <v>40544</v>
      </c>
      <c r="D3038" s="4">
        <f t="shared" si="681"/>
        <v>0.9178082191780822</v>
      </c>
      <c r="E3038" s="3">
        <f t="shared" si="682"/>
        <v>2011</v>
      </c>
      <c r="F3038" s="3">
        <f t="shared" si="683"/>
        <v>12</v>
      </c>
      <c r="G3038" s="3">
        <f t="shared" si="684"/>
        <v>2</v>
      </c>
      <c r="H3038" s="3">
        <f t="shared" si="685"/>
        <v>12</v>
      </c>
      <c r="I3038" s="3">
        <f t="shared" si="686"/>
        <v>45</v>
      </c>
      <c r="J3038" s="3">
        <f t="shared" si="687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688"/>
        <v>YES</v>
      </c>
      <c r="Q3038" t="str">
        <f t="shared" si="689"/>
        <v>NO</v>
      </c>
      <c r="R3038" t="str">
        <f t="shared" si="690"/>
        <v>YES</v>
      </c>
      <c r="T3038" t="s">
        <v>32</v>
      </c>
      <c r="U3038" t="str">
        <f t="shared" si="691"/>
        <v>Main St</v>
      </c>
      <c r="V3038" t="s">
        <v>796</v>
      </c>
      <c r="W3038" t="str">
        <f t="shared" si="692"/>
        <v>Portland St</v>
      </c>
      <c r="X3038" t="str">
        <f>IF(ISBLANK(S3038),"Intersection","Non-Intersection")</f>
        <v>Intersection</v>
      </c>
      <c r="Y3038" t="s">
        <v>932</v>
      </c>
      <c r="Z3038" t="str">
        <f t="shared" si="693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680"/>
        <v>40544</v>
      </c>
      <c r="D3039" s="4">
        <f t="shared" si="681"/>
        <v>0.92054794520547945</v>
      </c>
      <c r="E3039" s="3">
        <f t="shared" si="682"/>
        <v>2011</v>
      </c>
      <c r="F3039" s="3">
        <f t="shared" si="683"/>
        <v>12</v>
      </c>
      <c r="G3039" s="3">
        <f t="shared" si="684"/>
        <v>3</v>
      </c>
      <c r="H3039" s="3">
        <f t="shared" si="685"/>
        <v>8</v>
      </c>
      <c r="I3039" s="3">
        <f t="shared" si="686"/>
        <v>0</v>
      </c>
      <c r="J3039" s="3">
        <f t="shared" si="687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688"/>
        <v>YES</v>
      </c>
      <c r="Q3039" t="str">
        <f t="shared" si="689"/>
        <v>NO</v>
      </c>
      <c r="R3039" t="str">
        <f t="shared" si="690"/>
        <v>NO</v>
      </c>
      <c r="S3039">
        <v>70</v>
      </c>
      <c r="T3039" t="s">
        <v>1332</v>
      </c>
      <c r="U3039" t="str">
        <f t="shared" si="691"/>
        <v>Porter Rd</v>
      </c>
      <c r="W3039" t="str">
        <f t="shared" si="692"/>
        <v/>
      </c>
      <c r="X3039" t="str">
        <f>IF(ISBLANK(S3039),"Intersection","Non-Intersection")</f>
        <v>Non-Intersection</v>
      </c>
      <c r="Y3039" t="s">
        <v>4009</v>
      </c>
      <c r="Z3039" t="str">
        <f t="shared" si="693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680"/>
        <v>40544</v>
      </c>
      <c r="D3040" s="4">
        <f t="shared" si="681"/>
        <v>0.92054794520547945</v>
      </c>
      <c r="E3040" s="3">
        <f t="shared" si="682"/>
        <v>2011</v>
      </c>
      <c r="F3040" s="3">
        <f t="shared" si="683"/>
        <v>12</v>
      </c>
      <c r="G3040" s="3">
        <f t="shared" si="684"/>
        <v>3</v>
      </c>
      <c r="H3040" s="3">
        <f t="shared" si="685"/>
        <v>17</v>
      </c>
      <c r="I3040" s="3">
        <f t="shared" si="686"/>
        <v>39</v>
      </c>
      <c r="J3040" s="3">
        <f t="shared" si="687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688"/>
        <v>YES</v>
      </c>
      <c r="Q3040" t="str">
        <f t="shared" si="689"/>
        <v>NO</v>
      </c>
      <c r="R3040" t="str">
        <f t="shared" si="690"/>
        <v>NO</v>
      </c>
      <c r="S3040">
        <v>18</v>
      </c>
      <c r="T3040" t="s">
        <v>268</v>
      </c>
      <c r="U3040" t="str">
        <f t="shared" si="691"/>
        <v>White St</v>
      </c>
      <c r="W3040" t="str">
        <f t="shared" si="692"/>
        <v/>
      </c>
      <c r="X3040" t="str">
        <f>IF(ISBLANK(S3040),"Intersection","Non-Intersection")</f>
        <v>Non-Intersection</v>
      </c>
      <c r="Y3040" t="s">
        <v>1292</v>
      </c>
      <c r="Z3040" t="str">
        <f t="shared" si="693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680"/>
        <v>40544</v>
      </c>
      <c r="D3041" s="4">
        <f t="shared" si="681"/>
        <v>0.92054794520547945</v>
      </c>
      <c r="E3041" s="3">
        <f t="shared" si="682"/>
        <v>2011</v>
      </c>
      <c r="F3041" s="3">
        <f t="shared" si="683"/>
        <v>12</v>
      </c>
      <c r="G3041" s="3">
        <f t="shared" si="684"/>
        <v>3</v>
      </c>
      <c r="H3041" s="3">
        <f t="shared" si="685"/>
        <v>20</v>
      </c>
      <c r="I3041" s="3">
        <f t="shared" si="686"/>
        <v>0</v>
      </c>
      <c r="J3041" s="3">
        <f t="shared" si="687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688"/>
        <v>YES</v>
      </c>
      <c r="Q3041" t="str">
        <f t="shared" si="689"/>
        <v>NO</v>
      </c>
      <c r="R3041" t="str">
        <f t="shared" si="690"/>
        <v>NO</v>
      </c>
      <c r="T3041" t="s">
        <v>195</v>
      </c>
      <c r="U3041" t="str">
        <f t="shared" si="691"/>
        <v>Sidney St</v>
      </c>
      <c r="V3041" t="s">
        <v>835</v>
      </c>
      <c r="W3041" t="str">
        <f t="shared" si="692"/>
        <v>Erie St</v>
      </c>
      <c r="X3041" t="str">
        <f>IF(ISBLANK(S3041),"Intersection","Non-Intersection")</f>
        <v>Intersection</v>
      </c>
      <c r="Y3041" t="s">
        <v>836</v>
      </c>
      <c r="Z3041" t="str">
        <f t="shared" si="693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680"/>
        <v>40544</v>
      </c>
      <c r="D3042" s="4">
        <f t="shared" si="681"/>
        <v>0.92054794520547945</v>
      </c>
      <c r="E3042" s="3">
        <f t="shared" si="682"/>
        <v>2011</v>
      </c>
      <c r="F3042" s="3">
        <f t="shared" si="683"/>
        <v>12</v>
      </c>
      <c r="G3042" s="3">
        <f t="shared" si="684"/>
        <v>3</v>
      </c>
      <c r="H3042" s="3">
        <f t="shared" si="685"/>
        <v>21</v>
      </c>
      <c r="I3042" s="3">
        <f t="shared" si="686"/>
        <v>34</v>
      </c>
      <c r="J3042" s="3">
        <f t="shared" si="687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688"/>
        <v>NO</v>
      </c>
      <c r="Q3042" t="str">
        <f t="shared" si="689"/>
        <v>NO</v>
      </c>
      <c r="R3042" t="str">
        <f t="shared" si="690"/>
        <v>YES</v>
      </c>
      <c r="T3042" t="s">
        <v>19</v>
      </c>
      <c r="U3042" t="str">
        <f t="shared" si="691"/>
        <v>Cambridge St</v>
      </c>
      <c r="V3042" t="s">
        <v>685</v>
      </c>
      <c r="W3042" t="str">
        <f t="shared" si="692"/>
        <v>Warren St</v>
      </c>
      <c r="X3042" t="str">
        <f>IF(ISBLANK(S3042),"Intersection","Non-Intersection")</f>
        <v>Intersection</v>
      </c>
      <c r="Y3042" t="s">
        <v>1217</v>
      </c>
      <c r="Z3042" t="str">
        <f t="shared" si="693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680"/>
        <v>40544</v>
      </c>
      <c r="D3043" s="4">
        <f t="shared" si="681"/>
        <v>0.92328767123287669</v>
      </c>
      <c r="E3043" s="3">
        <f t="shared" si="682"/>
        <v>2011</v>
      </c>
      <c r="F3043" s="3">
        <f t="shared" si="683"/>
        <v>12</v>
      </c>
      <c r="G3043" s="3">
        <f t="shared" si="684"/>
        <v>4</v>
      </c>
      <c r="H3043" s="3">
        <f t="shared" si="685"/>
        <v>11</v>
      </c>
      <c r="I3043" s="3">
        <f t="shared" si="686"/>
        <v>0</v>
      </c>
      <c r="J3043" s="3">
        <f t="shared" si="687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688"/>
        <v>YES</v>
      </c>
      <c r="Q3043" t="str">
        <f t="shared" si="689"/>
        <v>NO</v>
      </c>
      <c r="R3043" t="str">
        <f t="shared" si="690"/>
        <v>NO</v>
      </c>
      <c r="S3043">
        <v>43</v>
      </c>
      <c r="T3043" t="s">
        <v>2285</v>
      </c>
      <c r="U3043" t="str">
        <f t="shared" si="691"/>
        <v>Homer Ave</v>
      </c>
      <c r="W3043" t="str">
        <f t="shared" si="692"/>
        <v/>
      </c>
      <c r="X3043" t="str">
        <f>IF(ISBLANK(S3043),"Intersection","Non-Intersection")</f>
        <v>Non-Intersection</v>
      </c>
      <c r="Y3043" t="s">
        <v>4011</v>
      </c>
      <c r="Z3043" t="str">
        <f t="shared" si="693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680"/>
        <v>40544</v>
      </c>
      <c r="D3044" s="4">
        <f t="shared" si="681"/>
        <v>0.92328767123287669</v>
      </c>
      <c r="E3044" s="3">
        <f t="shared" si="682"/>
        <v>2011</v>
      </c>
      <c r="F3044" s="3">
        <f t="shared" si="683"/>
        <v>12</v>
      </c>
      <c r="G3044" s="3">
        <f t="shared" si="684"/>
        <v>4</v>
      </c>
      <c r="H3044" s="3">
        <f t="shared" si="685"/>
        <v>17</v>
      </c>
      <c r="I3044" s="3">
        <f t="shared" si="686"/>
        <v>48</v>
      </c>
      <c r="J3044" s="3">
        <f t="shared" si="687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688"/>
        <v>YES</v>
      </c>
      <c r="Q3044" t="str">
        <f t="shared" si="689"/>
        <v>NO</v>
      </c>
      <c r="R3044" t="str">
        <f t="shared" si="690"/>
        <v>NO</v>
      </c>
      <c r="S3044">
        <v>2055</v>
      </c>
      <c r="T3044" t="s">
        <v>14</v>
      </c>
      <c r="U3044" t="str">
        <f t="shared" si="691"/>
        <v>Massachusetts Ave</v>
      </c>
      <c r="W3044" t="str">
        <f t="shared" si="692"/>
        <v/>
      </c>
      <c r="X3044" t="str">
        <f>IF(ISBLANK(S3044),"Intersection","Non-Intersection")</f>
        <v>Non-Intersection</v>
      </c>
      <c r="Y3044" t="s">
        <v>3399</v>
      </c>
      <c r="Z3044" t="str">
        <f t="shared" si="693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680"/>
        <v>40544</v>
      </c>
      <c r="D3045" s="4">
        <f t="shared" si="681"/>
        <v>0.92602739726027394</v>
      </c>
      <c r="E3045" s="3">
        <f t="shared" si="682"/>
        <v>2011</v>
      </c>
      <c r="F3045" s="3">
        <f t="shared" si="683"/>
        <v>12</v>
      </c>
      <c r="G3045" s="3">
        <f t="shared" si="684"/>
        <v>5</v>
      </c>
      <c r="H3045" s="3">
        <f t="shared" si="685"/>
        <v>7</v>
      </c>
      <c r="I3045" s="3">
        <f t="shared" si="686"/>
        <v>9</v>
      </c>
      <c r="J3045" s="3">
        <f t="shared" si="687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688"/>
        <v>YES</v>
      </c>
      <c r="Q3045" t="str">
        <f t="shared" si="689"/>
        <v>NO</v>
      </c>
      <c r="R3045" t="str">
        <f t="shared" si="690"/>
        <v>NO</v>
      </c>
      <c r="T3045" t="s">
        <v>145</v>
      </c>
      <c r="U3045" t="str">
        <f t="shared" si="691"/>
        <v>Walker St</v>
      </c>
      <c r="V3045" t="s">
        <v>185</v>
      </c>
      <c r="W3045" t="str">
        <f t="shared" si="692"/>
        <v>Garden St</v>
      </c>
      <c r="X3045" t="str">
        <f>IF(ISBLANK(S3045),"Intersection","Non-Intersection")</f>
        <v>Intersection</v>
      </c>
      <c r="Y3045" t="s">
        <v>4013</v>
      </c>
      <c r="Z3045" t="str">
        <f t="shared" si="693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680"/>
        <v>40544</v>
      </c>
      <c r="D3046" s="4">
        <f t="shared" si="681"/>
        <v>0.92602739726027394</v>
      </c>
      <c r="E3046" s="3">
        <f t="shared" si="682"/>
        <v>2011</v>
      </c>
      <c r="F3046" s="3">
        <f t="shared" si="683"/>
        <v>12</v>
      </c>
      <c r="G3046" s="3">
        <f t="shared" si="684"/>
        <v>5</v>
      </c>
      <c r="H3046" s="3">
        <f t="shared" si="685"/>
        <v>8</v>
      </c>
      <c r="I3046" s="3">
        <f t="shared" si="686"/>
        <v>19</v>
      </c>
      <c r="J3046" s="3">
        <f t="shared" si="687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688"/>
        <v>YES</v>
      </c>
      <c r="Q3046" t="str">
        <f t="shared" si="689"/>
        <v>NO</v>
      </c>
      <c r="R3046" t="str">
        <f t="shared" si="690"/>
        <v>NO</v>
      </c>
      <c r="T3046" t="s">
        <v>14</v>
      </c>
      <c r="U3046" t="str">
        <f t="shared" si="691"/>
        <v>Massachusetts Ave</v>
      </c>
      <c r="V3046" t="s">
        <v>165</v>
      </c>
      <c r="W3046" t="str">
        <f t="shared" si="692"/>
        <v>Cogswell Ave</v>
      </c>
      <c r="X3046" t="str">
        <f>IF(ISBLANK(S3046),"Intersection","Non-Intersection")</f>
        <v>Intersection</v>
      </c>
      <c r="Y3046" t="s">
        <v>4014</v>
      </c>
      <c r="Z3046" t="str">
        <f t="shared" si="693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680"/>
        <v>40544</v>
      </c>
      <c r="D3047" s="4">
        <f t="shared" si="681"/>
        <v>0.92602739726027394</v>
      </c>
      <c r="E3047" s="3">
        <f t="shared" si="682"/>
        <v>2011</v>
      </c>
      <c r="F3047" s="3">
        <f t="shared" si="683"/>
        <v>12</v>
      </c>
      <c r="G3047" s="3">
        <f t="shared" si="684"/>
        <v>5</v>
      </c>
      <c r="H3047" s="3">
        <f t="shared" si="685"/>
        <v>21</v>
      </c>
      <c r="I3047" s="3">
        <f t="shared" si="686"/>
        <v>45</v>
      </c>
      <c r="J3047" s="3">
        <f t="shared" si="687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688"/>
        <v>YES</v>
      </c>
      <c r="Q3047" t="str">
        <f t="shared" si="689"/>
        <v>NO</v>
      </c>
      <c r="R3047" t="str">
        <f t="shared" si="690"/>
        <v>NO</v>
      </c>
      <c r="S3047">
        <v>59</v>
      </c>
      <c r="T3047" t="s">
        <v>15</v>
      </c>
      <c r="U3047" t="str">
        <f t="shared" si="691"/>
        <v>Rindge Ave</v>
      </c>
      <c r="W3047" t="str">
        <f t="shared" si="692"/>
        <v/>
      </c>
      <c r="X3047" t="str">
        <f>IF(ISBLANK(S3047),"Intersection","Non-Intersection")</f>
        <v>Non-Intersection</v>
      </c>
      <c r="Y3047" t="s">
        <v>4016</v>
      </c>
      <c r="Z3047" t="str">
        <f t="shared" si="693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680"/>
        <v>40544</v>
      </c>
      <c r="D3048" s="4">
        <f t="shared" si="681"/>
        <v>0.92876712328767119</v>
      </c>
      <c r="E3048" s="3">
        <f t="shared" si="682"/>
        <v>2011</v>
      </c>
      <c r="F3048" s="3">
        <f t="shared" si="683"/>
        <v>12</v>
      </c>
      <c r="G3048" s="3">
        <f t="shared" si="684"/>
        <v>6</v>
      </c>
      <c r="H3048" s="3">
        <f t="shared" si="685"/>
        <v>7</v>
      </c>
      <c r="I3048" s="3">
        <f t="shared" si="686"/>
        <v>19</v>
      </c>
      <c r="J3048" s="3">
        <f t="shared" si="687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688"/>
        <v>YES</v>
      </c>
      <c r="Q3048" t="str">
        <f t="shared" si="689"/>
        <v>NO</v>
      </c>
      <c r="R3048" t="str">
        <f t="shared" si="690"/>
        <v>NO</v>
      </c>
      <c r="S3048">
        <v>435</v>
      </c>
      <c r="T3048" t="s">
        <v>105</v>
      </c>
      <c r="U3048" t="str">
        <f t="shared" si="691"/>
        <v>Broadway</v>
      </c>
      <c r="W3048" t="str">
        <f t="shared" si="692"/>
        <v/>
      </c>
      <c r="X3048" t="str">
        <f>IF(ISBLANK(S3048),"Intersection","Non-Intersection")</f>
        <v>Non-Intersection</v>
      </c>
      <c r="Y3048" t="s">
        <v>4018</v>
      </c>
      <c r="Z3048" t="str">
        <f t="shared" si="693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680"/>
        <v>40544</v>
      </c>
      <c r="D3049" s="4">
        <f t="shared" si="681"/>
        <v>0.92876712328767119</v>
      </c>
      <c r="E3049" s="3">
        <f t="shared" si="682"/>
        <v>2011</v>
      </c>
      <c r="F3049" s="3">
        <f t="shared" si="683"/>
        <v>12</v>
      </c>
      <c r="G3049" s="3">
        <f t="shared" si="684"/>
        <v>6</v>
      </c>
      <c r="H3049" s="3">
        <f t="shared" si="685"/>
        <v>14</v>
      </c>
      <c r="I3049" s="3">
        <f t="shared" si="686"/>
        <v>0</v>
      </c>
      <c r="J3049" s="3">
        <f t="shared" si="687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688"/>
        <v>YES</v>
      </c>
      <c r="Q3049" t="str">
        <f t="shared" si="689"/>
        <v>NO</v>
      </c>
      <c r="R3049" t="str">
        <f t="shared" si="690"/>
        <v>NO</v>
      </c>
      <c r="S3049">
        <v>211</v>
      </c>
      <c r="T3049" t="s">
        <v>170</v>
      </c>
      <c r="U3049" t="str">
        <f t="shared" si="691"/>
        <v>Alewife Brook Pky</v>
      </c>
      <c r="W3049" t="str">
        <f t="shared" si="692"/>
        <v/>
      </c>
      <c r="X3049" t="str">
        <f>IF(ISBLANK(S3049),"Intersection","Non-Intersection")</f>
        <v>Non-Intersection</v>
      </c>
      <c r="Y3049" t="s">
        <v>1359</v>
      </c>
      <c r="Z3049" t="str">
        <f t="shared" si="693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680"/>
        <v>40544</v>
      </c>
      <c r="D3050" s="4">
        <f t="shared" si="681"/>
        <v>0.92876712328767119</v>
      </c>
      <c r="E3050" s="3">
        <f t="shared" si="682"/>
        <v>2011</v>
      </c>
      <c r="F3050" s="3">
        <f t="shared" si="683"/>
        <v>12</v>
      </c>
      <c r="G3050" s="3">
        <f t="shared" si="684"/>
        <v>6</v>
      </c>
      <c r="H3050" s="3">
        <f t="shared" si="685"/>
        <v>19</v>
      </c>
      <c r="I3050" s="3">
        <f t="shared" si="686"/>
        <v>34</v>
      </c>
      <c r="J3050" s="3">
        <f t="shared" si="687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688"/>
        <v>YES</v>
      </c>
      <c r="Q3050" t="str">
        <f t="shared" si="689"/>
        <v>NO</v>
      </c>
      <c r="R3050" t="str">
        <f t="shared" si="690"/>
        <v>NO</v>
      </c>
      <c r="T3050" t="s">
        <v>185</v>
      </c>
      <c r="U3050" t="str">
        <f t="shared" si="691"/>
        <v>Garden St</v>
      </c>
      <c r="V3050" t="s">
        <v>94</v>
      </c>
      <c r="W3050" t="str">
        <f t="shared" si="692"/>
        <v>Shepard St</v>
      </c>
      <c r="X3050" t="str">
        <f>IF(ISBLANK(S3050),"Intersection","Non-Intersection")</f>
        <v>Intersection</v>
      </c>
      <c r="Y3050" t="s">
        <v>4019</v>
      </c>
      <c r="Z3050" t="str">
        <f t="shared" si="693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680"/>
        <v>40544</v>
      </c>
      <c r="D3051" s="4">
        <f t="shared" si="681"/>
        <v>0.92876712328767119</v>
      </c>
      <c r="E3051" s="3">
        <f t="shared" si="682"/>
        <v>2011</v>
      </c>
      <c r="F3051" s="3">
        <f t="shared" si="683"/>
        <v>12</v>
      </c>
      <c r="G3051" s="3">
        <f t="shared" si="684"/>
        <v>6</v>
      </c>
      <c r="H3051" s="3">
        <f t="shared" si="685"/>
        <v>9</v>
      </c>
      <c r="I3051" s="3">
        <f t="shared" si="686"/>
        <v>0</v>
      </c>
      <c r="J3051" s="3">
        <f t="shared" si="687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688"/>
        <v>YES</v>
      </c>
      <c r="Q3051" t="str">
        <f t="shared" si="689"/>
        <v>NO</v>
      </c>
      <c r="R3051" t="str">
        <f t="shared" si="690"/>
        <v>NO</v>
      </c>
      <c r="T3051" t="s">
        <v>2737</v>
      </c>
      <c r="U3051" t="str">
        <f t="shared" si="691"/>
        <v>Woodbridge St</v>
      </c>
      <c r="V3051" t="s">
        <v>14</v>
      </c>
      <c r="W3051" t="str">
        <f t="shared" si="692"/>
        <v>Massachusetts Ave</v>
      </c>
      <c r="X3051" t="str">
        <f>IF(ISBLANK(S3051),"Intersection","Non-Intersection")</f>
        <v>Intersection</v>
      </c>
      <c r="Y3051" t="s">
        <v>2738</v>
      </c>
      <c r="Z3051" t="str">
        <f t="shared" si="693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680"/>
        <v>40544</v>
      </c>
      <c r="D3052" s="4">
        <f t="shared" si="681"/>
        <v>0.92876712328767119</v>
      </c>
      <c r="E3052" s="3">
        <f t="shared" si="682"/>
        <v>2011</v>
      </c>
      <c r="F3052" s="3">
        <f t="shared" si="683"/>
        <v>12</v>
      </c>
      <c r="G3052" s="3">
        <f t="shared" si="684"/>
        <v>6</v>
      </c>
      <c r="H3052" s="3">
        <f t="shared" si="685"/>
        <v>16</v>
      </c>
      <c r="I3052" s="3">
        <f t="shared" si="686"/>
        <v>9</v>
      </c>
      <c r="J3052" s="3">
        <f t="shared" si="687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688"/>
        <v>YES</v>
      </c>
      <c r="Q3052" t="str">
        <f t="shared" si="689"/>
        <v>NO</v>
      </c>
      <c r="R3052" t="str">
        <f t="shared" si="690"/>
        <v>NO</v>
      </c>
      <c r="T3052" t="s">
        <v>710</v>
      </c>
      <c r="U3052" t="str">
        <f t="shared" si="691"/>
        <v>Fresh Pond Pky</v>
      </c>
      <c r="V3052" t="s">
        <v>186</v>
      </c>
      <c r="W3052" t="str">
        <f t="shared" si="692"/>
        <v>Concord Ave</v>
      </c>
      <c r="X3052" t="str">
        <f>IF(ISBLANK(S3052),"Intersection","Non-Intersection")</f>
        <v>Intersection</v>
      </c>
      <c r="Y3052" t="s">
        <v>4021</v>
      </c>
      <c r="Z3052" t="str">
        <f t="shared" si="693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680"/>
        <v>40544</v>
      </c>
      <c r="D3053" s="4">
        <f t="shared" si="681"/>
        <v>0.93150684931506844</v>
      </c>
      <c r="E3053" s="3">
        <f t="shared" si="682"/>
        <v>2011</v>
      </c>
      <c r="F3053" s="3">
        <f t="shared" si="683"/>
        <v>12</v>
      </c>
      <c r="G3053" s="3">
        <f t="shared" si="684"/>
        <v>7</v>
      </c>
      <c r="H3053" s="3">
        <f t="shared" si="685"/>
        <v>9</v>
      </c>
      <c r="I3053" s="3">
        <f t="shared" si="686"/>
        <v>49</v>
      </c>
      <c r="J3053" s="3">
        <f t="shared" si="687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688"/>
        <v>YES</v>
      </c>
      <c r="Q3053" t="str">
        <f t="shared" si="689"/>
        <v>NO</v>
      </c>
      <c r="R3053" t="str">
        <f t="shared" si="690"/>
        <v>NO</v>
      </c>
      <c r="T3053" t="s">
        <v>41</v>
      </c>
      <c r="U3053" t="str">
        <f t="shared" si="691"/>
        <v>River St</v>
      </c>
      <c r="V3053" t="s">
        <v>832</v>
      </c>
      <c r="W3053" t="str">
        <f t="shared" si="692"/>
        <v>Fairmont Ave</v>
      </c>
      <c r="X3053" t="str">
        <f>IF(ISBLANK(S3053),"Intersection","Non-Intersection")</f>
        <v>Intersection</v>
      </c>
      <c r="Y3053" t="s">
        <v>4023</v>
      </c>
      <c r="Z3053" t="str">
        <f t="shared" si="693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680"/>
        <v>40544</v>
      </c>
      <c r="D3054" s="4">
        <f t="shared" si="681"/>
        <v>0.93150684931506844</v>
      </c>
      <c r="E3054" s="3">
        <f t="shared" si="682"/>
        <v>2011</v>
      </c>
      <c r="F3054" s="3">
        <f t="shared" si="683"/>
        <v>12</v>
      </c>
      <c r="G3054" s="3">
        <f t="shared" si="684"/>
        <v>7</v>
      </c>
      <c r="H3054" s="3">
        <f t="shared" si="685"/>
        <v>11</v>
      </c>
      <c r="I3054" s="3">
        <f t="shared" si="686"/>
        <v>15</v>
      </c>
      <c r="J3054" s="3">
        <f t="shared" si="687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688"/>
        <v>YES</v>
      </c>
      <c r="Q3054" t="str">
        <f t="shared" si="689"/>
        <v>NO</v>
      </c>
      <c r="R3054" t="str">
        <f t="shared" si="690"/>
        <v>NO</v>
      </c>
      <c r="T3054" t="s">
        <v>97</v>
      </c>
      <c r="U3054" t="str">
        <f t="shared" si="691"/>
        <v>Peabody St</v>
      </c>
      <c r="V3054" t="s">
        <v>105</v>
      </c>
      <c r="W3054" t="str">
        <f t="shared" si="692"/>
        <v>Broadway</v>
      </c>
      <c r="X3054" t="str">
        <f>IF(ISBLANK(S3054),"Intersection","Non-Intersection")</f>
        <v>Intersection</v>
      </c>
      <c r="Y3054" t="s">
        <v>4024</v>
      </c>
      <c r="Z3054" t="str">
        <f t="shared" si="693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694">EOMONTH(B3055,MONTH(B3055)*-1)+1</f>
        <v>40544</v>
      </c>
      <c r="D3055" s="4">
        <f t="shared" ref="D3055:D3114" si="695">YEARFRAC(C3055,B3055,1)</f>
        <v>0.93150684931506844</v>
      </c>
      <c r="E3055" s="3">
        <f t="shared" ref="E3055:E3114" si="696">YEAR(B3055)</f>
        <v>2011</v>
      </c>
      <c r="F3055" s="3">
        <f t="shared" ref="F3055:F3114" si="697">MONTH(B3055)</f>
        <v>12</v>
      </c>
      <c r="G3055" s="3">
        <f t="shared" ref="G3055:G3114" si="698">DAY(B3055)</f>
        <v>7</v>
      </c>
      <c r="H3055" s="3">
        <f t="shared" ref="H3055:H3114" si="699">HOUR(B3055)</f>
        <v>14</v>
      </c>
      <c r="I3055" s="3">
        <f t="shared" ref="I3055:I3114" si="700">MINUTE(B3055)</f>
        <v>25</v>
      </c>
      <c r="J3055" s="3">
        <f t="shared" ref="J3055:J3114" si="701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02">IF(OR(N3055="Auto",O3055="Auto"),"YES",IF(OR(N3055="Taxi",O3055="Taxi"),"YES",IF(OR(N3055="Van",O3055="Van"),"YES",IF(OR(N3055="Truck",O3055="Truck"),"YES","NO"))))</f>
        <v>YES</v>
      </c>
      <c r="Q3055" t="str">
        <f t="shared" ref="Q3055:Q3114" si="703">IF(OR(N3055="Bicycle",O3055="Bicycle"),"YES","NO")</f>
        <v>NO</v>
      </c>
      <c r="R3055" t="str">
        <f t="shared" ref="R3055:R3114" si="704">IF(OR(N3055="Pedestrian",O3055="Pedestrian"),"YES","NO")</f>
        <v>NO</v>
      </c>
      <c r="T3055" t="s">
        <v>296</v>
      </c>
      <c r="U3055" t="str">
        <f t="shared" si="691"/>
        <v>Mason St</v>
      </c>
      <c r="V3055" t="s">
        <v>399</v>
      </c>
      <c r="W3055" t="str">
        <f t="shared" si="692"/>
        <v>Phillips Pl</v>
      </c>
      <c r="X3055" t="str">
        <f>IF(ISBLANK(S3055),"Intersection","Non-Intersection")</f>
        <v>Intersection</v>
      </c>
      <c r="Y3055" t="s">
        <v>400</v>
      </c>
      <c r="Z3055" t="str">
        <f t="shared" si="693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694"/>
        <v>40544</v>
      </c>
      <c r="D3056" s="4">
        <f t="shared" si="695"/>
        <v>0.93150684931506844</v>
      </c>
      <c r="E3056" s="3">
        <f t="shared" si="696"/>
        <v>2011</v>
      </c>
      <c r="F3056" s="3">
        <f t="shared" si="697"/>
        <v>12</v>
      </c>
      <c r="G3056" s="3">
        <f t="shared" si="698"/>
        <v>7</v>
      </c>
      <c r="H3056" s="3">
        <f t="shared" si="699"/>
        <v>20</v>
      </c>
      <c r="I3056" s="3">
        <f t="shared" si="700"/>
        <v>30</v>
      </c>
      <c r="J3056" s="3">
        <f t="shared" si="701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02"/>
        <v>YES</v>
      </c>
      <c r="Q3056" t="str">
        <f t="shared" si="703"/>
        <v>NO</v>
      </c>
      <c r="R3056" t="str">
        <f t="shared" si="704"/>
        <v>YES</v>
      </c>
      <c r="S3056">
        <v>96</v>
      </c>
      <c r="T3056" t="s">
        <v>186</v>
      </c>
      <c r="U3056" t="str">
        <f t="shared" si="691"/>
        <v>Concord Ave</v>
      </c>
      <c r="W3056" t="str">
        <f t="shared" si="692"/>
        <v/>
      </c>
      <c r="X3056" t="str">
        <f>IF(ISBLANK(S3056),"Intersection","Non-Intersection")</f>
        <v>Non-Intersection</v>
      </c>
      <c r="Y3056" t="s">
        <v>4025</v>
      </c>
      <c r="Z3056" t="str">
        <f t="shared" si="693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694"/>
        <v>40544</v>
      </c>
      <c r="D3057" s="4">
        <f t="shared" si="695"/>
        <v>0.93150684931506844</v>
      </c>
      <c r="E3057" s="3">
        <f t="shared" si="696"/>
        <v>2011</v>
      </c>
      <c r="F3057" s="3">
        <f t="shared" si="697"/>
        <v>12</v>
      </c>
      <c r="G3057" s="3">
        <f t="shared" si="698"/>
        <v>7</v>
      </c>
      <c r="H3057" s="3">
        <f t="shared" si="699"/>
        <v>17</v>
      </c>
      <c r="I3057" s="3">
        <f t="shared" si="700"/>
        <v>25</v>
      </c>
      <c r="J3057" s="3">
        <f t="shared" si="701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02"/>
        <v>YES</v>
      </c>
      <c r="Q3057" t="str">
        <f t="shared" si="703"/>
        <v>NO</v>
      </c>
      <c r="R3057" t="str">
        <f t="shared" si="704"/>
        <v>YES</v>
      </c>
      <c r="T3057" t="s">
        <v>379</v>
      </c>
      <c r="U3057" t="str">
        <f t="shared" si="691"/>
        <v>Second St</v>
      </c>
      <c r="V3057" t="s">
        <v>209</v>
      </c>
      <c r="W3057" t="str">
        <f t="shared" si="692"/>
        <v>Binney St</v>
      </c>
      <c r="X3057" t="str">
        <f>IF(ISBLANK(S3057),"Intersection","Non-Intersection")</f>
        <v>Intersection</v>
      </c>
      <c r="Y3057" t="s">
        <v>4027</v>
      </c>
      <c r="Z3057" t="str">
        <f t="shared" si="693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694"/>
        <v>40544</v>
      </c>
      <c r="D3058" s="4">
        <f t="shared" si="695"/>
        <v>0.93150684931506844</v>
      </c>
      <c r="E3058" s="3">
        <f t="shared" si="696"/>
        <v>2011</v>
      </c>
      <c r="F3058" s="3">
        <f t="shared" si="697"/>
        <v>12</v>
      </c>
      <c r="G3058" s="3">
        <f t="shared" si="698"/>
        <v>7</v>
      </c>
      <c r="H3058" s="3">
        <f t="shared" si="699"/>
        <v>18</v>
      </c>
      <c r="I3058" s="3">
        <f t="shared" si="700"/>
        <v>27</v>
      </c>
      <c r="J3058" s="3">
        <f t="shared" si="701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02"/>
        <v>YES</v>
      </c>
      <c r="Q3058" t="str">
        <f t="shared" si="703"/>
        <v>NO</v>
      </c>
      <c r="R3058" t="str">
        <f t="shared" si="704"/>
        <v>YES</v>
      </c>
      <c r="T3058" t="s">
        <v>42</v>
      </c>
      <c r="U3058" t="str">
        <f t="shared" si="691"/>
        <v>Putnam Ave</v>
      </c>
      <c r="V3058" t="s">
        <v>178</v>
      </c>
      <c r="W3058" t="str">
        <f t="shared" si="692"/>
        <v>Pleasant St</v>
      </c>
      <c r="X3058" t="str">
        <f>IF(ISBLANK(S3058),"Intersection","Non-Intersection")</f>
        <v>Intersection</v>
      </c>
      <c r="Y3058" t="s">
        <v>179</v>
      </c>
      <c r="Z3058" t="str">
        <f t="shared" si="693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694"/>
        <v>40544</v>
      </c>
      <c r="D3059" s="4">
        <f t="shared" si="695"/>
        <v>0.93150684931506844</v>
      </c>
      <c r="E3059" s="3">
        <f t="shared" si="696"/>
        <v>2011</v>
      </c>
      <c r="F3059" s="3">
        <f t="shared" si="697"/>
        <v>12</v>
      </c>
      <c r="G3059" s="3">
        <f t="shared" si="698"/>
        <v>7</v>
      </c>
      <c r="H3059" s="3">
        <f t="shared" si="699"/>
        <v>17</v>
      </c>
      <c r="I3059" s="3">
        <f t="shared" si="700"/>
        <v>19</v>
      </c>
      <c r="J3059" s="3">
        <f t="shared" si="701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02"/>
        <v>YES</v>
      </c>
      <c r="Q3059" t="str">
        <f t="shared" si="703"/>
        <v>NO</v>
      </c>
      <c r="R3059" t="str">
        <f t="shared" si="704"/>
        <v>YES</v>
      </c>
      <c r="T3059" t="s">
        <v>108</v>
      </c>
      <c r="U3059" t="str">
        <f t="shared" si="691"/>
        <v>Franklin St</v>
      </c>
      <c r="V3059" t="s">
        <v>3348</v>
      </c>
      <c r="W3059" t="str">
        <f t="shared" si="692"/>
        <v>Blanche St</v>
      </c>
      <c r="X3059" t="str">
        <f>IF(ISBLANK(S3059),"Intersection","Non-Intersection")</f>
        <v>Intersection</v>
      </c>
      <c r="Y3059" t="s">
        <v>4028</v>
      </c>
      <c r="Z3059" t="str">
        <f t="shared" si="693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694"/>
        <v>40544</v>
      </c>
      <c r="D3060" s="4">
        <f t="shared" si="695"/>
        <v>0.93150684931506844</v>
      </c>
      <c r="E3060" s="3">
        <f t="shared" si="696"/>
        <v>2011</v>
      </c>
      <c r="F3060" s="3">
        <f t="shared" si="697"/>
        <v>12</v>
      </c>
      <c r="G3060" s="3">
        <f t="shared" si="698"/>
        <v>7</v>
      </c>
      <c r="H3060" s="3">
        <f t="shared" si="699"/>
        <v>20</v>
      </c>
      <c r="I3060" s="3">
        <f t="shared" si="700"/>
        <v>3</v>
      </c>
      <c r="J3060" s="3">
        <f t="shared" si="701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02"/>
        <v>YES</v>
      </c>
      <c r="Q3060" t="str">
        <f t="shared" si="703"/>
        <v>NO</v>
      </c>
      <c r="R3060" t="str">
        <f t="shared" si="704"/>
        <v>NO</v>
      </c>
      <c r="T3060" t="s">
        <v>66</v>
      </c>
      <c r="U3060" t="str">
        <f t="shared" si="691"/>
        <v>Dudley St</v>
      </c>
      <c r="V3060" t="s">
        <v>14</v>
      </c>
      <c r="W3060" t="str">
        <f t="shared" si="692"/>
        <v>Massachusetts Ave</v>
      </c>
      <c r="X3060" t="str">
        <f>IF(ISBLANK(S3060),"Intersection","Non-Intersection")</f>
        <v>Intersection</v>
      </c>
      <c r="Y3060" t="s">
        <v>4030</v>
      </c>
      <c r="Z3060" t="str">
        <f t="shared" si="693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694"/>
        <v>40544</v>
      </c>
      <c r="D3061" s="4">
        <f t="shared" si="695"/>
        <v>0.9342465753424658</v>
      </c>
      <c r="E3061" s="3">
        <f t="shared" si="696"/>
        <v>2011</v>
      </c>
      <c r="F3061" s="3">
        <f t="shared" si="697"/>
        <v>12</v>
      </c>
      <c r="G3061" s="3">
        <f t="shared" si="698"/>
        <v>8</v>
      </c>
      <c r="H3061" s="3">
        <f t="shared" si="699"/>
        <v>13</v>
      </c>
      <c r="I3061" s="3">
        <f t="shared" si="700"/>
        <v>25</v>
      </c>
      <c r="J3061" s="3">
        <f t="shared" si="701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02"/>
        <v>YES</v>
      </c>
      <c r="Q3061" t="str">
        <f t="shared" si="703"/>
        <v>NO</v>
      </c>
      <c r="R3061" t="str">
        <f t="shared" si="704"/>
        <v>NO</v>
      </c>
      <c r="S3061">
        <v>99</v>
      </c>
      <c r="T3061" t="s">
        <v>980</v>
      </c>
      <c r="U3061" t="str">
        <f t="shared" si="691"/>
        <v>Lexington Ave</v>
      </c>
      <c r="W3061" t="str">
        <f t="shared" si="692"/>
        <v/>
      </c>
      <c r="X3061" t="str">
        <f>IF(ISBLANK(S3061),"Intersection","Non-Intersection")</f>
        <v>Non-Intersection</v>
      </c>
      <c r="Y3061" t="s">
        <v>4032</v>
      </c>
      <c r="Z3061" t="str">
        <f t="shared" si="693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694"/>
        <v>40544</v>
      </c>
      <c r="D3062" s="4">
        <f t="shared" si="695"/>
        <v>0.9342465753424658</v>
      </c>
      <c r="E3062" s="3">
        <f t="shared" si="696"/>
        <v>2011</v>
      </c>
      <c r="F3062" s="3">
        <f t="shared" si="697"/>
        <v>12</v>
      </c>
      <c r="G3062" s="3">
        <f t="shared" si="698"/>
        <v>8</v>
      </c>
      <c r="H3062" s="3">
        <f t="shared" si="699"/>
        <v>16</v>
      </c>
      <c r="I3062" s="3">
        <f t="shared" si="700"/>
        <v>25</v>
      </c>
      <c r="J3062" s="3">
        <f t="shared" si="701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02"/>
        <v>YES</v>
      </c>
      <c r="Q3062" t="str">
        <f t="shared" si="703"/>
        <v>NO</v>
      </c>
      <c r="R3062" t="str">
        <f t="shared" si="704"/>
        <v>NO</v>
      </c>
      <c r="T3062" t="s">
        <v>185</v>
      </c>
      <c r="U3062" t="str">
        <f t="shared" si="691"/>
        <v>Garden St</v>
      </c>
      <c r="V3062" t="s">
        <v>302</v>
      </c>
      <c r="W3062" t="str">
        <f t="shared" si="692"/>
        <v>Waterhouse St</v>
      </c>
      <c r="X3062" t="str">
        <f>IF(ISBLANK(S3062),"Intersection","Non-Intersection")</f>
        <v>Intersection</v>
      </c>
      <c r="Y3062" t="s">
        <v>4034</v>
      </c>
      <c r="Z3062" t="str">
        <f t="shared" si="693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694"/>
        <v>40544</v>
      </c>
      <c r="D3063" s="4">
        <f t="shared" si="695"/>
        <v>0.9342465753424658</v>
      </c>
      <c r="E3063" s="3">
        <f t="shared" si="696"/>
        <v>2011</v>
      </c>
      <c r="F3063" s="3">
        <f t="shared" si="697"/>
        <v>12</v>
      </c>
      <c r="G3063" s="3">
        <f t="shared" si="698"/>
        <v>8</v>
      </c>
      <c r="H3063" s="3">
        <f t="shared" si="699"/>
        <v>20</v>
      </c>
      <c r="I3063" s="3">
        <f t="shared" si="700"/>
        <v>51</v>
      </c>
      <c r="J3063" s="3">
        <f t="shared" si="701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02"/>
        <v>YES</v>
      </c>
      <c r="Q3063" t="str">
        <f t="shared" si="703"/>
        <v>NO</v>
      </c>
      <c r="R3063" t="str">
        <f t="shared" si="704"/>
        <v>NO</v>
      </c>
      <c r="T3063" t="s">
        <v>74</v>
      </c>
      <c r="U3063" t="str">
        <f t="shared" si="691"/>
        <v>Hampshire St</v>
      </c>
      <c r="V3063" t="s">
        <v>942</v>
      </c>
      <c r="W3063" t="str">
        <f t="shared" si="692"/>
        <v>Amory St</v>
      </c>
      <c r="X3063" t="str">
        <f>IF(ISBLANK(S3063),"Intersection","Non-Intersection")</f>
        <v>Intersection</v>
      </c>
      <c r="Y3063" t="s">
        <v>967</v>
      </c>
      <c r="Z3063" t="str">
        <f t="shared" si="693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694"/>
        <v>40544</v>
      </c>
      <c r="D3064" s="4">
        <f t="shared" si="695"/>
        <v>0.93698630136986305</v>
      </c>
      <c r="E3064" s="3">
        <f t="shared" si="696"/>
        <v>2011</v>
      </c>
      <c r="F3064" s="3">
        <f t="shared" si="697"/>
        <v>12</v>
      </c>
      <c r="G3064" s="3">
        <f t="shared" si="698"/>
        <v>9</v>
      </c>
      <c r="H3064" s="3">
        <f t="shared" si="699"/>
        <v>9</v>
      </c>
      <c r="I3064" s="3">
        <f t="shared" si="700"/>
        <v>40</v>
      </c>
      <c r="J3064" s="3">
        <f t="shared" si="701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02"/>
        <v>YES</v>
      </c>
      <c r="Q3064" t="str">
        <f t="shared" si="703"/>
        <v>NO</v>
      </c>
      <c r="R3064" t="str">
        <f t="shared" si="704"/>
        <v>NO</v>
      </c>
      <c r="T3064" t="s">
        <v>288</v>
      </c>
      <c r="U3064" t="str">
        <f t="shared" si="691"/>
        <v>Galileo Galilei Way</v>
      </c>
      <c r="V3064" t="s">
        <v>105</v>
      </c>
      <c r="W3064" t="str">
        <f t="shared" si="692"/>
        <v>Broadway</v>
      </c>
      <c r="X3064" t="str">
        <f>IF(ISBLANK(S3064),"Intersection","Non-Intersection")</f>
        <v>Intersection</v>
      </c>
      <c r="Y3064" t="s">
        <v>307</v>
      </c>
      <c r="Z3064" t="str">
        <f t="shared" si="693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694"/>
        <v>40544</v>
      </c>
      <c r="D3065" s="4">
        <f t="shared" si="695"/>
        <v>0.93698630136986305</v>
      </c>
      <c r="E3065" s="3">
        <f t="shared" si="696"/>
        <v>2011</v>
      </c>
      <c r="F3065" s="3">
        <f t="shared" si="697"/>
        <v>12</v>
      </c>
      <c r="G3065" s="3">
        <f t="shared" si="698"/>
        <v>9</v>
      </c>
      <c r="H3065" s="3">
        <f t="shared" si="699"/>
        <v>14</v>
      </c>
      <c r="I3065" s="3">
        <f t="shared" si="700"/>
        <v>0</v>
      </c>
      <c r="J3065" s="3">
        <f t="shared" si="701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02"/>
        <v>YES</v>
      </c>
      <c r="Q3065" t="str">
        <f t="shared" si="703"/>
        <v>NO</v>
      </c>
      <c r="R3065" t="str">
        <f t="shared" si="704"/>
        <v>YES</v>
      </c>
      <c r="S3065">
        <v>2254</v>
      </c>
      <c r="T3065" t="s">
        <v>14</v>
      </c>
      <c r="U3065" t="str">
        <f t="shared" si="691"/>
        <v>Massachusetts Ave</v>
      </c>
      <c r="W3065" t="str">
        <f t="shared" si="692"/>
        <v/>
      </c>
      <c r="X3065" t="str">
        <f>IF(ISBLANK(S3065),"Intersection","Non-Intersection")</f>
        <v>Non-Intersection</v>
      </c>
      <c r="Y3065" t="s">
        <v>4036</v>
      </c>
      <c r="Z3065" t="str">
        <f t="shared" si="693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694"/>
        <v>40544</v>
      </c>
      <c r="D3066" s="4">
        <f t="shared" si="695"/>
        <v>0.93698630136986305</v>
      </c>
      <c r="E3066" s="3">
        <f t="shared" si="696"/>
        <v>2011</v>
      </c>
      <c r="F3066" s="3">
        <f t="shared" si="697"/>
        <v>12</v>
      </c>
      <c r="G3066" s="3">
        <f t="shared" si="698"/>
        <v>9</v>
      </c>
      <c r="H3066" s="3">
        <f t="shared" si="699"/>
        <v>19</v>
      </c>
      <c r="I3066" s="3">
        <f t="shared" si="700"/>
        <v>47</v>
      </c>
      <c r="J3066" s="3">
        <f t="shared" si="701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02"/>
        <v>YES</v>
      </c>
      <c r="Q3066" t="str">
        <f t="shared" si="703"/>
        <v>NO</v>
      </c>
      <c r="R3066" t="str">
        <f t="shared" si="704"/>
        <v>NO</v>
      </c>
      <c r="T3066" t="s">
        <v>1701</v>
      </c>
      <c r="U3066" t="str">
        <f t="shared" si="691"/>
        <v>Prentiss St</v>
      </c>
      <c r="V3066" t="s">
        <v>166</v>
      </c>
      <c r="W3066" t="str">
        <f t="shared" si="692"/>
        <v>Oxford Ave</v>
      </c>
      <c r="X3066" t="str">
        <f>IF(ISBLANK(S3066),"Intersection","Non-Intersection")</f>
        <v>Intersection</v>
      </c>
      <c r="Y3066" t="s">
        <v>4038</v>
      </c>
      <c r="Z3066" t="str">
        <f t="shared" si="693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694"/>
        <v>40544</v>
      </c>
      <c r="D3067" s="4">
        <f t="shared" si="695"/>
        <v>0.93698630136986305</v>
      </c>
      <c r="E3067" s="3">
        <f t="shared" si="696"/>
        <v>2011</v>
      </c>
      <c r="F3067" s="3">
        <f t="shared" si="697"/>
        <v>12</v>
      </c>
      <c r="G3067" s="3">
        <f t="shared" si="698"/>
        <v>9</v>
      </c>
      <c r="H3067" s="3">
        <f t="shared" si="699"/>
        <v>14</v>
      </c>
      <c r="I3067" s="3">
        <f t="shared" si="700"/>
        <v>49</v>
      </c>
      <c r="J3067" s="3">
        <f t="shared" si="701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02"/>
        <v>YES</v>
      </c>
      <c r="Q3067" t="str">
        <f t="shared" si="703"/>
        <v>NO</v>
      </c>
      <c r="R3067" t="str">
        <f t="shared" si="704"/>
        <v>NO</v>
      </c>
      <c r="S3067">
        <v>114</v>
      </c>
      <c r="T3067" t="s">
        <v>37</v>
      </c>
      <c r="U3067" t="str">
        <f t="shared" si="691"/>
        <v>Magazine St</v>
      </c>
      <c r="W3067" t="str">
        <f t="shared" si="692"/>
        <v/>
      </c>
      <c r="X3067" t="str">
        <f>IF(ISBLANK(S3067),"Intersection","Non-Intersection")</f>
        <v>Non-Intersection</v>
      </c>
      <c r="Y3067" t="s">
        <v>4040</v>
      </c>
      <c r="Z3067" t="str">
        <f t="shared" si="693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694"/>
        <v>40544</v>
      </c>
      <c r="D3068" s="4">
        <f t="shared" si="695"/>
        <v>0.9397260273972603</v>
      </c>
      <c r="E3068" s="3">
        <f t="shared" si="696"/>
        <v>2011</v>
      </c>
      <c r="F3068" s="3">
        <f t="shared" si="697"/>
        <v>12</v>
      </c>
      <c r="G3068" s="3">
        <f t="shared" si="698"/>
        <v>10</v>
      </c>
      <c r="H3068" s="3">
        <f t="shared" si="699"/>
        <v>1</v>
      </c>
      <c r="I3068" s="3">
        <f t="shared" si="700"/>
        <v>44</v>
      </c>
      <c r="J3068" s="3">
        <f t="shared" si="701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02"/>
        <v>YES</v>
      </c>
      <c r="Q3068" t="str">
        <f t="shared" si="703"/>
        <v>NO</v>
      </c>
      <c r="R3068" t="str">
        <f t="shared" si="704"/>
        <v>NO</v>
      </c>
      <c r="S3068">
        <v>1611</v>
      </c>
      <c r="T3068" t="s">
        <v>19</v>
      </c>
      <c r="U3068" t="str">
        <f t="shared" si="691"/>
        <v>Cambridge St</v>
      </c>
      <c r="W3068" t="str">
        <f t="shared" si="692"/>
        <v/>
      </c>
      <c r="X3068" t="str">
        <f>IF(ISBLANK(S3068),"Intersection","Non-Intersection")</f>
        <v>Non-Intersection</v>
      </c>
      <c r="Y3068" t="s">
        <v>3485</v>
      </c>
      <c r="Z3068" t="str">
        <f t="shared" si="693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694"/>
        <v>40544</v>
      </c>
      <c r="D3069" s="4">
        <f t="shared" si="695"/>
        <v>0.9397260273972603</v>
      </c>
      <c r="E3069" s="3">
        <f t="shared" si="696"/>
        <v>2011</v>
      </c>
      <c r="F3069" s="3">
        <f t="shared" si="697"/>
        <v>12</v>
      </c>
      <c r="G3069" s="3">
        <f t="shared" si="698"/>
        <v>10</v>
      </c>
      <c r="H3069" s="3">
        <f t="shared" si="699"/>
        <v>9</v>
      </c>
      <c r="I3069" s="3">
        <f t="shared" si="700"/>
        <v>46</v>
      </c>
      <c r="J3069" s="3">
        <f t="shared" si="701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02"/>
        <v>YES</v>
      </c>
      <c r="Q3069" t="str">
        <f t="shared" si="703"/>
        <v>NO</v>
      </c>
      <c r="R3069" t="str">
        <f t="shared" si="704"/>
        <v>NO</v>
      </c>
      <c r="T3069" t="s">
        <v>252</v>
      </c>
      <c r="U3069" t="str">
        <f t="shared" si="691"/>
        <v>Walden St</v>
      </c>
      <c r="W3069" t="str">
        <f t="shared" si="692"/>
        <v/>
      </c>
      <c r="X3069" t="str">
        <f>IF(ISBLANK(S3069),"Intersection","Non-Intersection")</f>
        <v>Intersection</v>
      </c>
      <c r="Y3069" t="s">
        <v>2829</v>
      </c>
      <c r="Z3069" t="str">
        <f t="shared" si="693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694"/>
        <v>40544</v>
      </c>
      <c r="D3070" s="4">
        <f t="shared" si="695"/>
        <v>0.94246575342465755</v>
      </c>
      <c r="E3070" s="3">
        <f t="shared" si="696"/>
        <v>2011</v>
      </c>
      <c r="F3070" s="3">
        <f t="shared" si="697"/>
        <v>12</v>
      </c>
      <c r="G3070" s="3">
        <f t="shared" si="698"/>
        <v>11</v>
      </c>
      <c r="H3070" s="3">
        <f t="shared" si="699"/>
        <v>9</v>
      </c>
      <c r="I3070" s="3">
        <f t="shared" si="700"/>
        <v>59</v>
      </c>
      <c r="J3070" s="3">
        <f t="shared" si="701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02"/>
        <v>YES</v>
      </c>
      <c r="Q3070" t="str">
        <f t="shared" si="703"/>
        <v>NO</v>
      </c>
      <c r="R3070" t="str">
        <f t="shared" si="704"/>
        <v>NO</v>
      </c>
      <c r="S3070">
        <v>1815</v>
      </c>
      <c r="T3070" t="s">
        <v>14</v>
      </c>
      <c r="U3070" t="str">
        <f t="shared" si="691"/>
        <v>Massachusetts Ave</v>
      </c>
      <c r="W3070" t="str">
        <f t="shared" si="692"/>
        <v/>
      </c>
      <c r="X3070" t="str">
        <f>IF(ISBLANK(S3070),"Intersection","Non-Intersection")</f>
        <v>Non-Intersection</v>
      </c>
      <c r="Y3070" t="s">
        <v>2783</v>
      </c>
      <c r="Z3070" t="str">
        <f t="shared" si="693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694"/>
        <v>40544</v>
      </c>
      <c r="D3071" s="4">
        <f t="shared" si="695"/>
        <v>0.94246575342465755</v>
      </c>
      <c r="E3071" s="3">
        <f t="shared" si="696"/>
        <v>2011</v>
      </c>
      <c r="F3071" s="3">
        <f t="shared" si="697"/>
        <v>12</v>
      </c>
      <c r="G3071" s="3">
        <f t="shared" si="698"/>
        <v>11</v>
      </c>
      <c r="H3071" s="3">
        <f t="shared" si="699"/>
        <v>9</v>
      </c>
      <c r="I3071" s="3">
        <f t="shared" si="700"/>
        <v>40</v>
      </c>
      <c r="J3071" s="3">
        <f t="shared" si="701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02"/>
        <v>YES</v>
      </c>
      <c r="Q3071" t="str">
        <f t="shared" si="703"/>
        <v>NO</v>
      </c>
      <c r="R3071" t="str">
        <f t="shared" si="704"/>
        <v>NO</v>
      </c>
      <c r="T3071" t="s">
        <v>198</v>
      </c>
      <c r="U3071" t="str">
        <f t="shared" si="691"/>
        <v>Mount Auburn St</v>
      </c>
      <c r="V3071" t="s">
        <v>229</v>
      </c>
      <c r="W3071" t="str">
        <f t="shared" si="692"/>
        <v>Dewolfe St</v>
      </c>
      <c r="X3071" t="str">
        <f>IF(ISBLANK(S3071),"Intersection","Non-Intersection")</f>
        <v>Intersection</v>
      </c>
      <c r="Y3071" t="s">
        <v>1927</v>
      </c>
      <c r="Z3071" t="str">
        <f t="shared" si="693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694"/>
        <v>40544</v>
      </c>
      <c r="D3072" s="4">
        <f t="shared" si="695"/>
        <v>0.9452054794520548</v>
      </c>
      <c r="E3072" s="3">
        <f t="shared" si="696"/>
        <v>2011</v>
      </c>
      <c r="F3072" s="3">
        <f t="shared" si="697"/>
        <v>12</v>
      </c>
      <c r="G3072" s="3">
        <f t="shared" si="698"/>
        <v>12</v>
      </c>
      <c r="H3072" s="3">
        <f t="shared" si="699"/>
        <v>9</v>
      </c>
      <c r="I3072" s="3">
        <f t="shared" si="700"/>
        <v>14</v>
      </c>
      <c r="J3072" s="3">
        <f t="shared" si="701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02"/>
        <v>YES</v>
      </c>
      <c r="Q3072" t="str">
        <f t="shared" si="703"/>
        <v>NO</v>
      </c>
      <c r="R3072" t="str">
        <f t="shared" si="704"/>
        <v>NO</v>
      </c>
      <c r="S3072">
        <v>301</v>
      </c>
      <c r="T3072" t="s">
        <v>209</v>
      </c>
      <c r="U3072" t="str">
        <f t="shared" si="691"/>
        <v>Binney St</v>
      </c>
      <c r="V3072" t="s">
        <v>60</v>
      </c>
      <c r="W3072" t="str">
        <f t="shared" si="692"/>
        <v>Rogers St</v>
      </c>
      <c r="X3072" t="str">
        <f>IF(ISBLANK(S3072),"Intersection","Non-Intersection")</f>
        <v>Non-Intersection</v>
      </c>
      <c r="Y3072" t="s">
        <v>670</v>
      </c>
      <c r="Z3072" t="str">
        <f t="shared" si="693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694"/>
        <v>40544</v>
      </c>
      <c r="D3073" s="4">
        <f t="shared" si="695"/>
        <v>0.9452054794520548</v>
      </c>
      <c r="E3073" s="3">
        <f t="shared" si="696"/>
        <v>2011</v>
      </c>
      <c r="F3073" s="3">
        <f t="shared" si="697"/>
        <v>12</v>
      </c>
      <c r="G3073" s="3">
        <f t="shared" si="698"/>
        <v>12</v>
      </c>
      <c r="H3073" s="3">
        <f t="shared" si="699"/>
        <v>16</v>
      </c>
      <c r="I3073" s="3">
        <f t="shared" si="700"/>
        <v>57</v>
      </c>
      <c r="J3073" s="3">
        <f t="shared" si="701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02"/>
        <v>YES</v>
      </c>
      <c r="Q3073" t="str">
        <f t="shared" si="703"/>
        <v>NO</v>
      </c>
      <c r="R3073" t="str">
        <f t="shared" si="704"/>
        <v>NO</v>
      </c>
      <c r="T3073" t="s">
        <v>61</v>
      </c>
      <c r="U3073" t="str">
        <f t="shared" si="691"/>
        <v>First St</v>
      </c>
      <c r="V3073" t="s">
        <v>1062</v>
      </c>
      <c r="W3073" t="str">
        <f t="shared" si="692"/>
        <v>Cambridgeside Pl</v>
      </c>
      <c r="X3073" t="str">
        <f>IF(ISBLANK(S3073),"Intersection","Non-Intersection")</f>
        <v>Intersection</v>
      </c>
      <c r="Y3073" t="s">
        <v>3952</v>
      </c>
      <c r="Z3073" t="str">
        <f t="shared" si="693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694"/>
        <v>40544</v>
      </c>
      <c r="D3074" s="4">
        <f t="shared" si="695"/>
        <v>0.9452054794520548</v>
      </c>
      <c r="E3074" s="3">
        <f t="shared" si="696"/>
        <v>2011</v>
      </c>
      <c r="F3074" s="3">
        <f t="shared" si="697"/>
        <v>12</v>
      </c>
      <c r="G3074" s="3">
        <f t="shared" si="698"/>
        <v>12</v>
      </c>
      <c r="H3074" s="3">
        <f t="shared" si="699"/>
        <v>17</v>
      </c>
      <c r="I3074" s="3">
        <f t="shared" si="700"/>
        <v>41</v>
      </c>
      <c r="J3074" s="3">
        <f t="shared" si="701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02"/>
        <v>YES</v>
      </c>
      <c r="Q3074" t="str">
        <f t="shared" si="703"/>
        <v>NO</v>
      </c>
      <c r="R3074" t="str">
        <f t="shared" si="704"/>
        <v>NO</v>
      </c>
      <c r="T3074" t="s">
        <v>198</v>
      </c>
      <c r="U3074" t="str">
        <f t="shared" si="691"/>
        <v>Mount Auburn St</v>
      </c>
      <c r="V3074" t="s">
        <v>518</v>
      </c>
      <c r="W3074" t="str">
        <f t="shared" si="692"/>
        <v>Willard St</v>
      </c>
      <c r="X3074" t="str">
        <f>IF(ISBLANK(S3074),"Intersection","Non-Intersection")</f>
        <v>Intersection</v>
      </c>
      <c r="Y3074" t="s">
        <v>519</v>
      </c>
      <c r="Z3074" t="str">
        <f t="shared" si="693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694"/>
        <v>40544</v>
      </c>
      <c r="D3075" s="4">
        <f t="shared" si="695"/>
        <v>0.9452054794520548</v>
      </c>
      <c r="E3075" s="3">
        <f t="shared" si="696"/>
        <v>2011</v>
      </c>
      <c r="F3075" s="3">
        <f t="shared" si="697"/>
        <v>12</v>
      </c>
      <c r="G3075" s="3">
        <f t="shared" si="698"/>
        <v>12</v>
      </c>
      <c r="H3075" s="3">
        <f t="shared" si="699"/>
        <v>20</v>
      </c>
      <c r="I3075" s="3">
        <f t="shared" si="700"/>
        <v>0</v>
      </c>
      <c r="J3075" s="3">
        <f t="shared" si="701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02"/>
        <v>YES</v>
      </c>
      <c r="Q3075" t="str">
        <f t="shared" si="703"/>
        <v>NO</v>
      </c>
      <c r="R3075" t="str">
        <f t="shared" si="704"/>
        <v>NO</v>
      </c>
      <c r="S3075">
        <v>49</v>
      </c>
      <c r="T3075" t="s">
        <v>268</v>
      </c>
      <c r="U3075" t="str">
        <f t="shared" ref="U3075:U3138" si="705">TRIM(PROPER(T3075))</f>
        <v>White St</v>
      </c>
      <c r="W3075" t="str">
        <f t="shared" ref="W3075:W3138" si="706">TRIM(PROPER(V3075))</f>
        <v/>
      </c>
      <c r="X3075" t="str">
        <f>IF(ISBLANK(S3075),"Intersection","Non-Intersection")</f>
        <v>Non-Intersection</v>
      </c>
      <c r="Y3075" t="s">
        <v>270</v>
      </c>
      <c r="Z3075" t="str">
        <f t="shared" ref="Z3075:Z3138" si="707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694"/>
        <v>40544</v>
      </c>
      <c r="D3076" s="4">
        <f t="shared" si="695"/>
        <v>0.9452054794520548</v>
      </c>
      <c r="E3076" s="3">
        <f t="shared" si="696"/>
        <v>2011</v>
      </c>
      <c r="F3076" s="3">
        <f t="shared" si="697"/>
        <v>12</v>
      </c>
      <c r="G3076" s="3">
        <f t="shared" si="698"/>
        <v>12</v>
      </c>
      <c r="H3076" s="3">
        <f t="shared" si="699"/>
        <v>8</v>
      </c>
      <c r="I3076" s="3">
        <f t="shared" si="700"/>
        <v>25</v>
      </c>
      <c r="J3076" s="3">
        <f t="shared" si="701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02"/>
        <v>NO</v>
      </c>
      <c r="Q3076" t="str">
        <f t="shared" si="703"/>
        <v>NO</v>
      </c>
      <c r="R3076" t="str">
        <f t="shared" si="704"/>
        <v>NO</v>
      </c>
      <c r="T3076" t="s">
        <v>189</v>
      </c>
      <c r="U3076" t="str">
        <f t="shared" si="705"/>
        <v>Windsor St</v>
      </c>
      <c r="V3076" t="s">
        <v>1114</v>
      </c>
      <c r="W3076" t="str">
        <f t="shared" si="706"/>
        <v>Market St</v>
      </c>
      <c r="X3076" t="str">
        <f>IF(ISBLANK(S3076),"Intersection","Non-Intersection")</f>
        <v>Intersection</v>
      </c>
      <c r="Y3076" t="s">
        <v>3126</v>
      </c>
      <c r="Z3076" t="str">
        <f t="shared" si="707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694"/>
        <v>40544</v>
      </c>
      <c r="D3077" s="4">
        <f t="shared" si="695"/>
        <v>0.9452054794520548</v>
      </c>
      <c r="E3077" s="3">
        <f t="shared" si="696"/>
        <v>2011</v>
      </c>
      <c r="F3077" s="3">
        <f t="shared" si="697"/>
        <v>12</v>
      </c>
      <c r="G3077" s="3">
        <f t="shared" si="698"/>
        <v>12</v>
      </c>
      <c r="H3077" s="3">
        <f t="shared" si="699"/>
        <v>11</v>
      </c>
      <c r="I3077" s="3">
        <f t="shared" si="700"/>
        <v>29</v>
      </c>
      <c r="J3077" s="3">
        <f t="shared" si="701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02"/>
        <v>YES</v>
      </c>
      <c r="Q3077" t="str">
        <f t="shared" si="703"/>
        <v>NO</v>
      </c>
      <c r="R3077" t="str">
        <f t="shared" si="704"/>
        <v>NO</v>
      </c>
      <c r="T3077" t="s">
        <v>2580</v>
      </c>
      <c r="U3077" t="str">
        <f t="shared" si="705"/>
        <v>Land Blvd</v>
      </c>
      <c r="V3077" t="s">
        <v>351</v>
      </c>
      <c r="W3077" t="str">
        <f t="shared" si="706"/>
        <v>Cambridge Ctr</v>
      </c>
      <c r="X3077" t="str">
        <f>IF(ISBLANK(S3077),"Intersection","Non-Intersection")</f>
        <v>Intersection</v>
      </c>
      <c r="Y3077" t="s">
        <v>4042</v>
      </c>
      <c r="Z3077" t="str">
        <f t="shared" si="707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694"/>
        <v>40544</v>
      </c>
      <c r="D3078" s="4">
        <f t="shared" si="695"/>
        <v>0.94794520547945205</v>
      </c>
      <c r="E3078" s="3">
        <f t="shared" si="696"/>
        <v>2011</v>
      </c>
      <c r="F3078" s="3">
        <f t="shared" si="697"/>
        <v>12</v>
      </c>
      <c r="G3078" s="3">
        <f t="shared" si="698"/>
        <v>13</v>
      </c>
      <c r="H3078" s="3">
        <f t="shared" si="699"/>
        <v>1</v>
      </c>
      <c r="I3078" s="3">
        <f t="shared" si="700"/>
        <v>44</v>
      </c>
      <c r="J3078" s="3">
        <f t="shared" si="701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02"/>
        <v>YES</v>
      </c>
      <c r="Q3078" t="str">
        <f t="shared" si="703"/>
        <v>YES</v>
      </c>
      <c r="R3078" t="str">
        <f t="shared" si="704"/>
        <v>NO</v>
      </c>
      <c r="T3078" t="s">
        <v>14</v>
      </c>
      <c r="U3078" t="str">
        <f t="shared" si="705"/>
        <v>Massachusetts Ave</v>
      </c>
      <c r="V3078" t="s">
        <v>202</v>
      </c>
      <c r="W3078" t="str">
        <f t="shared" si="706"/>
        <v>Vassar St</v>
      </c>
      <c r="X3078" t="str">
        <f>IF(ISBLANK(S3078),"Intersection","Non-Intersection")</f>
        <v>Intersection</v>
      </c>
      <c r="Y3078" t="s">
        <v>361</v>
      </c>
      <c r="Z3078" t="str">
        <f t="shared" si="707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694"/>
        <v>40544</v>
      </c>
      <c r="D3079" s="4">
        <f t="shared" si="695"/>
        <v>0.94794520547945205</v>
      </c>
      <c r="E3079" s="3">
        <f t="shared" si="696"/>
        <v>2011</v>
      </c>
      <c r="F3079" s="3">
        <f t="shared" si="697"/>
        <v>12</v>
      </c>
      <c r="G3079" s="3">
        <f t="shared" si="698"/>
        <v>13</v>
      </c>
      <c r="H3079" s="3">
        <f t="shared" si="699"/>
        <v>8</v>
      </c>
      <c r="I3079" s="3">
        <f t="shared" si="700"/>
        <v>55</v>
      </c>
      <c r="J3079" s="3">
        <f t="shared" si="701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02"/>
        <v>YES</v>
      </c>
      <c r="Q3079" t="str">
        <f t="shared" si="703"/>
        <v>NO</v>
      </c>
      <c r="R3079" t="str">
        <f t="shared" si="704"/>
        <v>NO</v>
      </c>
      <c r="T3079" t="s">
        <v>14</v>
      </c>
      <c r="U3079" t="str">
        <f t="shared" si="705"/>
        <v>Massachusetts Ave</v>
      </c>
      <c r="V3079" t="s">
        <v>362</v>
      </c>
      <c r="W3079" t="str">
        <f t="shared" si="706"/>
        <v>Hollis St</v>
      </c>
      <c r="X3079" t="str">
        <f>IF(ISBLANK(S3079),"Intersection","Non-Intersection")</f>
        <v>Intersection</v>
      </c>
      <c r="Y3079" t="s">
        <v>363</v>
      </c>
      <c r="Z3079" t="str">
        <f t="shared" si="707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694"/>
        <v>40544</v>
      </c>
      <c r="D3080" s="4">
        <f t="shared" si="695"/>
        <v>0.94794520547945205</v>
      </c>
      <c r="E3080" s="3">
        <f t="shared" si="696"/>
        <v>2011</v>
      </c>
      <c r="F3080" s="3">
        <f t="shared" si="697"/>
        <v>12</v>
      </c>
      <c r="G3080" s="3">
        <f t="shared" si="698"/>
        <v>13</v>
      </c>
      <c r="H3080" s="3">
        <f t="shared" si="699"/>
        <v>11</v>
      </c>
      <c r="I3080" s="3">
        <f t="shared" si="700"/>
        <v>29</v>
      </c>
      <c r="J3080" s="3">
        <f t="shared" si="701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02"/>
        <v>YES</v>
      </c>
      <c r="Q3080" t="str">
        <f t="shared" si="703"/>
        <v>NO</v>
      </c>
      <c r="R3080" t="str">
        <f t="shared" si="704"/>
        <v>NO</v>
      </c>
      <c r="T3080" t="s">
        <v>942</v>
      </c>
      <c r="U3080" t="str">
        <f t="shared" si="705"/>
        <v>Amory St</v>
      </c>
      <c r="W3080" t="str">
        <f t="shared" si="706"/>
        <v/>
      </c>
      <c r="X3080" t="str">
        <f>IF(ISBLANK(S3080),"Intersection","Non-Intersection")</f>
        <v>Intersection</v>
      </c>
      <c r="Y3080" t="s">
        <v>4043</v>
      </c>
      <c r="Z3080" t="str">
        <f t="shared" si="707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694"/>
        <v>40544</v>
      </c>
      <c r="D3081" s="4">
        <f t="shared" si="695"/>
        <v>0.94794520547945205</v>
      </c>
      <c r="E3081" s="3">
        <f t="shared" si="696"/>
        <v>2011</v>
      </c>
      <c r="F3081" s="3">
        <f t="shared" si="697"/>
        <v>12</v>
      </c>
      <c r="G3081" s="3">
        <f t="shared" si="698"/>
        <v>13</v>
      </c>
      <c r="H3081" s="3">
        <f t="shared" si="699"/>
        <v>14</v>
      </c>
      <c r="I3081" s="3">
        <f t="shared" si="700"/>
        <v>19</v>
      </c>
      <c r="J3081" s="3">
        <f t="shared" si="701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02"/>
        <v>YES</v>
      </c>
      <c r="Q3081" t="str">
        <f t="shared" si="703"/>
        <v>NO</v>
      </c>
      <c r="R3081" t="str">
        <f t="shared" si="704"/>
        <v>NO</v>
      </c>
      <c r="T3081" t="s">
        <v>14</v>
      </c>
      <c r="U3081" t="str">
        <f t="shared" si="705"/>
        <v>Massachusetts Ave</v>
      </c>
      <c r="V3081" t="s">
        <v>185</v>
      </c>
      <c r="W3081" t="str">
        <f t="shared" si="706"/>
        <v>Garden St</v>
      </c>
      <c r="X3081" t="str">
        <f>IF(ISBLANK(S3081),"Intersection","Non-Intersection")</f>
        <v>Intersection</v>
      </c>
      <c r="Y3081" t="s">
        <v>1247</v>
      </c>
      <c r="Z3081" t="str">
        <f t="shared" si="707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694"/>
        <v>40544</v>
      </c>
      <c r="D3082" s="4">
        <f t="shared" si="695"/>
        <v>0.94794520547945205</v>
      </c>
      <c r="E3082" s="3">
        <f t="shared" si="696"/>
        <v>2011</v>
      </c>
      <c r="F3082" s="3">
        <f t="shared" si="697"/>
        <v>12</v>
      </c>
      <c r="G3082" s="3">
        <f t="shared" si="698"/>
        <v>13</v>
      </c>
      <c r="H3082" s="3">
        <f t="shared" si="699"/>
        <v>15</v>
      </c>
      <c r="I3082" s="3">
        <f t="shared" si="700"/>
        <v>34</v>
      </c>
      <c r="J3082" s="3">
        <f t="shared" si="701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02"/>
        <v>YES</v>
      </c>
      <c r="Q3082" t="str">
        <f t="shared" si="703"/>
        <v>NO</v>
      </c>
      <c r="R3082" t="str">
        <f t="shared" si="704"/>
        <v>NO</v>
      </c>
      <c r="S3082">
        <v>515</v>
      </c>
      <c r="T3082" t="s">
        <v>186</v>
      </c>
      <c r="U3082" t="str">
        <f t="shared" si="705"/>
        <v>Concord Ave</v>
      </c>
      <c r="W3082" t="str">
        <f t="shared" si="706"/>
        <v/>
      </c>
      <c r="X3082" t="str">
        <f>IF(ISBLANK(S3082),"Intersection","Non-Intersection")</f>
        <v>Non-Intersection</v>
      </c>
      <c r="Y3082" t="s">
        <v>2901</v>
      </c>
      <c r="Z3082" t="str">
        <f t="shared" si="707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694"/>
        <v>40544</v>
      </c>
      <c r="D3083" s="4">
        <f t="shared" si="695"/>
        <v>0.94794520547945205</v>
      </c>
      <c r="E3083" s="3">
        <f t="shared" si="696"/>
        <v>2011</v>
      </c>
      <c r="F3083" s="3">
        <f t="shared" si="697"/>
        <v>12</v>
      </c>
      <c r="G3083" s="3">
        <f t="shared" si="698"/>
        <v>13</v>
      </c>
      <c r="H3083" s="3">
        <f t="shared" si="699"/>
        <v>15</v>
      </c>
      <c r="I3083" s="3">
        <f t="shared" si="700"/>
        <v>14</v>
      </c>
      <c r="J3083" s="3">
        <f t="shared" si="701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02"/>
        <v>YES</v>
      </c>
      <c r="Q3083" t="str">
        <f t="shared" si="703"/>
        <v>NO</v>
      </c>
      <c r="R3083" t="str">
        <f t="shared" si="704"/>
        <v>NO</v>
      </c>
      <c r="T3083" t="s">
        <v>170</v>
      </c>
      <c r="U3083" t="str">
        <f t="shared" si="705"/>
        <v>Alewife Brook Pky</v>
      </c>
      <c r="W3083" t="str">
        <f t="shared" si="706"/>
        <v/>
      </c>
      <c r="X3083" t="str">
        <f>IF(ISBLANK(S3083),"Intersection","Non-Intersection")</f>
        <v>Intersection</v>
      </c>
      <c r="Y3083" t="s">
        <v>604</v>
      </c>
      <c r="Z3083" t="str">
        <f t="shared" si="707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694"/>
        <v>40544</v>
      </c>
      <c r="D3084" s="4">
        <f t="shared" si="695"/>
        <v>0.9506849315068493</v>
      </c>
      <c r="E3084" s="3">
        <f t="shared" si="696"/>
        <v>2011</v>
      </c>
      <c r="F3084" s="3">
        <f t="shared" si="697"/>
        <v>12</v>
      </c>
      <c r="G3084" s="3">
        <f t="shared" si="698"/>
        <v>14</v>
      </c>
      <c r="H3084" s="3">
        <f t="shared" si="699"/>
        <v>2</v>
      </c>
      <c r="I3084" s="3">
        <f t="shared" si="700"/>
        <v>0</v>
      </c>
      <c r="J3084" s="3">
        <f t="shared" si="701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02"/>
        <v>YES</v>
      </c>
      <c r="Q3084" t="str">
        <f t="shared" si="703"/>
        <v>NO</v>
      </c>
      <c r="R3084" t="str">
        <f t="shared" si="704"/>
        <v>NO</v>
      </c>
      <c r="T3084" t="s">
        <v>1795</v>
      </c>
      <c r="U3084" t="str">
        <f t="shared" si="705"/>
        <v>Hews St</v>
      </c>
      <c r="V3084" t="s">
        <v>479</v>
      </c>
      <c r="W3084" t="str">
        <f t="shared" si="706"/>
        <v>Callender St</v>
      </c>
      <c r="X3084" t="str">
        <f>IF(ISBLANK(S3084),"Intersection","Non-Intersection")</f>
        <v>Intersection</v>
      </c>
      <c r="Y3084" t="s">
        <v>1796</v>
      </c>
      <c r="Z3084" t="str">
        <f t="shared" si="707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694"/>
        <v>40544</v>
      </c>
      <c r="D3085" s="4">
        <f t="shared" si="695"/>
        <v>0.9506849315068493</v>
      </c>
      <c r="E3085" s="3">
        <f t="shared" si="696"/>
        <v>2011</v>
      </c>
      <c r="F3085" s="3">
        <f t="shared" si="697"/>
        <v>12</v>
      </c>
      <c r="G3085" s="3">
        <f t="shared" si="698"/>
        <v>14</v>
      </c>
      <c r="H3085" s="3">
        <f t="shared" si="699"/>
        <v>11</v>
      </c>
      <c r="I3085" s="3">
        <f t="shared" si="700"/>
        <v>29</v>
      </c>
      <c r="J3085" s="3">
        <f t="shared" si="701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02"/>
        <v>YES</v>
      </c>
      <c r="Q3085" t="str">
        <f t="shared" si="703"/>
        <v>NO</v>
      </c>
      <c r="R3085" t="str">
        <f t="shared" si="704"/>
        <v>NO</v>
      </c>
      <c r="S3085">
        <v>725</v>
      </c>
      <c r="T3085" t="s">
        <v>186</v>
      </c>
      <c r="U3085" t="str">
        <f t="shared" si="705"/>
        <v>Concord Ave</v>
      </c>
      <c r="W3085" t="str">
        <f t="shared" si="706"/>
        <v/>
      </c>
      <c r="X3085" t="str">
        <f>IF(ISBLANK(S3085),"Intersection","Non-Intersection")</f>
        <v>Non-Intersection</v>
      </c>
      <c r="Y3085" t="s">
        <v>617</v>
      </c>
      <c r="Z3085" t="str">
        <f t="shared" si="707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694"/>
        <v>40544</v>
      </c>
      <c r="D3086" s="4">
        <f t="shared" si="695"/>
        <v>0.9506849315068493</v>
      </c>
      <c r="E3086" s="3">
        <f t="shared" si="696"/>
        <v>2011</v>
      </c>
      <c r="F3086" s="3">
        <f t="shared" si="697"/>
        <v>12</v>
      </c>
      <c r="G3086" s="3">
        <f t="shared" si="698"/>
        <v>14</v>
      </c>
      <c r="H3086" s="3">
        <f t="shared" si="699"/>
        <v>12</v>
      </c>
      <c r="I3086" s="3">
        <f t="shared" si="700"/>
        <v>0</v>
      </c>
      <c r="J3086" s="3">
        <f t="shared" si="701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02"/>
        <v>YES</v>
      </c>
      <c r="Q3086" t="str">
        <f t="shared" si="703"/>
        <v>NO</v>
      </c>
      <c r="R3086" t="str">
        <f t="shared" si="704"/>
        <v>YES</v>
      </c>
      <c r="S3086">
        <v>4</v>
      </c>
      <c r="T3086" t="s">
        <v>1492</v>
      </c>
      <c r="U3086" t="str">
        <f t="shared" si="705"/>
        <v>Exeter Park</v>
      </c>
      <c r="W3086" t="str">
        <f t="shared" si="706"/>
        <v/>
      </c>
      <c r="X3086" t="str">
        <f>IF(ISBLANK(S3086),"Intersection","Non-Intersection")</f>
        <v>Non-Intersection</v>
      </c>
      <c r="Y3086" t="s">
        <v>3584</v>
      </c>
      <c r="Z3086" t="str">
        <f t="shared" si="707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694"/>
        <v>40544</v>
      </c>
      <c r="D3087" s="4">
        <f t="shared" si="695"/>
        <v>0.9506849315068493</v>
      </c>
      <c r="E3087" s="3">
        <f t="shared" si="696"/>
        <v>2011</v>
      </c>
      <c r="F3087" s="3">
        <f t="shared" si="697"/>
        <v>12</v>
      </c>
      <c r="G3087" s="3">
        <f t="shared" si="698"/>
        <v>14</v>
      </c>
      <c r="H3087" s="3">
        <f t="shared" si="699"/>
        <v>12</v>
      </c>
      <c r="I3087" s="3">
        <f t="shared" si="700"/>
        <v>40</v>
      </c>
      <c r="J3087" s="3">
        <f t="shared" si="701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02"/>
        <v>YES</v>
      </c>
      <c r="Q3087" t="str">
        <f t="shared" si="703"/>
        <v>NO</v>
      </c>
      <c r="R3087" t="str">
        <f t="shared" si="704"/>
        <v>NO</v>
      </c>
      <c r="T3087" t="s">
        <v>37</v>
      </c>
      <c r="U3087" t="str">
        <f t="shared" si="705"/>
        <v>Magazine St</v>
      </c>
      <c r="V3087" t="s">
        <v>2007</v>
      </c>
      <c r="W3087" t="str">
        <f t="shared" si="706"/>
        <v>Glenwood Ave</v>
      </c>
      <c r="X3087" t="str">
        <f>IF(ISBLANK(S3087),"Intersection","Non-Intersection")</f>
        <v>Intersection</v>
      </c>
      <c r="Y3087" t="s">
        <v>4044</v>
      </c>
      <c r="Z3087" t="str">
        <f t="shared" si="707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694"/>
        <v>40544</v>
      </c>
      <c r="D3088" s="4">
        <f t="shared" si="695"/>
        <v>0.9506849315068493</v>
      </c>
      <c r="E3088" s="3">
        <f t="shared" si="696"/>
        <v>2011</v>
      </c>
      <c r="F3088" s="3">
        <f t="shared" si="697"/>
        <v>12</v>
      </c>
      <c r="G3088" s="3">
        <f t="shared" si="698"/>
        <v>14</v>
      </c>
      <c r="H3088" s="3">
        <f t="shared" si="699"/>
        <v>19</v>
      </c>
      <c r="I3088" s="3">
        <f t="shared" si="700"/>
        <v>34</v>
      </c>
      <c r="J3088" s="3">
        <f t="shared" si="701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02"/>
        <v>YES</v>
      </c>
      <c r="Q3088" t="str">
        <f t="shared" si="703"/>
        <v>YES</v>
      </c>
      <c r="R3088" t="str">
        <f t="shared" si="704"/>
        <v>NO</v>
      </c>
      <c r="S3088">
        <v>1430</v>
      </c>
      <c r="T3088" t="s">
        <v>14</v>
      </c>
      <c r="U3088" t="str">
        <f t="shared" si="705"/>
        <v>Massachusetts Ave</v>
      </c>
      <c r="V3088" t="s">
        <v>840</v>
      </c>
      <c r="W3088" t="str">
        <f t="shared" si="706"/>
        <v>Church St</v>
      </c>
      <c r="X3088" t="str">
        <f>IF(ISBLANK(S3088),"Intersection","Non-Intersection")</f>
        <v>Non-Intersection</v>
      </c>
      <c r="Y3088" t="s">
        <v>4046</v>
      </c>
      <c r="Z3088" t="str">
        <f t="shared" si="707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694"/>
        <v>40544</v>
      </c>
      <c r="D3089" s="4">
        <f t="shared" si="695"/>
        <v>0.95342465753424654</v>
      </c>
      <c r="E3089" s="3">
        <f t="shared" si="696"/>
        <v>2011</v>
      </c>
      <c r="F3089" s="3">
        <f t="shared" si="697"/>
        <v>12</v>
      </c>
      <c r="G3089" s="3">
        <f t="shared" si="698"/>
        <v>15</v>
      </c>
      <c r="H3089" s="3">
        <f t="shared" si="699"/>
        <v>8</v>
      </c>
      <c r="I3089" s="3">
        <f t="shared" si="700"/>
        <v>49</v>
      </c>
      <c r="J3089" s="3">
        <f t="shared" si="701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02"/>
        <v>YES</v>
      </c>
      <c r="Q3089" t="str">
        <f t="shared" si="703"/>
        <v>NO</v>
      </c>
      <c r="R3089" t="str">
        <f t="shared" si="704"/>
        <v>NO</v>
      </c>
      <c r="T3089" t="s">
        <v>198</v>
      </c>
      <c r="U3089" t="str">
        <f t="shared" si="705"/>
        <v>Mount Auburn St</v>
      </c>
      <c r="V3089" t="s">
        <v>710</v>
      </c>
      <c r="W3089" t="str">
        <f t="shared" si="706"/>
        <v>Fresh Pond Pky</v>
      </c>
      <c r="X3089" t="str">
        <f>IF(ISBLANK(S3089),"Intersection","Non-Intersection")</f>
        <v>Intersection</v>
      </c>
      <c r="Y3089" t="s">
        <v>4048</v>
      </c>
      <c r="Z3089" t="str">
        <f t="shared" si="707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694"/>
        <v>40544</v>
      </c>
      <c r="D3090" s="4">
        <f t="shared" si="695"/>
        <v>0.95342465753424654</v>
      </c>
      <c r="E3090" s="3">
        <f t="shared" si="696"/>
        <v>2011</v>
      </c>
      <c r="F3090" s="3">
        <f t="shared" si="697"/>
        <v>12</v>
      </c>
      <c r="G3090" s="3">
        <f t="shared" si="698"/>
        <v>15</v>
      </c>
      <c r="H3090" s="3">
        <f t="shared" si="699"/>
        <v>14</v>
      </c>
      <c r="I3090" s="3">
        <f t="shared" si="700"/>
        <v>10</v>
      </c>
      <c r="J3090" s="3">
        <f t="shared" si="701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02"/>
        <v>YES</v>
      </c>
      <c r="Q3090" t="str">
        <f t="shared" si="703"/>
        <v>NO</v>
      </c>
      <c r="R3090" t="str">
        <f t="shared" si="704"/>
        <v>NO</v>
      </c>
      <c r="T3090" t="s">
        <v>269</v>
      </c>
      <c r="U3090" t="str">
        <f t="shared" si="705"/>
        <v>Porter Sq</v>
      </c>
      <c r="W3090" t="str">
        <f t="shared" si="706"/>
        <v/>
      </c>
      <c r="X3090" t="str">
        <f>IF(ISBLANK(S3090),"Intersection","Non-Intersection")</f>
        <v>Intersection</v>
      </c>
      <c r="Y3090" t="s">
        <v>923</v>
      </c>
      <c r="Z3090" t="str">
        <f t="shared" si="707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694"/>
        <v>40544</v>
      </c>
      <c r="D3091" s="4">
        <f t="shared" si="695"/>
        <v>0.95342465753424654</v>
      </c>
      <c r="E3091" s="3">
        <f t="shared" si="696"/>
        <v>2011</v>
      </c>
      <c r="F3091" s="3">
        <f t="shared" si="697"/>
        <v>12</v>
      </c>
      <c r="G3091" s="3">
        <f t="shared" si="698"/>
        <v>15</v>
      </c>
      <c r="H3091" s="3">
        <f t="shared" si="699"/>
        <v>19</v>
      </c>
      <c r="I3091" s="3">
        <f t="shared" si="700"/>
        <v>5</v>
      </c>
      <c r="J3091" s="3">
        <f t="shared" si="701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02"/>
        <v>YES</v>
      </c>
      <c r="Q3091" t="str">
        <f t="shared" si="703"/>
        <v>NO</v>
      </c>
      <c r="R3091" t="str">
        <f t="shared" si="704"/>
        <v>NO</v>
      </c>
      <c r="S3091">
        <v>35</v>
      </c>
      <c r="T3091" t="s">
        <v>268</v>
      </c>
      <c r="U3091" t="str">
        <f t="shared" si="705"/>
        <v>White St</v>
      </c>
      <c r="W3091" t="str">
        <f t="shared" si="706"/>
        <v/>
      </c>
      <c r="X3091" t="str">
        <f>IF(ISBLANK(S3091),"Intersection","Non-Intersection")</f>
        <v>Non-Intersection</v>
      </c>
      <c r="Y3091" t="s">
        <v>933</v>
      </c>
      <c r="Z3091" t="str">
        <f t="shared" si="707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694"/>
        <v>40544</v>
      </c>
      <c r="D3092" s="4">
        <f t="shared" si="695"/>
        <v>0.95342465753424654</v>
      </c>
      <c r="E3092" s="3">
        <f t="shared" si="696"/>
        <v>2011</v>
      </c>
      <c r="F3092" s="3">
        <f t="shared" si="697"/>
        <v>12</v>
      </c>
      <c r="G3092" s="3">
        <f t="shared" si="698"/>
        <v>15</v>
      </c>
      <c r="H3092" s="3">
        <f t="shared" si="699"/>
        <v>19</v>
      </c>
      <c r="I3092" s="3">
        <f t="shared" si="700"/>
        <v>15</v>
      </c>
      <c r="J3092" s="3">
        <f t="shared" si="701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02"/>
        <v>YES</v>
      </c>
      <c r="Q3092" t="str">
        <f t="shared" si="703"/>
        <v>NO</v>
      </c>
      <c r="R3092" t="str">
        <f t="shared" si="704"/>
        <v>NO</v>
      </c>
      <c r="S3092">
        <v>459</v>
      </c>
      <c r="T3092" t="s">
        <v>105</v>
      </c>
      <c r="U3092" t="str">
        <f t="shared" si="705"/>
        <v>Broadway</v>
      </c>
      <c r="W3092" t="str">
        <f t="shared" si="706"/>
        <v/>
      </c>
      <c r="X3092" t="str">
        <f>IF(ISBLANK(S3092),"Intersection","Non-Intersection")</f>
        <v>Non-Intersection</v>
      </c>
      <c r="Y3092" t="s">
        <v>1893</v>
      </c>
      <c r="Z3092" t="str">
        <f t="shared" si="707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694"/>
        <v>40544</v>
      </c>
      <c r="D3093" s="4">
        <f t="shared" si="695"/>
        <v>0.95342465753424654</v>
      </c>
      <c r="E3093" s="3">
        <f t="shared" si="696"/>
        <v>2011</v>
      </c>
      <c r="F3093" s="3">
        <f t="shared" si="697"/>
        <v>12</v>
      </c>
      <c r="G3093" s="3">
        <f t="shared" si="698"/>
        <v>15</v>
      </c>
      <c r="H3093" s="3">
        <f t="shared" si="699"/>
        <v>19</v>
      </c>
      <c r="I3093" s="3">
        <f t="shared" si="700"/>
        <v>30</v>
      </c>
      <c r="J3093" s="3">
        <f t="shared" si="701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02"/>
        <v>YES</v>
      </c>
      <c r="Q3093" t="str">
        <f t="shared" si="703"/>
        <v>NO</v>
      </c>
      <c r="R3093" t="str">
        <f t="shared" si="704"/>
        <v>YES</v>
      </c>
      <c r="T3093" t="s">
        <v>32</v>
      </c>
      <c r="U3093" t="str">
        <f t="shared" si="705"/>
        <v>Main St</v>
      </c>
      <c r="V3093" t="s">
        <v>79</v>
      </c>
      <c r="W3093" t="str">
        <f t="shared" si="706"/>
        <v>Ames St</v>
      </c>
      <c r="X3093" t="str">
        <f>IF(ISBLANK(S3093),"Intersection","Non-Intersection")</f>
        <v>Intersection</v>
      </c>
      <c r="Y3093" t="s">
        <v>4050</v>
      </c>
      <c r="Z3093" t="str">
        <f t="shared" si="707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694"/>
        <v>40544</v>
      </c>
      <c r="D3094" s="4">
        <f t="shared" si="695"/>
        <v>0.95342465753424654</v>
      </c>
      <c r="E3094" s="3">
        <f t="shared" si="696"/>
        <v>2011</v>
      </c>
      <c r="F3094" s="3">
        <f t="shared" si="697"/>
        <v>12</v>
      </c>
      <c r="G3094" s="3">
        <f t="shared" si="698"/>
        <v>15</v>
      </c>
      <c r="H3094" s="3">
        <f t="shared" si="699"/>
        <v>21</v>
      </c>
      <c r="I3094" s="3">
        <f t="shared" si="700"/>
        <v>0</v>
      </c>
      <c r="J3094" s="3">
        <f t="shared" si="701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02"/>
        <v>YES</v>
      </c>
      <c r="Q3094" t="str">
        <f t="shared" si="703"/>
        <v>NO</v>
      </c>
      <c r="R3094" t="str">
        <f t="shared" si="704"/>
        <v>NO</v>
      </c>
      <c r="S3094">
        <v>2362</v>
      </c>
      <c r="T3094" t="s">
        <v>14</v>
      </c>
      <c r="U3094" t="str">
        <f t="shared" si="705"/>
        <v>Massachusetts Ave</v>
      </c>
      <c r="W3094" t="str">
        <f t="shared" si="706"/>
        <v/>
      </c>
      <c r="X3094" t="str">
        <f>IF(ISBLANK(S3094),"Intersection","Non-Intersection")</f>
        <v>Non-Intersection</v>
      </c>
      <c r="Y3094" t="s">
        <v>4051</v>
      </c>
      <c r="Z3094" t="str">
        <f t="shared" si="707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694"/>
        <v>40544</v>
      </c>
      <c r="D3095" s="4">
        <f t="shared" si="695"/>
        <v>0.95616438356164379</v>
      </c>
      <c r="E3095" s="3">
        <f t="shared" si="696"/>
        <v>2011</v>
      </c>
      <c r="F3095" s="3">
        <f t="shared" si="697"/>
        <v>12</v>
      </c>
      <c r="G3095" s="3">
        <f t="shared" si="698"/>
        <v>16</v>
      </c>
      <c r="H3095" s="3">
        <f t="shared" si="699"/>
        <v>9</v>
      </c>
      <c r="I3095" s="3">
        <f t="shared" si="700"/>
        <v>49</v>
      </c>
      <c r="J3095" s="3">
        <f t="shared" si="701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02"/>
        <v>YES</v>
      </c>
      <c r="Q3095" t="str">
        <f t="shared" si="703"/>
        <v>NO</v>
      </c>
      <c r="R3095" t="str">
        <f t="shared" si="704"/>
        <v>NO</v>
      </c>
      <c r="T3095" t="s">
        <v>185</v>
      </c>
      <c r="U3095" t="str">
        <f t="shared" si="705"/>
        <v>Garden St</v>
      </c>
      <c r="V3095" t="s">
        <v>14</v>
      </c>
      <c r="W3095" t="str">
        <f t="shared" si="706"/>
        <v>Massachusetts Ave</v>
      </c>
      <c r="X3095" t="str">
        <f>IF(ISBLANK(S3095),"Intersection","Non-Intersection")</f>
        <v>Intersection</v>
      </c>
      <c r="Y3095" t="s">
        <v>1003</v>
      </c>
      <c r="Z3095" t="str">
        <f t="shared" si="707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694"/>
        <v>40544</v>
      </c>
      <c r="D3096" s="4">
        <f t="shared" si="695"/>
        <v>0.95616438356164379</v>
      </c>
      <c r="E3096" s="3">
        <f t="shared" si="696"/>
        <v>2011</v>
      </c>
      <c r="F3096" s="3">
        <f t="shared" si="697"/>
        <v>12</v>
      </c>
      <c r="G3096" s="3">
        <f t="shared" si="698"/>
        <v>16</v>
      </c>
      <c r="H3096" s="3">
        <f t="shared" si="699"/>
        <v>9</v>
      </c>
      <c r="I3096" s="3">
        <f t="shared" si="700"/>
        <v>4</v>
      </c>
      <c r="J3096" s="3">
        <f t="shared" si="701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02"/>
        <v>YES</v>
      </c>
      <c r="Q3096" t="str">
        <f t="shared" si="703"/>
        <v>NO</v>
      </c>
      <c r="R3096" t="str">
        <f t="shared" si="704"/>
        <v>NO</v>
      </c>
      <c r="S3096">
        <v>24</v>
      </c>
      <c r="T3096" t="s">
        <v>3409</v>
      </c>
      <c r="U3096" t="str">
        <f t="shared" si="705"/>
        <v>Locke St</v>
      </c>
      <c r="W3096" t="str">
        <f t="shared" si="706"/>
        <v/>
      </c>
      <c r="X3096" t="str">
        <f>IF(ISBLANK(S3096),"Intersection","Non-Intersection")</f>
        <v>Non-Intersection</v>
      </c>
      <c r="Y3096" t="s">
        <v>4053</v>
      </c>
      <c r="Z3096" t="str">
        <f t="shared" si="707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694"/>
        <v>40544</v>
      </c>
      <c r="D3097" s="4">
        <f t="shared" si="695"/>
        <v>0.95616438356164379</v>
      </c>
      <c r="E3097" s="3">
        <f t="shared" si="696"/>
        <v>2011</v>
      </c>
      <c r="F3097" s="3">
        <f t="shared" si="697"/>
        <v>12</v>
      </c>
      <c r="G3097" s="3">
        <f t="shared" si="698"/>
        <v>16</v>
      </c>
      <c r="H3097" s="3">
        <f t="shared" si="699"/>
        <v>19</v>
      </c>
      <c r="I3097" s="3">
        <f t="shared" si="700"/>
        <v>18</v>
      </c>
      <c r="J3097" s="3">
        <f t="shared" si="701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02"/>
        <v>YES</v>
      </c>
      <c r="Q3097" t="str">
        <f t="shared" si="703"/>
        <v>NO</v>
      </c>
      <c r="R3097" t="str">
        <f t="shared" si="704"/>
        <v>NO</v>
      </c>
      <c r="T3097" t="s">
        <v>209</v>
      </c>
      <c r="U3097" t="str">
        <f t="shared" si="705"/>
        <v>Binney St</v>
      </c>
      <c r="V3097" t="s">
        <v>260</v>
      </c>
      <c r="W3097" t="str">
        <f t="shared" si="706"/>
        <v>Third St</v>
      </c>
      <c r="X3097" t="str">
        <f>IF(ISBLANK(S3097),"Intersection","Non-Intersection")</f>
        <v>Intersection</v>
      </c>
      <c r="Y3097" t="s">
        <v>531</v>
      </c>
      <c r="Z3097" t="str">
        <f t="shared" si="707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694"/>
        <v>40544</v>
      </c>
      <c r="D3098" s="4">
        <f t="shared" si="695"/>
        <v>0.95616438356164379</v>
      </c>
      <c r="E3098" s="3">
        <f t="shared" si="696"/>
        <v>2011</v>
      </c>
      <c r="F3098" s="3">
        <f t="shared" si="697"/>
        <v>12</v>
      </c>
      <c r="G3098" s="3">
        <f t="shared" si="698"/>
        <v>16</v>
      </c>
      <c r="H3098" s="3">
        <f t="shared" si="699"/>
        <v>18</v>
      </c>
      <c r="I3098" s="3">
        <f t="shared" si="700"/>
        <v>4</v>
      </c>
      <c r="J3098" s="3">
        <f t="shared" si="701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02"/>
        <v>YES</v>
      </c>
      <c r="Q3098" t="str">
        <f t="shared" si="703"/>
        <v>NO</v>
      </c>
      <c r="R3098" t="str">
        <f t="shared" si="704"/>
        <v>NO</v>
      </c>
      <c r="T3098" t="s">
        <v>288</v>
      </c>
      <c r="U3098" t="str">
        <f t="shared" si="705"/>
        <v>Galileo Galilei Way</v>
      </c>
      <c r="V3098" t="s">
        <v>32</v>
      </c>
      <c r="W3098" t="str">
        <f t="shared" si="706"/>
        <v>Main St</v>
      </c>
      <c r="X3098" t="str">
        <f>IF(ISBLANK(S3098),"Intersection","Non-Intersection")</f>
        <v>Intersection</v>
      </c>
      <c r="Y3098" t="s">
        <v>1281</v>
      </c>
      <c r="Z3098" t="str">
        <f t="shared" si="707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694"/>
        <v>40544</v>
      </c>
      <c r="D3099" s="4">
        <f t="shared" si="695"/>
        <v>0.95616438356164379</v>
      </c>
      <c r="E3099" s="3">
        <f t="shared" si="696"/>
        <v>2011</v>
      </c>
      <c r="F3099" s="3">
        <f t="shared" si="697"/>
        <v>12</v>
      </c>
      <c r="G3099" s="3">
        <f t="shared" si="698"/>
        <v>16</v>
      </c>
      <c r="H3099" s="3">
        <f t="shared" si="699"/>
        <v>17</v>
      </c>
      <c r="I3099" s="3">
        <f t="shared" si="700"/>
        <v>10</v>
      </c>
      <c r="J3099" s="3">
        <f t="shared" si="701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02"/>
        <v>YES</v>
      </c>
      <c r="Q3099" t="str">
        <f t="shared" si="703"/>
        <v>NO</v>
      </c>
      <c r="R3099" t="str">
        <f t="shared" si="704"/>
        <v>NO</v>
      </c>
      <c r="T3099" t="s">
        <v>288</v>
      </c>
      <c r="U3099" t="str">
        <f t="shared" si="705"/>
        <v>Galileo Galilei Way</v>
      </c>
      <c r="V3099" t="s">
        <v>32</v>
      </c>
      <c r="W3099" t="str">
        <f t="shared" si="706"/>
        <v>Main St</v>
      </c>
      <c r="X3099" t="str">
        <f>IF(ISBLANK(S3099),"Intersection","Non-Intersection")</f>
        <v>Intersection</v>
      </c>
      <c r="Y3099" t="s">
        <v>1281</v>
      </c>
      <c r="Z3099" t="str">
        <f t="shared" si="707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694"/>
        <v>40544</v>
      </c>
      <c r="D3100" s="4">
        <f t="shared" si="695"/>
        <v>0.95616438356164379</v>
      </c>
      <c r="E3100" s="3">
        <f t="shared" si="696"/>
        <v>2011</v>
      </c>
      <c r="F3100" s="3">
        <f t="shared" si="697"/>
        <v>12</v>
      </c>
      <c r="G3100" s="3">
        <f t="shared" si="698"/>
        <v>16</v>
      </c>
      <c r="H3100" s="3">
        <f t="shared" si="699"/>
        <v>16</v>
      </c>
      <c r="I3100" s="3">
        <f t="shared" si="700"/>
        <v>24</v>
      </c>
      <c r="J3100" s="3">
        <f t="shared" si="701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02"/>
        <v>YES</v>
      </c>
      <c r="Q3100" t="str">
        <f t="shared" si="703"/>
        <v>YES</v>
      </c>
      <c r="R3100" t="str">
        <f t="shared" si="704"/>
        <v>NO</v>
      </c>
      <c r="T3100" t="s">
        <v>32</v>
      </c>
      <c r="U3100" t="str">
        <f t="shared" si="705"/>
        <v>Main St</v>
      </c>
      <c r="V3100" t="s">
        <v>202</v>
      </c>
      <c r="W3100" t="str">
        <f t="shared" si="706"/>
        <v>Vassar St</v>
      </c>
      <c r="X3100" t="str">
        <f>IF(ISBLANK(S3100),"Intersection","Non-Intersection")</f>
        <v>Intersection</v>
      </c>
      <c r="Y3100" t="s">
        <v>772</v>
      </c>
      <c r="Z3100" t="str">
        <f t="shared" si="707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694"/>
        <v>40544</v>
      </c>
      <c r="D3101" s="4">
        <f t="shared" si="695"/>
        <v>0.95890410958904104</v>
      </c>
      <c r="E3101" s="3">
        <f t="shared" si="696"/>
        <v>2011</v>
      </c>
      <c r="F3101" s="3">
        <f t="shared" si="697"/>
        <v>12</v>
      </c>
      <c r="G3101" s="3">
        <f t="shared" si="698"/>
        <v>17</v>
      </c>
      <c r="H3101" s="3">
        <f t="shared" si="699"/>
        <v>13</v>
      </c>
      <c r="I3101" s="3">
        <f t="shared" si="700"/>
        <v>34</v>
      </c>
      <c r="J3101" s="3">
        <f t="shared" si="701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02"/>
        <v>YES</v>
      </c>
      <c r="Q3101" t="str">
        <f t="shared" si="703"/>
        <v>NO</v>
      </c>
      <c r="R3101" t="str">
        <f t="shared" si="704"/>
        <v>NO</v>
      </c>
      <c r="S3101">
        <v>1688</v>
      </c>
      <c r="T3101" t="s">
        <v>14</v>
      </c>
      <c r="U3101" t="str">
        <f t="shared" si="705"/>
        <v>Massachusetts Ave</v>
      </c>
      <c r="W3101" t="str">
        <f t="shared" si="706"/>
        <v/>
      </c>
      <c r="X3101" t="str">
        <f>IF(ISBLANK(S3101),"Intersection","Non-Intersection")</f>
        <v>Non-Intersection</v>
      </c>
      <c r="Y3101" t="s">
        <v>4055</v>
      </c>
      <c r="Z3101" t="str">
        <f t="shared" si="707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694"/>
        <v>40544</v>
      </c>
      <c r="D3102" s="4">
        <f t="shared" si="695"/>
        <v>0.9616438356164384</v>
      </c>
      <c r="E3102" s="3">
        <f t="shared" si="696"/>
        <v>2011</v>
      </c>
      <c r="F3102" s="3">
        <f t="shared" si="697"/>
        <v>12</v>
      </c>
      <c r="G3102" s="3">
        <f t="shared" si="698"/>
        <v>18</v>
      </c>
      <c r="H3102" s="3">
        <f t="shared" si="699"/>
        <v>3</v>
      </c>
      <c r="I3102" s="3">
        <f t="shared" si="700"/>
        <v>14</v>
      </c>
      <c r="J3102" s="3">
        <f t="shared" si="701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02"/>
        <v>YES</v>
      </c>
      <c r="Q3102" t="str">
        <f t="shared" si="703"/>
        <v>NO</v>
      </c>
      <c r="R3102" t="str">
        <f t="shared" si="704"/>
        <v>NO</v>
      </c>
      <c r="T3102" t="s">
        <v>209</v>
      </c>
      <c r="U3102" t="str">
        <f t="shared" si="705"/>
        <v>Binney St</v>
      </c>
      <c r="V3102" t="s">
        <v>260</v>
      </c>
      <c r="W3102" t="str">
        <f t="shared" si="706"/>
        <v>Third St</v>
      </c>
      <c r="X3102" t="str">
        <f>IF(ISBLANK(S3102),"Intersection","Non-Intersection")</f>
        <v>Intersection</v>
      </c>
      <c r="Y3102" t="s">
        <v>531</v>
      </c>
      <c r="Z3102" t="str">
        <f t="shared" si="707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694"/>
        <v>40544</v>
      </c>
      <c r="D3103" s="4">
        <f t="shared" si="695"/>
        <v>0.9616438356164384</v>
      </c>
      <c r="E3103" s="3">
        <f t="shared" si="696"/>
        <v>2011</v>
      </c>
      <c r="F3103" s="3">
        <f t="shared" si="697"/>
        <v>12</v>
      </c>
      <c r="G3103" s="3">
        <f t="shared" si="698"/>
        <v>18</v>
      </c>
      <c r="H3103" s="3">
        <f t="shared" si="699"/>
        <v>2</v>
      </c>
      <c r="I3103" s="3">
        <f t="shared" si="700"/>
        <v>49</v>
      </c>
      <c r="J3103" s="3">
        <f t="shared" si="701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02"/>
        <v>YES</v>
      </c>
      <c r="Q3103" t="str">
        <f t="shared" si="703"/>
        <v>NO</v>
      </c>
      <c r="R3103" t="str">
        <f t="shared" si="704"/>
        <v>NO</v>
      </c>
      <c r="T3103" t="s">
        <v>105</v>
      </c>
      <c r="U3103" t="str">
        <f t="shared" si="705"/>
        <v>Broadway</v>
      </c>
      <c r="V3103" t="s">
        <v>134</v>
      </c>
      <c r="W3103" t="str">
        <f t="shared" si="706"/>
        <v>Quincy St</v>
      </c>
      <c r="X3103" t="str">
        <f>IF(ISBLANK(S3103),"Intersection","Non-Intersection")</f>
        <v>Intersection</v>
      </c>
      <c r="Y3103" t="s">
        <v>838</v>
      </c>
      <c r="Z3103" t="str">
        <f t="shared" si="707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694"/>
        <v>40544</v>
      </c>
      <c r="D3104" s="4">
        <f t="shared" si="695"/>
        <v>0.9616438356164384</v>
      </c>
      <c r="E3104" s="3">
        <f t="shared" si="696"/>
        <v>2011</v>
      </c>
      <c r="F3104" s="3">
        <f t="shared" si="697"/>
        <v>12</v>
      </c>
      <c r="G3104" s="3">
        <f t="shared" si="698"/>
        <v>18</v>
      </c>
      <c r="H3104" s="3">
        <f t="shared" si="699"/>
        <v>13</v>
      </c>
      <c r="I3104" s="3">
        <f t="shared" si="700"/>
        <v>50</v>
      </c>
      <c r="J3104" s="3">
        <f t="shared" si="701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02"/>
        <v>YES</v>
      </c>
      <c r="Q3104" t="str">
        <f t="shared" si="703"/>
        <v>NO</v>
      </c>
      <c r="R3104" t="str">
        <f t="shared" si="704"/>
        <v>NO</v>
      </c>
      <c r="T3104" t="s">
        <v>97</v>
      </c>
      <c r="U3104" t="str">
        <f t="shared" si="705"/>
        <v>Peabody St</v>
      </c>
      <c r="V3104" t="s">
        <v>14</v>
      </c>
      <c r="W3104" t="str">
        <f t="shared" si="706"/>
        <v>Massachusetts Ave</v>
      </c>
      <c r="X3104" t="str">
        <f>IF(ISBLANK(S3104),"Intersection","Non-Intersection")</f>
        <v>Intersection</v>
      </c>
      <c r="Y3104" t="s">
        <v>98</v>
      </c>
      <c r="Z3104" t="str">
        <f t="shared" si="707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694"/>
        <v>40544</v>
      </c>
      <c r="D3105" s="4">
        <f t="shared" si="695"/>
        <v>0.9616438356164384</v>
      </c>
      <c r="E3105" s="3">
        <f t="shared" si="696"/>
        <v>2011</v>
      </c>
      <c r="F3105" s="3">
        <f t="shared" si="697"/>
        <v>12</v>
      </c>
      <c r="G3105" s="3">
        <f t="shared" si="698"/>
        <v>18</v>
      </c>
      <c r="H3105" s="3">
        <f t="shared" si="699"/>
        <v>13</v>
      </c>
      <c r="I3105" s="3">
        <f t="shared" si="700"/>
        <v>30</v>
      </c>
      <c r="J3105" s="3">
        <f t="shared" si="701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02"/>
        <v>YES</v>
      </c>
      <c r="Q3105" t="str">
        <f t="shared" si="703"/>
        <v>NO</v>
      </c>
      <c r="R3105" t="str">
        <f t="shared" si="704"/>
        <v>NO</v>
      </c>
      <c r="T3105" t="s">
        <v>509</v>
      </c>
      <c r="U3105" t="str">
        <f t="shared" si="705"/>
        <v>Green St</v>
      </c>
      <c r="V3105" t="s">
        <v>2240</v>
      </c>
      <c r="W3105" t="str">
        <f t="shared" si="706"/>
        <v>Bay St</v>
      </c>
      <c r="X3105" t="str">
        <f>IF(ISBLANK(S3105),"Intersection","Non-Intersection")</f>
        <v>Intersection</v>
      </c>
      <c r="Y3105" t="s">
        <v>4057</v>
      </c>
      <c r="Z3105" t="str">
        <f t="shared" si="707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694"/>
        <v>40544</v>
      </c>
      <c r="D3106" s="4">
        <f t="shared" si="695"/>
        <v>0.96438356164383565</v>
      </c>
      <c r="E3106" s="3">
        <f t="shared" si="696"/>
        <v>2011</v>
      </c>
      <c r="F3106" s="3">
        <f t="shared" si="697"/>
        <v>12</v>
      </c>
      <c r="G3106" s="3">
        <f t="shared" si="698"/>
        <v>19</v>
      </c>
      <c r="H3106" s="3">
        <f t="shared" si="699"/>
        <v>10</v>
      </c>
      <c r="I3106" s="3">
        <f t="shared" si="700"/>
        <v>9</v>
      </c>
      <c r="J3106" s="3">
        <f t="shared" si="701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02"/>
        <v>YES</v>
      </c>
      <c r="Q3106" t="str">
        <f t="shared" si="703"/>
        <v>NO</v>
      </c>
      <c r="R3106" t="str">
        <f t="shared" si="704"/>
        <v>NO</v>
      </c>
      <c r="T3106" t="s">
        <v>105</v>
      </c>
      <c r="U3106" t="str">
        <f t="shared" si="705"/>
        <v>Broadway</v>
      </c>
      <c r="V3106" t="s">
        <v>796</v>
      </c>
      <c r="W3106" t="str">
        <f t="shared" si="706"/>
        <v>Portland St</v>
      </c>
      <c r="X3106" t="str">
        <f>IF(ISBLANK(S3106),"Intersection","Non-Intersection")</f>
        <v>Intersection</v>
      </c>
      <c r="Y3106" t="s">
        <v>2561</v>
      </c>
      <c r="Z3106" t="str">
        <f t="shared" si="707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694"/>
        <v>40544</v>
      </c>
      <c r="D3107" s="4">
        <f t="shared" si="695"/>
        <v>0.96438356164383565</v>
      </c>
      <c r="E3107" s="3">
        <f t="shared" si="696"/>
        <v>2011</v>
      </c>
      <c r="F3107" s="3">
        <f t="shared" si="697"/>
        <v>12</v>
      </c>
      <c r="G3107" s="3">
        <f t="shared" si="698"/>
        <v>19</v>
      </c>
      <c r="H3107" s="3">
        <f t="shared" si="699"/>
        <v>16</v>
      </c>
      <c r="I3107" s="3">
        <f t="shared" si="700"/>
        <v>50</v>
      </c>
      <c r="J3107" s="3">
        <f t="shared" si="701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02"/>
        <v>YES</v>
      </c>
      <c r="Q3107" t="str">
        <f t="shared" si="703"/>
        <v>NO</v>
      </c>
      <c r="R3107" t="str">
        <f t="shared" si="704"/>
        <v>NO</v>
      </c>
      <c r="S3107">
        <v>722</v>
      </c>
      <c r="T3107" t="s">
        <v>19</v>
      </c>
      <c r="U3107" t="str">
        <f t="shared" si="705"/>
        <v>Cambridge St</v>
      </c>
      <c r="W3107" t="str">
        <f t="shared" si="706"/>
        <v/>
      </c>
      <c r="X3107" t="str">
        <f>IF(ISBLANK(S3107),"Intersection","Non-Intersection")</f>
        <v>Non-Intersection</v>
      </c>
      <c r="Y3107" t="s">
        <v>4059</v>
      </c>
      <c r="Z3107" t="str">
        <f t="shared" si="707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694"/>
        <v>40544</v>
      </c>
      <c r="D3108" s="4">
        <f t="shared" si="695"/>
        <v>0.96438356164383565</v>
      </c>
      <c r="E3108" s="3">
        <f t="shared" si="696"/>
        <v>2011</v>
      </c>
      <c r="F3108" s="3">
        <f t="shared" si="697"/>
        <v>12</v>
      </c>
      <c r="G3108" s="3">
        <f t="shared" si="698"/>
        <v>19</v>
      </c>
      <c r="H3108" s="3">
        <f t="shared" si="699"/>
        <v>21</v>
      </c>
      <c r="I3108" s="3">
        <f t="shared" si="700"/>
        <v>30</v>
      </c>
      <c r="J3108" s="3">
        <f t="shared" si="701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02"/>
        <v>YES</v>
      </c>
      <c r="Q3108" t="str">
        <f t="shared" si="703"/>
        <v>NO</v>
      </c>
      <c r="R3108" t="str">
        <f t="shared" si="704"/>
        <v>NO</v>
      </c>
      <c r="T3108" t="s">
        <v>19</v>
      </c>
      <c r="U3108" t="str">
        <f t="shared" si="705"/>
        <v>Cambridge St</v>
      </c>
      <c r="V3108" t="s">
        <v>189</v>
      </c>
      <c r="W3108" t="str">
        <f t="shared" si="706"/>
        <v>Windsor St</v>
      </c>
      <c r="X3108" t="str">
        <f>IF(ISBLANK(S3108),"Intersection","Non-Intersection")</f>
        <v>Intersection</v>
      </c>
      <c r="Y3108" t="s">
        <v>244</v>
      </c>
      <c r="Z3108" t="str">
        <f t="shared" si="707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694"/>
        <v>40544</v>
      </c>
      <c r="D3109" s="4">
        <f t="shared" si="695"/>
        <v>0.96438356164383565</v>
      </c>
      <c r="E3109" s="3">
        <f t="shared" si="696"/>
        <v>2011</v>
      </c>
      <c r="F3109" s="3">
        <f t="shared" si="697"/>
        <v>12</v>
      </c>
      <c r="G3109" s="3">
        <f t="shared" si="698"/>
        <v>19</v>
      </c>
      <c r="H3109" s="3">
        <f t="shared" si="699"/>
        <v>16</v>
      </c>
      <c r="I3109" s="3">
        <f t="shared" si="700"/>
        <v>44</v>
      </c>
      <c r="J3109" s="3">
        <f t="shared" si="701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02"/>
        <v>YES</v>
      </c>
      <c r="Q3109" t="str">
        <f t="shared" si="703"/>
        <v>NO</v>
      </c>
      <c r="R3109" t="str">
        <f t="shared" si="704"/>
        <v>NO</v>
      </c>
      <c r="T3109" t="s">
        <v>2245</v>
      </c>
      <c r="U3109" t="str">
        <f t="shared" si="705"/>
        <v>Brookline Pl</v>
      </c>
      <c r="V3109" t="s">
        <v>4061</v>
      </c>
      <c r="W3109" t="str">
        <f t="shared" si="706"/>
        <v>Pilgrim St</v>
      </c>
      <c r="X3109" t="str">
        <f>IF(ISBLANK(S3109),"Intersection","Non-Intersection")</f>
        <v>Intersection</v>
      </c>
      <c r="Y3109" t="s">
        <v>4062</v>
      </c>
      <c r="Z3109" t="str">
        <f t="shared" si="707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694"/>
        <v>40544</v>
      </c>
      <c r="D3110" s="4">
        <f t="shared" si="695"/>
        <v>0.96438356164383565</v>
      </c>
      <c r="E3110" s="3">
        <f t="shared" si="696"/>
        <v>2011</v>
      </c>
      <c r="F3110" s="3">
        <f t="shared" si="697"/>
        <v>12</v>
      </c>
      <c r="G3110" s="3">
        <f t="shared" si="698"/>
        <v>19</v>
      </c>
      <c r="H3110" s="3">
        <f t="shared" si="699"/>
        <v>12</v>
      </c>
      <c r="I3110" s="3">
        <f t="shared" si="700"/>
        <v>45</v>
      </c>
      <c r="J3110" s="3">
        <f t="shared" si="701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02"/>
        <v>YES</v>
      </c>
      <c r="Q3110" t="str">
        <f t="shared" si="703"/>
        <v>NO</v>
      </c>
      <c r="R3110" t="str">
        <f t="shared" si="704"/>
        <v>NO</v>
      </c>
      <c r="S3110">
        <v>125</v>
      </c>
      <c r="T3110" t="s">
        <v>195</v>
      </c>
      <c r="U3110" t="str">
        <f t="shared" si="705"/>
        <v>Sidney St</v>
      </c>
      <c r="W3110" t="str">
        <f t="shared" si="706"/>
        <v/>
      </c>
      <c r="X3110" t="str">
        <f>IF(ISBLANK(S3110),"Intersection","Non-Intersection")</f>
        <v>Non-Intersection</v>
      </c>
      <c r="Y3110" t="s">
        <v>3137</v>
      </c>
      <c r="Z3110" t="str">
        <f t="shared" si="707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694"/>
        <v>40544</v>
      </c>
      <c r="D3111" s="4">
        <f t="shared" si="695"/>
        <v>0.96438356164383565</v>
      </c>
      <c r="E3111" s="3">
        <f t="shared" si="696"/>
        <v>2011</v>
      </c>
      <c r="F3111" s="3">
        <f t="shared" si="697"/>
        <v>12</v>
      </c>
      <c r="G3111" s="3">
        <f t="shared" si="698"/>
        <v>19</v>
      </c>
      <c r="H3111" s="3">
        <f t="shared" si="699"/>
        <v>12</v>
      </c>
      <c r="I3111" s="3">
        <f t="shared" si="700"/>
        <v>59</v>
      </c>
      <c r="J3111" s="3">
        <f t="shared" si="701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02"/>
        <v>YES</v>
      </c>
      <c r="Q3111" t="str">
        <f t="shared" si="703"/>
        <v>NO</v>
      </c>
      <c r="R3111" t="str">
        <f t="shared" si="704"/>
        <v>NO</v>
      </c>
      <c r="T3111" t="s">
        <v>14</v>
      </c>
      <c r="U3111" t="str">
        <f t="shared" si="705"/>
        <v>Massachusetts Ave</v>
      </c>
      <c r="V3111" t="s">
        <v>2158</v>
      </c>
      <c r="W3111" t="str">
        <f t="shared" si="706"/>
        <v>Lee St</v>
      </c>
      <c r="X3111" t="str">
        <f>IF(ISBLANK(S3111),"Intersection","Non-Intersection")</f>
        <v>Intersection</v>
      </c>
      <c r="Y3111" t="s">
        <v>4064</v>
      </c>
      <c r="Z3111" t="str">
        <f t="shared" si="707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694"/>
        <v>40544</v>
      </c>
      <c r="D3112" s="4">
        <f t="shared" si="695"/>
        <v>0.96438356164383565</v>
      </c>
      <c r="E3112" s="3">
        <f t="shared" si="696"/>
        <v>2011</v>
      </c>
      <c r="F3112" s="3">
        <f t="shared" si="697"/>
        <v>12</v>
      </c>
      <c r="G3112" s="3">
        <f t="shared" si="698"/>
        <v>19</v>
      </c>
      <c r="H3112" s="3">
        <f t="shared" si="699"/>
        <v>11</v>
      </c>
      <c r="I3112" s="3">
        <f t="shared" si="700"/>
        <v>39</v>
      </c>
      <c r="J3112" s="3">
        <f t="shared" si="701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02"/>
        <v>YES</v>
      </c>
      <c r="Q3112" t="str">
        <f t="shared" si="703"/>
        <v>NO</v>
      </c>
      <c r="R3112" t="str">
        <f t="shared" si="704"/>
        <v>NO</v>
      </c>
      <c r="T3112" t="s">
        <v>203</v>
      </c>
      <c r="U3112" t="str">
        <f t="shared" si="705"/>
        <v>Memorial Dr</v>
      </c>
      <c r="W3112" t="str">
        <f t="shared" si="706"/>
        <v/>
      </c>
      <c r="X3112" t="str">
        <f>IF(ISBLANK(S3112),"Intersection","Non-Intersection")</f>
        <v>Intersection</v>
      </c>
      <c r="Y3112" t="s">
        <v>2085</v>
      </c>
      <c r="Z3112" t="str">
        <f t="shared" si="707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694"/>
        <v>40544</v>
      </c>
      <c r="D3113" s="4">
        <f t="shared" si="695"/>
        <v>0.9671232876712329</v>
      </c>
      <c r="E3113" s="3">
        <f t="shared" si="696"/>
        <v>2011</v>
      </c>
      <c r="F3113" s="3">
        <f t="shared" si="697"/>
        <v>12</v>
      </c>
      <c r="G3113" s="3">
        <f t="shared" si="698"/>
        <v>20</v>
      </c>
      <c r="H3113" s="3">
        <f t="shared" si="699"/>
        <v>12</v>
      </c>
      <c r="I3113" s="3">
        <f t="shared" si="700"/>
        <v>14</v>
      </c>
      <c r="J3113" s="3">
        <f t="shared" si="701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02"/>
        <v>YES</v>
      </c>
      <c r="Q3113" t="str">
        <f t="shared" si="703"/>
        <v>NO</v>
      </c>
      <c r="R3113" t="str">
        <f t="shared" si="704"/>
        <v>YES</v>
      </c>
      <c r="T3113" t="s">
        <v>198</v>
      </c>
      <c r="U3113" t="str">
        <f t="shared" si="705"/>
        <v>Mount Auburn St</v>
      </c>
      <c r="V3113" t="s">
        <v>1438</v>
      </c>
      <c r="W3113" t="str">
        <f t="shared" si="706"/>
        <v>Dunster St</v>
      </c>
      <c r="X3113" t="str">
        <f>IF(ISBLANK(S3113),"Intersection","Non-Intersection")</f>
        <v>Intersection</v>
      </c>
      <c r="Y3113" t="s">
        <v>2797</v>
      </c>
      <c r="Z3113" t="str">
        <f t="shared" si="707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694"/>
        <v>40544</v>
      </c>
      <c r="D3114" s="4">
        <f t="shared" si="695"/>
        <v>0.9671232876712329</v>
      </c>
      <c r="E3114" s="3">
        <f t="shared" si="696"/>
        <v>2011</v>
      </c>
      <c r="F3114" s="3">
        <f t="shared" si="697"/>
        <v>12</v>
      </c>
      <c r="G3114" s="3">
        <f t="shared" si="698"/>
        <v>20</v>
      </c>
      <c r="H3114" s="3">
        <f t="shared" si="699"/>
        <v>1</v>
      </c>
      <c r="I3114" s="3">
        <f t="shared" si="700"/>
        <v>44</v>
      </c>
      <c r="J3114" s="3">
        <f t="shared" si="701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02"/>
        <v>YES</v>
      </c>
      <c r="Q3114" t="str">
        <f t="shared" si="703"/>
        <v>NO</v>
      </c>
      <c r="R3114" t="str">
        <f t="shared" si="704"/>
        <v>NO</v>
      </c>
      <c r="T3114" t="s">
        <v>198</v>
      </c>
      <c r="U3114" t="str">
        <f t="shared" si="705"/>
        <v>Mount Auburn St</v>
      </c>
      <c r="V3114" t="s">
        <v>2532</v>
      </c>
      <c r="W3114" t="str">
        <f t="shared" si="706"/>
        <v>Ash St</v>
      </c>
      <c r="X3114" t="str">
        <f>IF(ISBLANK(S3114),"Intersection","Non-Intersection")</f>
        <v>Intersection</v>
      </c>
      <c r="Y3114" t="s">
        <v>2888</v>
      </c>
      <c r="Z3114" t="str">
        <f t="shared" si="707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08">EOMONTH(B3115,MONTH(B3115)*-1)+1</f>
        <v>40544</v>
      </c>
      <c r="D3115" s="4">
        <f t="shared" ref="D3115:D3174" si="709">YEARFRAC(C3115,B3115,1)</f>
        <v>0.9671232876712329</v>
      </c>
      <c r="E3115" s="3">
        <f t="shared" ref="E3115:E3174" si="710">YEAR(B3115)</f>
        <v>2011</v>
      </c>
      <c r="F3115" s="3">
        <f t="shared" ref="F3115:F3174" si="711">MONTH(B3115)</f>
        <v>12</v>
      </c>
      <c r="G3115" s="3">
        <f t="shared" ref="G3115:G3174" si="712">DAY(B3115)</f>
        <v>20</v>
      </c>
      <c r="H3115" s="3">
        <f t="shared" ref="H3115:H3174" si="713">HOUR(B3115)</f>
        <v>15</v>
      </c>
      <c r="I3115" s="3">
        <f t="shared" ref="I3115:I3174" si="714">MINUTE(B3115)</f>
        <v>30</v>
      </c>
      <c r="J3115" s="3">
        <f t="shared" ref="J3115:J3174" si="715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16">IF(OR(N3115="Auto",O3115="Auto"),"YES",IF(OR(N3115="Taxi",O3115="Taxi"),"YES",IF(OR(N3115="Van",O3115="Van"),"YES",IF(OR(N3115="Truck",O3115="Truck"),"YES","NO"))))</f>
        <v>YES</v>
      </c>
      <c r="Q3115" t="str">
        <f t="shared" ref="Q3115:Q3174" si="717">IF(OR(N3115="Bicycle",O3115="Bicycle"),"YES","NO")</f>
        <v>NO</v>
      </c>
      <c r="R3115" t="str">
        <f t="shared" ref="R3115:R3174" si="718">IF(OR(N3115="Pedestrian",O3115="Pedestrian"),"YES","NO")</f>
        <v>YES</v>
      </c>
      <c r="T3115" t="s">
        <v>14</v>
      </c>
      <c r="U3115" t="str">
        <f t="shared" si="705"/>
        <v>Massachusetts Ave</v>
      </c>
      <c r="V3115" t="s">
        <v>4066</v>
      </c>
      <c r="W3115" t="str">
        <f t="shared" si="706"/>
        <v>Harvard Yard</v>
      </c>
      <c r="X3115" t="str">
        <f>IF(ISBLANK(S3115),"Intersection","Non-Intersection")</f>
        <v>Intersection</v>
      </c>
      <c r="Y3115" t="s">
        <v>4067</v>
      </c>
      <c r="Z3115" t="str">
        <f t="shared" si="707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08"/>
        <v>40544</v>
      </c>
      <c r="D3116" s="4">
        <f t="shared" si="709"/>
        <v>0.9671232876712329</v>
      </c>
      <c r="E3116" s="3">
        <f t="shared" si="710"/>
        <v>2011</v>
      </c>
      <c r="F3116" s="3">
        <f t="shared" si="711"/>
        <v>12</v>
      </c>
      <c r="G3116" s="3">
        <f t="shared" si="712"/>
        <v>20</v>
      </c>
      <c r="H3116" s="3">
        <f t="shared" si="713"/>
        <v>17</v>
      </c>
      <c r="I3116" s="3">
        <f t="shared" si="714"/>
        <v>44</v>
      </c>
      <c r="J3116" s="3">
        <f t="shared" si="715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16"/>
        <v>YES</v>
      </c>
      <c r="Q3116" t="str">
        <f t="shared" si="717"/>
        <v>NO</v>
      </c>
      <c r="R3116" t="str">
        <f t="shared" si="718"/>
        <v>NO</v>
      </c>
      <c r="T3116" t="s">
        <v>19</v>
      </c>
      <c r="U3116" t="str">
        <f t="shared" si="705"/>
        <v>Cambridge St</v>
      </c>
      <c r="V3116" t="s">
        <v>3487</v>
      </c>
      <c r="W3116" t="str">
        <f t="shared" si="706"/>
        <v>Eighth St</v>
      </c>
      <c r="X3116" t="str">
        <f>IF(ISBLANK(S3116),"Intersection","Non-Intersection")</f>
        <v>Intersection</v>
      </c>
      <c r="Y3116" t="s">
        <v>4068</v>
      </c>
      <c r="Z3116" t="str">
        <f t="shared" si="707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08"/>
        <v>40544</v>
      </c>
      <c r="D3117" s="4">
        <f t="shared" si="709"/>
        <v>0.9671232876712329</v>
      </c>
      <c r="E3117" s="3">
        <f t="shared" si="710"/>
        <v>2011</v>
      </c>
      <c r="F3117" s="3">
        <f t="shared" si="711"/>
        <v>12</v>
      </c>
      <c r="G3117" s="3">
        <f t="shared" si="712"/>
        <v>20</v>
      </c>
      <c r="H3117" s="3">
        <f t="shared" si="713"/>
        <v>15</v>
      </c>
      <c r="I3117" s="3">
        <f t="shared" si="714"/>
        <v>26</v>
      </c>
      <c r="J3117" s="3">
        <f t="shared" si="715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16"/>
        <v>YES</v>
      </c>
      <c r="Q3117" t="str">
        <f t="shared" si="717"/>
        <v>NO</v>
      </c>
      <c r="R3117" t="str">
        <f t="shared" si="718"/>
        <v>NO</v>
      </c>
      <c r="S3117">
        <v>324</v>
      </c>
      <c r="T3117" t="s">
        <v>105</v>
      </c>
      <c r="U3117" t="str">
        <f t="shared" si="705"/>
        <v>Broadway</v>
      </c>
      <c r="W3117" t="str">
        <f t="shared" si="706"/>
        <v/>
      </c>
      <c r="X3117" t="str">
        <f>IF(ISBLANK(S3117),"Intersection","Non-Intersection")</f>
        <v>Non-Intersection</v>
      </c>
      <c r="Y3117" t="s">
        <v>4070</v>
      </c>
      <c r="Z3117" t="str">
        <f t="shared" si="707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08"/>
        <v>40544</v>
      </c>
      <c r="D3118" s="4">
        <f t="shared" si="709"/>
        <v>0.96986301369863015</v>
      </c>
      <c r="E3118" s="3">
        <f t="shared" si="710"/>
        <v>2011</v>
      </c>
      <c r="F3118" s="3">
        <f t="shared" si="711"/>
        <v>12</v>
      </c>
      <c r="G3118" s="3">
        <f t="shared" si="712"/>
        <v>21</v>
      </c>
      <c r="H3118" s="3">
        <f t="shared" si="713"/>
        <v>5</v>
      </c>
      <c r="I3118" s="3">
        <f t="shared" si="714"/>
        <v>0</v>
      </c>
      <c r="J3118" s="3">
        <f t="shared" si="715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16"/>
        <v>YES</v>
      </c>
      <c r="Q3118" t="str">
        <f t="shared" si="717"/>
        <v>NO</v>
      </c>
      <c r="R3118" t="str">
        <f t="shared" si="718"/>
        <v>NO</v>
      </c>
      <c r="S3118">
        <v>85</v>
      </c>
      <c r="T3118" t="s">
        <v>1502</v>
      </c>
      <c r="U3118" t="str">
        <f t="shared" si="705"/>
        <v>Gore St</v>
      </c>
      <c r="W3118" t="str">
        <f t="shared" si="706"/>
        <v/>
      </c>
      <c r="X3118" t="str">
        <f>IF(ISBLANK(S3118),"Intersection","Non-Intersection")</f>
        <v>Non-Intersection</v>
      </c>
      <c r="Y3118" t="s">
        <v>2186</v>
      </c>
      <c r="Z3118" t="str">
        <f t="shared" si="707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08"/>
        <v>40544</v>
      </c>
      <c r="D3119" s="4">
        <f t="shared" si="709"/>
        <v>0.96986301369863015</v>
      </c>
      <c r="E3119" s="3">
        <f t="shared" si="710"/>
        <v>2011</v>
      </c>
      <c r="F3119" s="3">
        <f t="shared" si="711"/>
        <v>12</v>
      </c>
      <c r="G3119" s="3">
        <f t="shared" si="712"/>
        <v>21</v>
      </c>
      <c r="H3119" s="3">
        <f t="shared" si="713"/>
        <v>16</v>
      </c>
      <c r="I3119" s="3">
        <f t="shared" si="714"/>
        <v>44</v>
      </c>
      <c r="J3119" s="3">
        <f t="shared" si="715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16"/>
        <v>YES</v>
      </c>
      <c r="Q3119" t="str">
        <f t="shared" si="717"/>
        <v>NO</v>
      </c>
      <c r="R3119" t="str">
        <f t="shared" si="718"/>
        <v>NO</v>
      </c>
      <c r="T3119" t="s">
        <v>14</v>
      </c>
      <c r="U3119" t="str">
        <f t="shared" si="705"/>
        <v>Massachusetts Ave</v>
      </c>
      <c r="V3119" t="s">
        <v>754</v>
      </c>
      <c r="W3119" t="str">
        <f t="shared" si="706"/>
        <v>Clarendon Ave</v>
      </c>
      <c r="X3119" t="str">
        <f>IF(ISBLANK(S3119),"Intersection","Non-Intersection")</f>
        <v>Intersection</v>
      </c>
      <c r="Y3119" t="s">
        <v>1965</v>
      </c>
      <c r="Z3119" t="str">
        <f t="shared" si="707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08"/>
        <v>40544</v>
      </c>
      <c r="D3120" s="4">
        <f t="shared" si="709"/>
        <v>0.96986301369863015</v>
      </c>
      <c r="E3120" s="3">
        <f t="shared" si="710"/>
        <v>2011</v>
      </c>
      <c r="F3120" s="3">
        <f t="shared" si="711"/>
        <v>12</v>
      </c>
      <c r="G3120" s="3">
        <f t="shared" si="712"/>
        <v>21</v>
      </c>
      <c r="H3120" s="3">
        <f t="shared" si="713"/>
        <v>9</v>
      </c>
      <c r="I3120" s="3">
        <f t="shared" si="714"/>
        <v>30</v>
      </c>
      <c r="J3120" s="3">
        <f t="shared" si="715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16"/>
        <v>YES</v>
      </c>
      <c r="Q3120" t="str">
        <f t="shared" si="717"/>
        <v>NO</v>
      </c>
      <c r="R3120" t="str">
        <f t="shared" si="718"/>
        <v>NO</v>
      </c>
      <c r="T3120" t="s">
        <v>195</v>
      </c>
      <c r="U3120" t="str">
        <f t="shared" si="705"/>
        <v>Sidney St</v>
      </c>
      <c r="V3120" t="s">
        <v>42</v>
      </c>
      <c r="W3120" t="str">
        <f t="shared" si="706"/>
        <v>Putnam Ave</v>
      </c>
      <c r="X3120" t="str">
        <f>IF(ISBLANK(S3120),"Intersection","Non-Intersection")</f>
        <v>Intersection</v>
      </c>
      <c r="Y3120" t="s">
        <v>1483</v>
      </c>
      <c r="Z3120" t="str">
        <f t="shared" si="707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08"/>
        <v>40544</v>
      </c>
      <c r="D3121" s="4">
        <f t="shared" si="709"/>
        <v>0.9726027397260274</v>
      </c>
      <c r="E3121" s="3">
        <f t="shared" si="710"/>
        <v>2011</v>
      </c>
      <c r="F3121" s="3">
        <f t="shared" si="711"/>
        <v>12</v>
      </c>
      <c r="G3121" s="3">
        <f t="shared" si="712"/>
        <v>22</v>
      </c>
      <c r="H3121" s="3">
        <f t="shared" si="713"/>
        <v>8</v>
      </c>
      <c r="I3121" s="3">
        <f t="shared" si="714"/>
        <v>19</v>
      </c>
      <c r="J3121" s="3">
        <f t="shared" si="715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16"/>
        <v>YES</v>
      </c>
      <c r="Q3121" t="str">
        <f t="shared" si="717"/>
        <v>NO</v>
      </c>
      <c r="R3121" t="str">
        <f t="shared" si="718"/>
        <v>NO</v>
      </c>
      <c r="T3121" t="s">
        <v>198</v>
      </c>
      <c r="U3121" t="str">
        <f t="shared" si="705"/>
        <v>Mount Auburn St</v>
      </c>
      <c r="W3121" t="str">
        <f t="shared" si="706"/>
        <v/>
      </c>
      <c r="X3121" t="str">
        <f>IF(ISBLANK(S3121),"Intersection","Non-Intersection")</f>
        <v>Intersection</v>
      </c>
      <c r="Y3121" t="s">
        <v>441</v>
      </c>
      <c r="Z3121" t="str">
        <f t="shared" si="707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08"/>
        <v>40544</v>
      </c>
      <c r="D3122" s="4">
        <f t="shared" si="709"/>
        <v>0.9726027397260274</v>
      </c>
      <c r="E3122" s="3">
        <f t="shared" si="710"/>
        <v>2011</v>
      </c>
      <c r="F3122" s="3">
        <f t="shared" si="711"/>
        <v>12</v>
      </c>
      <c r="G3122" s="3">
        <f t="shared" si="712"/>
        <v>22</v>
      </c>
      <c r="H3122" s="3">
        <f t="shared" si="713"/>
        <v>8</v>
      </c>
      <c r="I3122" s="3">
        <f t="shared" si="714"/>
        <v>49</v>
      </c>
      <c r="J3122" s="3">
        <f t="shared" si="715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16"/>
        <v>YES</v>
      </c>
      <c r="Q3122" t="str">
        <f t="shared" si="717"/>
        <v>NO</v>
      </c>
      <c r="R3122" t="str">
        <f t="shared" si="718"/>
        <v>NO</v>
      </c>
      <c r="T3122" t="s">
        <v>199</v>
      </c>
      <c r="U3122" t="str">
        <f t="shared" si="705"/>
        <v>Brattle St</v>
      </c>
      <c r="V3122" t="s">
        <v>1567</v>
      </c>
      <c r="W3122" t="str">
        <f t="shared" si="706"/>
        <v>Brown St</v>
      </c>
      <c r="X3122" t="str">
        <f>IF(ISBLANK(S3122),"Intersection","Non-Intersection")</f>
        <v>Intersection</v>
      </c>
      <c r="Y3122" t="s">
        <v>1568</v>
      </c>
      <c r="Z3122" t="str">
        <f t="shared" si="707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08"/>
        <v>40544</v>
      </c>
      <c r="D3123" s="4">
        <f t="shared" si="709"/>
        <v>0.9726027397260274</v>
      </c>
      <c r="E3123" s="3">
        <f t="shared" si="710"/>
        <v>2011</v>
      </c>
      <c r="F3123" s="3">
        <f t="shared" si="711"/>
        <v>12</v>
      </c>
      <c r="G3123" s="3">
        <f t="shared" si="712"/>
        <v>22</v>
      </c>
      <c r="H3123" s="3">
        <f t="shared" si="713"/>
        <v>9</v>
      </c>
      <c r="I3123" s="3">
        <f t="shared" si="714"/>
        <v>59</v>
      </c>
      <c r="J3123" s="3">
        <f t="shared" si="715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16"/>
        <v>YES</v>
      </c>
      <c r="Q3123" t="str">
        <f t="shared" si="717"/>
        <v>NO</v>
      </c>
      <c r="R3123" t="str">
        <f t="shared" si="718"/>
        <v>NO</v>
      </c>
      <c r="T3123" t="s">
        <v>14</v>
      </c>
      <c r="U3123" t="str">
        <f t="shared" si="705"/>
        <v>Massachusetts Ave</v>
      </c>
      <c r="V3123" t="s">
        <v>3638</v>
      </c>
      <c r="W3123" t="str">
        <f t="shared" si="706"/>
        <v>Arrow St</v>
      </c>
      <c r="X3123" t="str">
        <f>IF(ISBLANK(S3123),"Intersection","Non-Intersection")</f>
        <v>Intersection</v>
      </c>
      <c r="Y3123" t="s">
        <v>4072</v>
      </c>
      <c r="Z3123" t="str">
        <f t="shared" si="707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08"/>
        <v>40544</v>
      </c>
      <c r="D3124" s="4">
        <f t="shared" si="709"/>
        <v>0.9726027397260274</v>
      </c>
      <c r="E3124" s="3">
        <f t="shared" si="710"/>
        <v>2011</v>
      </c>
      <c r="F3124" s="3">
        <f t="shared" si="711"/>
        <v>12</v>
      </c>
      <c r="G3124" s="3">
        <f t="shared" si="712"/>
        <v>22</v>
      </c>
      <c r="H3124" s="3">
        <f t="shared" si="713"/>
        <v>11</v>
      </c>
      <c r="I3124" s="3">
        <f t="shared" si="714"/>
        <v>0</v>
      </c>
      <c r="J3124" s="3">
        <f t="shared" si="715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16"/>
        <v>YES</v>
      </c>
      <c r="Q3124" t="str">
        <f t="shared" si="717"/>
        <v>NO</v>
      </c>
      <c r="R3124" t="str">
        <f t="shared" si="718"/>
        <v>NO</v>
      </c>
      <c r="S3124">
        <v>61</v>
      </c>
      <c r="T3124" t="s">
        <v>238</v>
      </c>
      <c r="U3124" t="str">
        <f t="shared" si="705"/>
        <v>Kirkland St</v>
      </c>
      <c r="W3124" t="str">
        <f t="shared" si="706"/>
        <v/>
      </c>
      <c r="X3124" t="str">
        <f>IF(ISBLANK(S3124),"Intersection","Non-Intersection")</f>
        <v>Non-Intersection</v>
      </c>
      <c r="Y3124" t="s">
        <v>2190</v>
      </c>
      <c r="Z3124" t="str">
        <f t="shared" si="707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08"/>
        <v>40544</v>
      </c>
      <c r="D3125" s="4">
        <f t="shared" si="709"/>
        <v>0.9726027397260274</v>
      </c>
      <c r="E3125" s="3">
        <f t="shared" si="710"/>
        <v>2011</v>
      </c>
      <c r="F3125" s="3">
        <f t="shared" si="711"/>
        <v>12</v>
      </c>
      <c r="G3125" s="3">
        <f t="shared" si="712"/>
        <v>22</v>
      </c>
      <c r="H3125" s="3">
        <f t="shared" si="713"/>
        <v>16</v>
      </c>
      <c r="I3125" s="3">
        <f t="shared" si="714"/>
        <v>25</v>
      </c>
      <c r="J3125" s="3">
        <f t="shared" si="715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16"/>
        <v>YES</v>
      </c>
      <c r="Q3125" t="str">
        <f t="shared" si="717"/>
        <v>NO</v>
      </c>
      <c r="R3125" t="str">
        <f t="shared" si="718"/>
        <v>NO</v>
      </c>
      <c r="S3125">
        <v>189</v>
      </c>
      <c r="T3125" t="s">
        <v>19</v>
      </c>
      <c r="U3125" t="str">
        <f t="shared" si="705"/>
        <v>Cambridge St</v>
      </c>
      <c r="W3125" t="str">
        <f t="shared" si="706"/>
        <v/>
      </c>
      <c r="X3125" t="str">
        <f>IF(ISBLANK(S3125),"Intersection","Non-Intersection")</f>
        <v>Non-Intersection</v>
      </c>
      <c r="Y3125" t="s">
        <v>1942</v>
      </c>
      <c r="Z3125" t="str">
        <f t="shared" si="707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08"/>
        <v>40544</v>
      </c>
      <c r="D3126" s="4">
        <f t="shared" si="709"/>
        <v>0.9726027397260274</v>
      </c>
      <c r="E3126" s="3">
        <f t="shared" si="710"/>
        <v>2011</v>
      </c>
      <c r="F3126" s="3">
        <f t="shared" si="711"/>
        <v>12</v>
      </c>
      <c r="G3126" s="3">
        <f t="shared" si="712"/>
        <v>22</v>
      </c>
      <c r="H3126" s="3">
        <f t="shared" si="713"/>
        <v>18</v>
      </c>
      <c r="I3126" s="3">
        <f t="shared" si="714"/>
        <v>55</v>
      </c>
      <c r="J3126" s="3">
        <f t="shared" si="715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16"/>
        <v>YES</v>
      </c>
      <c r="Q3126" t="str">
        <f t="shared" si="717"/>
        <v>NO</v>
      </c>
      <c r="R3126" t="str">
        <f t="shared" si="718"/>
        <v>NO</v>
      </c>
      <c r="S3126">
        <v>28</v>
      </c>
      <c r="T3126" t="s">
        <v>1612</v>
      </c>
      <c r="U3126" t="str">
        <f t="shared" si="705"/>
        <v>William St</v>
      </c>
      <c r="W3126" t="str">
        <f t="shared" si="706"/>
        <v/>
      </c>
      <c r="X3126" t="str">
        <f>IF(ISBLANK(S3126),"Intersection","Non-Intersection")</f>
        <v>Non-Intersection</v>
      </c>
      <c r="Y3126" t="s">
        <v>2002</v>
      </c>
      <c r="Z3126" t="str">
        <f t="shared" si="707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08"/>
        <v>40544</v>
      </c>
      <c r="D3127" s="4">
        <f t="shared" si="709"/>
        <v>0.97534246575342465</v>
      </c>
      <c r="E3127" s="3">
        <f t="shared" si="710"/>
        <v>2011</v>
      </c>
      <c r="F3127" s="3">
        <f t="shared" si="711"/>
        <v>12</v>
      </c>
      <c r="G3127" s="3">
        <f t="shared" si="712"/>
        <v>23</v>
      </c>
      <c r="H3127" s="3">
        <f t="shared" si="713"/>
        <v>16</v>
      </c>
      <c r="I3127" s="3">
        <f t="shared" si="714"/>
        <v>30</v>
      </c>
      <c r="J3127" s="3">
        <f t="shared" si="715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16"/>
        <v>YES</v>
      </c>
      <c r="Q3127" t="str">
        <f t="shared" si="717"/>
        <v>NO</v>
      </c>
      <c r="R3127" t="str">
        <f t="shared" si="718"/>
        <v>NO</v>
      </c>
      <c r="S3127">
        <v>64</v>
      </c>
      <c r="T3127" t="s">
        <v>199</v>
      </c>
      <c r="U3127" t="str">
        <f t="shared" si="705"/>
        <v>Brattle St</v>
      </c>
      <c r="W3127" t="str">
        <f t="shared" si="706"/>
        <v/>
      </c>
      <c r="X3127" t="str">
        <f>IF(ISBLANK(S3127),"Intersection","Non-Intersection")</f>
        <v>Non-Intersection</v>
      </c>
      <c r="Y3127" t="s">
        <v>4074</v>
      </c>
      <c r="Z3127" t="str">
        <f t="shared" si="707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08"/>
        <v>40544</v>
      </c>
      <c r="D3128" s="4">
        <f t="shared" si="709"/>
        <v>0.97534246575342465</v>
      </c>
      <c r="E3128" s="3">
        <f t="shared" si="710"/>
        <v>2011</v>
      </c>
      <c r="F3128" s="3">
        <f t="shared" si="711"/>
        <v>12</v>
      </c>
      <c r="G3128" s="3">
        <f t="shared" si="712"/>
        <v>23</v>
      </c>
      <c r="H3128" s="3">
        <f t="shared" si="713"/>
        <v>9</v>
      </c>
      <c r="I3128" s="3">
        <f t="shared" si="714"/>
        <v>40</v>
      </c>
      <c r="J3128" s="3">
        <f t="shared" si="715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16"/>
        <v>YES</v>
      </c>
      <c r="Q3128" t="str">
        <f t="shared" si="717"/>
        <v>NO</v>
      </c>
      <c r="R3128" t="str">
        <f t="shared" si="718"/>
        <v>NO</v>
      </c>
      <c r="T3128" t="s">
        <v>198</v>
      </c>
      <c r="U3128" t="str">
        <f t="shared" si="705"/>
        <v>Mount Auburn St</v>
      </c>
      <c r="V3128" t="s">
        <v>464</v>
      </c>
      <c r="W3128" t="str">
        <f t="shared" si="706"/>
        <v>Aberdeen Way</v>
      </c>
      <c r="X3128" t="str">
        <f>IF(ISBLANK(S3128),"Intersection","Non-Intersection")</f>
        <v>Intersection</v>
      </c>
      <c r="Y3128" t="s">
        <v>1666</v>
      </c>
      <c r="Z3128" t="str">
        <f t="shared" si="707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08"/>
        <v>40544</v>
      </c>
      <c r="D3129" s="4">
        <f t="shared" si="709"/>
        <v>0.97534246575342465</v>
      </c>
      <c r="E3129" s="3">
        <f t="shared" si="710"/>
        <v>2011</v>
      </c>
      <c r="F3129" s="3">
        <f t="shared" si="711"/>
        <v>12</v>
      </c>
      <c r="G3129" s="3">
        <f t="shared" si="712"/>
        <v>23</v>
      </c>
      <c r="H3129" s="3">
        <f t="shared" si="713"/>
        <v>18</v>
      </c>
      <c r="I3129" s="3">
        <f t="shared" si="714"/>
        <v>40</v>
      </c>
      <c r="J3129" s="3">
        <f t="shared" si="715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16"/>
        <v>YES</v>
      </c>
      <c r="Q3129" t="str">
        <f t="shared" si="717"/>
        <v>NO</v>
      </c>
      <c r="R3129" t="str">
        <f t="shared" si="718"/>
        <v>NO</v>
      </c>
      <c r="S3129">
        <v>850</v>
      </c>
      <c r="T3129" t="s">
        <v>19</v>
      </c>
      <c r="U3129" t="str">
        <f t="shared" si="705"/>
        <v>Cambridge St</v>
      </c>
      <c r="W3129" t="str">
        <f t="shared" si="706"/>
        <v/>
      </c>
      <c r="X3129" t="str">
        <f>IF(ISBLANK(S3129),"Intersection","Non-Intersection")</f>
        <v>Non-Intersection</v>
      </c>
      <c r="Y3129" t="s">
        <v>3953</v>
      </c>
      <c r="Z3129" t="str">
        <f t="shared" si="707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08"/>
        <v>40544</v>
      </c>
      <c r="D3130" s="4">
        <f t="shared" si="709"/>
        <v>0.97534246575342465</v>
      </c>
      <c r="E3130" s="3">
        <f t="shared" si="710"/>
        <v>2011</v>
      </c>
      <c r="F3130" s="3">
        <f t="shared" si="711"/>
        <v>12</v>
      </c>
      <c r="G3130" s="3">
        <f t="shared" si="712"/>
        <v>23</v>
      </c>
      <c r="H3130" s="3">
        <f t="shared" si="713"/>
        <v>2</v>
      </c>
      <c r="I3130" s="3">
        <f t="shared" si="714"/>
        <v>42</v>
      </c>
      <c r="J3130" s="3">
        <f t="shared" si="715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16"/>
        <v>YES</v>
      </c>
      <c r="Q3130" t="str">
        <f t="shared" si="717"/>
        <v>NO</v>
      </c>
      <c r="R3130" t="str">
        <f t="shared" si="718"/>
        <v>NO</v>
      </c>
      <c r="T3130" t="s">
        <v>170</v>
      </c>
      <c r="U3130" t="str">
        <f t="shared" si="705"/>
        <v>Alewife Brook Pky</v>
      </c>
      <c r="W3130" t="str">
        <f t="shared" si="706"/>
        <v/>
      </c>
      <c r="X3130" t="str">
        <f>IF(ISBLANK(S3130),"Intersection","Non-Intersection")</f>
        <v>Intersection</v>
      </c>
      <c r="Y3130" t="s">
        <v>604</v>
      </c>
      <c r="Z3130" t="str">
        <f t="shared" si="707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08"/>
        <v>40544</v>
      </c>
      <c r="D3131" s="4">
        <f t="shared" si="709"/>
        <v>0.9780821917808219</v>
      </c>
      <c r="E3131" s="3">
        <f t="shared" si="710"/>
        <v>2011</v>
      </c>
      <c r="F3131" s="3">
        <f t="shared" si="711"/>
        <v>12</v>
      </c>
      <c r="G3131" s="3">
        <f t="shared" si="712"/>
        <v>24</v>
      </c>
      <c r="H3131" s="3">
        <f t="shared" si="713"/>
        <v>9</v>
      </c>
      <c r="I3131" s="3">
        <f t="shared" si="714"/>
        <v>40</v>
      </c>
      <c r="J3131" s="3">
        <f t="shared" si="715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16"/>
        <v>YES</v>
      </c>
      <c r="Q3131" t="str">
        <f t="shared" si="717"/>
        <v>NO</v>
      </c>
      <c r="R3131" t="str">
        <f t="shared" si="718"/>
        <v>NO</v>
      </c>
      <c r="S3131">
        <v>52</v>
      </c>
      <c r="T3131" t="s">
        <v>665</v>
      </c>
      <c r="U3131" t="str">
        <f t="shared" si="705"/>
        <v>New St</v>
      </c>
      <c r="W3131" t="str">
        <f t="shared" si="706"/>
        <v/>
      </c>
      <c r="X3131" t="str">
        <f>IF(ISBLANK(S3131),"Intersection","Non-Intersection")</f>
        <v>Non-Intersection</v>
      </c>
      <c r="Y3131" t="s">
        <v>4076</v>
      </c>
      <c r="Z3131" t="str">
        <f t="shared" si="707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08"/>
        <v>40544</v>
      </c>
      <c r="D3132" s="4">
        <f t="shared" si="709"/>
        <v>0.9780821917808219</v>
      </c>
      <c r="E3132" s="3">
        <f t="shared" si="710"/>
        <v>2011</v>
      </c>
      <c r="F3132" s="3">
        <f t="shared" si="711"/>
        <v>12</v>
      </c>
      <c r="G3132" s="3">
        <f t="shared" si="712"/>
        <v>24</v>
      </c>
      <c r="H3132" s="3">
        <f t="shared" si="713"/>
        <v>12</v>
      </c>
      <c r="I3132" s="3">
        <f t="shared" si="714"/>
        <v>37</v>
      </c>
      <c r="J3132" s="3">
        <f t="shared" si="715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16"/>
        <v>YES</v>
      </c>
      <c r="Q3132" t="str">
        <f t="shared" si="717"/>
        <v>NO</v>
      </c>
      <c r="R3132" t="str">
        <f t="shared" si="718"/>
        <v>NO</v>
      </c>
      <c r="S3132">
        <v>142</v>
      </c>
      <c r="T3132" t="s">
        <v>342</v>
      </c>
      <c r="U3132" t="str">
        <f t="shared" si="705"/>
        <v>Prospect St</v>
      </c>
      <c r="W3132" t="str">
        <f t="shared" si="706"/>
        <v/>
      </c>
      <c r="X3132" t="str">
        <f>IF(ISBLANK(S3132),"Intersection","Non-Intersection")</f>
        <v>Non-Intersection</v>
      </c>
      <c r="Y3132" t="s">
        <v>4078</v>
      </c>
      <c r="Z3132" t="str">
        <f t="shared" si="707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08"/>
        <v>40544</v>
      </c>
      <c r="D3133" s="4">
        <f t="shared" si="709"/>
        <v>0.9780821917808219</v>
      </c>
      <c r="E3133" s="3">
        <f t="shared" si="710"/>
        <v>2011</v>
      </c>
      <c r="F3133" s="3">
        <f t="shared" si="711"/>
        <v>12</v>
      </c>
      <c r="G3133" s="3">
        <f t="shared" si="712"/>
        <v>24</v>
      </c>
      <c r="H3133" s="3">
        <f t="shared" si="713"/>
        <v>3</v>
      </c>
      <c r="I3133" s="3">
        <f t="shared" si="714"/>
        <v>0</v>
      </c>
      <c r="J3133" s="3">
        <f t="shared" si="715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16"/>
        <v>YES</v>
      </c>
      <c r="Q3133" t="str">
        <f t="shared" si="717"/>
        <v>NO</v>
      </c>
      <c r="R3133" t="str">
        <f t="shared" si="718"/>
        <v>NO</v>
      </c>
      <c r="T3133" t="s">
        <v>1062</v>
      </c>
      <c r="U3133" t="str">
        <f t="shared" si="705"/>
        <v>Cambridgeside Pl</v>
      </c>
      <c r="W3133" t="str">
        <f t="shared" si="706"/>
        <v/>
      </c>
      <c r="X3133" t="str">
        <f>IF(ISBLANK(S3133),"Intersection","Non-Intersection")</f>
        <v>Intersection</v>
      </c>
      <c r="Y3133" t="s">
        <v>1283</v>
      </c>
      <c r="Z3133" t="str">
        <f t="shared" si="707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08"/>
        <v>40544</v>
      </c>
      <c r="D3134" s="4">
        <f t="shared" si="709"/>
        <v>0.9780821917808219</v>
      </c>
      <c r="E3134" s="3">
        <f t="shared" si="710"/>
        <v>2011</v>
      </c>
      <c r="F3134" s="3">
        <f t="shared" si="711"/>
        <v>12</v>
      </c>
      <c r="G3134" s="3">
        <f t="shared" si="712"/>
        <v>24</v>
      </c>
      <c r="H3134" s="3">
        <f t="shared" si="713"/>
        <v>15</v>
      </c>
      <c r="I3134" s="3">
        <f t="shared" si="714"/>
        <v>14</v>
      </c>
      <c r="J3134" s="3">
        <f t="shared" si="715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16"/>
        <v>YES</v>
      </c>
      <c r="Q3134" t="str">
        <f t="shared" si="717"/>
        <v>NO</v>
      </c>
      <c r="R3134" t="str">
        <f t="shared" si="718"/>
        <v>NO</v>
      </c>
      <c r="S3134">
        <v>1200</v>
      </c>
      <c r="T3134" t="s">
        <v>19</v>
      </c>
      <c r="U3134" t="str">
        <f t="shared" si="705"/>
        <v>Cambridge St</v>
      </c>
      <c r="W3134" t="str">
        <f t="shared" si="706"/>
        <v/>
      </c>
      <c r="X3134" t="str">
        <f>IF(ISBLANK(S3134),"Intersection","Non-Intersection")</f>
        <v>Non-Intersection</v>
      </c>
      <c r="Y3134" t="s">
        <v>2910</v>
      </c>
      <c r="Z3134" t="str">
        <f t="shared" si="707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08"/>
        <v>40544</v>
      </c>
      <c r="D3135" s="4">
        <f t="shared" si="709"/>
        <v>0.98082191780821915</v>
      </c>
      <c r="E3135" s="3">
        <f t="shared" si="710"/>
        <v>2011</v>
      </c>
      <c r="F3135" s="3">
        <f t="shared" si="711"/>
        <v>12</v>
      </c>
      <c r="G3135" s="3">
        <f t="shared" si="712"/>
        <v>25</v>
      </c>
      <c r="H3135" s="3">
        <f t="shared" si="713"/>
        <v>1</v>
      </c>
      <c r="I3135" s="3">
        <f t="shared" si="714"/>
        <v>8</v>
      </c>
      <c r="J3135" s="3">
        <f t="shared" si="715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16"/>
        <v>YES</v>
      </c>
      <c r="Q3135" t="str">
        <f t="shared" si="717"/>
        <v>NO</v>
      </c>
      <c r="R3135" t="str">
        <f t="shared" si="718"/>
        <v>NO</v>
      </c>
      <c r="T3135" t="s">
        <v>14</v>
      </c>
      <c r="U3135" t="str">
        <f t="shared" si="705"/>
        <v>Massachusetts Ave</v>
      </c>
      <c r="V3135" t="s">
        <v>315</v>
      </c>
      <c r="W3135" t="str">
        <f t="shared" si="706"/>
        <v>Essex St</v>
      </c>
      <c r="X3135" t="str">
        <f>IF(ISBLANK(S3135),"Intersection","Non-Intersection")</f>
        <v>Intersection</v>
      </c>
      <c r="Y3135" t="s">
        <v>1383</v>
      </c>
      <c r="Z3135" t="str">
        <f t="shared" si="707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08"/>
        <v>40544</v>
      </c>
      <c r="D3136" s="4">
        <f t="shared" si="709"/>
        <v>0.98630136986301364</v>
      </c>
      <c r="E3136" s="3">
        <f t="shared" si="710"/>
        <v>2011</v>
      </c>
      <c r="F3136" s="3">
        <f t="shared" si="711"/>
        <v>12</v>
      </c>
      <c r="G3136" s="3">
        <f t="shared" si="712"/>
        <v>27</v>
      </c>
      <c r="H3136" s="3">
        <f t="shared" si="713"/>
        <v>10</v>
      </c>
      <c r="I3136" s="3">
        <f t="shared" si="714"/>
        <v>19</v>
      </c>
      <c r="J3136" s="3">
        <f t="shared" si="715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16"/>
        <v>YES</v>
      </c>
      <c r="Q3136" t="str">
        <f t="shared" si="717"/>
        <v>YES</v>
      </c>
      <c r="R3136" t="str">
        <f t="shared" si="718"/>
        <v>NO</v>
      </c>
      <c r="T3136" t="s">
        <v>19</v>
      </c>
      <c r="U3136" t="str">
        <f t="shared" si="705"/>
        <v>Cambridge St</v>
      </c>
      <c r="V3136" t="s">
        <v>805</v>
      </c>
      <c r="W3136" t="str">
        <f t="shared" si="706"/>
        <v>Trowbridge St</v>
      </c>
      <c r="X3136" t="str">
        <f>IF(ISBLANK(S3136),"Intersection","Non-Intersection")</f>
        <v>Intersection</v>
      </c>
      <c r="Y3136" t="s">
        <v>4080</v>
      </c>
      <c r="Z3136" t="str">
        <f t="shared" si="707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08"/>
        <v>40544</v>
      </c>
      <c r="D3137" s="4">
        <f t="shared" si="709"/>
        <v>0.98630136986301364</v>
      </c>
      <c r="E3137" s="3">
        <f t="shared" si="710"/>
        <v>2011</v>
      </c>
      <c r="F3137" s="3">
        <f t="shared" si="711"/>
        <v>12</v>
      </c>
      <c r="G3137" s="3">
        <f t="shared" si="712"/>
        <v>27</v>
      </c>
      <c r="H3137" s="3">
        <f t="shared" si="713"/>
        <v>15</v>
      </c>
      <c r="I3137" s="3">
        <f t="shared" si="714"/>
        <v>59</v>
      </c>
      <c r="J3137" s="3">
        <f t="shared" si="715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16"/>
        <v>YES</v>
      </c>
      <c r="Q3137" t="str">
        <f t="shared" si="717"/>
        <v>NO</v>
      </c>
      <c r="R3137" t="str">
        <f t="shared" si="718"/>
        <v>NO</v>
      </c>
      <c r="T3137" t="s">
        <v>316</v>
      </c>
      <c r="U3137" t="str">
        <f t="shared" si="705"/>
        <v>Bishop Allen Dr</v>
      </c>
      <c r="V3137" t="s">
        <v>315</v>
      </c>
      <c r="W3137" t="str">
        <f t="shared" si="706"/>
        <v>Essex St</v>
      </c>
      <c r="X3137" t="str">
        <f>IF(ISBLANK(S3137),"Intersection","Non-Intersection")</f>
        <v>Intersection</v>
      </c>
      <c r="Y3137" t="s">
        <v>3185</v>
      </c>
      <c r="Z3137" t="str">
        <f t="shared" si="707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08"/>
        <v>40544</v>
      </c>
      <c r="D3138" s="4">
        <f t="shared" si="709"/>
        <v>0.98630136986301364</v>
      </c>
      <c r="E3138" s="3">
        <f t="shared" si="710"/>
        <v>2011</v>
      </c>
      <c r="F3138" s="3">
        <f t="shared" si="711"/>
        <v>12</v>
      </c>
      <c r="G3138" s="3">
        <f t="shared" si="712"/>
        <v>27</v>
      </c>
      <c r="H3138" s="3">
        <f t="shared" si="713"/>
        <v>21</v>
      </c>
      <c r="I3138" s="3">
        <f t="shared" si="714"/>
        <v>0</v>
      </c>
      <c r="J3138" s="3">
        <f t="shared" si="715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16"/>
        <v>YES</v>
      </c>
      <c r="Q3138" t="str">
        <f t="shared" si="717"/>
        <v>NO</v>
      </c>
      <c r="R3138" t="str">
        <f t="shared" si="718"/>
        <v>YES</v>
      </c>
      <c r="T3138" t="s">
        <v>14</v>
      </c>
      <c r="U3138" t="str">
        <f t="shared" si="705"/>
        <v>Massachusetts Ave</v>
      </c>
      <c r="V3138" t="s">
        <v>249</v>
      </c>
      <c r="W3138" t="str">
        <f t="shared" si="706"/>
        <v>Landsdowne St</v>
      </c>
      <c r="X3138" t="str">
        <f>IF(ISBLANK(S3138),"Intersection","Non-Intersection")</f>
        <v>Intersection</v>
      </c>
      <c r="Y3138" t="s">
        <v>250</v>
      </c>
      <c r="Z3138" t="str">
        <f t="shared" si="707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08"/>
        <v>40544</v>
      </c>
      <c r="D3139" s="4">
        <f t="shared" si="709"/>
        <v>0.98630136986301364</v>
      </c>
      <c r="E3139" s="3">
        <f t="shared" si="710"/>
        <v>2011</v>
      </c>
      <c r="F3139" s="3">
        <f t="shared" si="711"/>
        <v>12</v>
      </c>
      <c r="G3139" s="3">
        <f t="shared" si="712"/>
        <v>27</v>
      </c>
      <c r="H3139" s="3">
        <f t="shared" si="713"/>
        <v>16</v>
      </c>
      <c r="I3139" s="3">
        <f t="shared" si="714"/>
        <v>9</v>
      </c>
      <c r="J3139" s="3">
        <f t="shared" si="715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16"/>
        <v>YES</v>
      </c>
      <c r="Q3139" t="str">
        <f t="shared" si="717"/>
        <v>NO</v>
      </c>
      <c r="R3139" t="str">
        <f t="shared" si="718"/>
        <v>NO</v>
      </c>
      <c r="T3139" t="s">
        <v>1469</v>
      </c>
      <c r="U3139" t="str">
        <f t="shared" ref="U3139:U3202" si="719">TRIM(PROPER(T3139))</f>
        <v>Fresh Pond Ln</v>
      </c>
      <c r="W3139" t="str">
        <f t="shared" ref="W3139:W3202" si="720">TRIM(PROPER(V3139))</f>
        <v/>
      </c>
      <c r="X3139" t="str">
        <f>IF(ISBLANK(S3139),"Intersection","Non-Intersection")</f>
        <v>Intersection</v>
      </c>
      <c r="Y3139" t="s">
        <v>4081</v>
      </c>
      <c r="Z3139" t="str">
        <f t="shared" ref="Z3139:Z3202" si="72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08"/>
        <v>40544</v>
      </c>
      <c r="D3140" s="4">
        <f t="shared" si="709"/>
        <v>0.989041095890411</v>
      </c>
      <c r="E3140" s="3">
        <f t="shared" si="710"/>
        <v>2011</v>
      </c>
      <c r="F3140" s="3">
        <f t="shared" si="711"/>
        <v>12</v>
      </c>
      <c r="G3140" s="3">
        <f t="shared" si="712"/>
        <v>28</v>
      </c>
      <c r="H3140" s="3">
        <f t="shared" si="713"/>
        <v>14</v>
      </c>
      <c r="I3140" s="3">
        <f t="shared" si="714"/>
        <v>19</v>
      </c>
      <c r="J3140" s="3">
        <f t="shared" si="715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16"/>
        <v>YES</v>
      </c>
      <c r="Q3140" t="str">
        <f t="shared" si="717"/>
        <v>YES</v>
      </c>
      <c r="R3140" t="str">
        <f t="shared" si="718"/>
        <v>NO</v>
      </c>
      <c r="S3140">
        <v>240</v>
      </c>
      <c r="T3140" t="s">
        <v>119</v>
      </c>
      <c r="U3140" t="str">
        <f t="shared" si="719"/>
        <v>Albany St</v>
      </c>
      <c r="W3140" t="str">
        <f t="shared" si="720"/>
        <v/>
      </c>
      <c r="X3140" t="str">
        <f>IF(ISBLANK(S3140),"Intersection","Non-Intersection")</f>
        <v>Non-Intersection</v>
      </c>
      <c r="Y3140" t="s">
        <v>4082</v>
      </c>
      <c r="Z3140" t="str">
        <f t="shared" si="72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08"/>
        <v>40544</v>
      </c>
      <c r="D3141" s="4">
        <f t="shared" si="709"/>
        <v>0.989041095890411</v>
      </c>
      <c r="E3141" s="3">
        <f t="shared" si="710"/>
        <v>2011</v>
      </c>
      <c r="F3141" s="3">
        <f t="shared" si="711"/>
        <v>12</v>
      </c>
      <c r="G3141" s="3">
        <f t="shared" si="712"/>
        <v>28</v>
      </c>
      <c r="H3141" s="3">
        <f t="shared" si="713"/>
        <v>16</v>
      </c>
      <c r="I3141" s="3">
        <f t="shared" si="714"/>
        <v>35</v>
      </c>
      <c r="J3141" s="3">
        <f t="shared" si="715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16"/>
        <v>YES</v>
      </c>
      <c r="Q3141" t="str">
        <f t="shared" si="717"/>
        <v>NO</v>
      </c>
      <c r="R3141" t="str">
        <f t="shared" si="718"/>
        <v>YES</v>
      </c>
      <c r="T3141" t="s">
        <v>14</v>
      </c>
      <c r="U3141" t="str">
        <f t="shared" si="719"/>
        <v>Massachusetts Ave</v>
      </c>
      <c r="V3141" t="s">
        <v>202</v>
      </c>
      <c r="W3141" t="str">
        <f t="shared" si="720"/>
        <v>Vassar St</v>
      </c>
      <c r="X3141" t="str">
        <f>IF(ISBLANK(S3141),"Intersection","Non-Intersection")</f>
        <v>Intersection</v>
      </c>
      <c r="Y3141" t="s">
        <v>361</v>
      </c>
      <c r="Z3141" t="str">
        <f t="shared" si="72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08"/>
        <v>40544</v>
      </c>
      <c r="D3142" s="4">
        <f t="shared" si="709"/>
        <v>0.99178082191780825</v>
      </c>
      <c r="E3142" s="3">
        <f t="shared" si="710"/>
        <v>2011</v>
      </c>
      <c r="F3142" s="3">
        <f t="shared" si="711"/>
        <v>12</v>
      </c>
      <c r="G3142" s="3">
        <f t="shared" si="712"/>
        <v>29</v>
      </c>
      <c r="H3142" s="3">
        <f t="shared" si="713"/>
        <v>12</v>
      </c>
      <c r="I3142" s="3">
        <f t="shared" si="714"/>
        <v>4</v>
      </c>
      <c r="J3142" s="3">
        <f t="shared" si="715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16"/>
        <v>YES</v>
      </c>
      <c r="Q3142" t="str">
        <f t="shared" si="717"/>
        <v>NO</v>
      </c>
      <c r="R3142" t="str">
        <f t="shared" si="718"/>
        <v>NO</v>
      </c>
      <c r="T3142" t="s">
        <v>19</v>
      </c>
      <c r="U3142" t="str">
        <f t="shared" si="719"/>
        <v>Cambridge St</v>
      </c>
      <c r="V3142" t="s">
        <v>1044</v>
      </c>
      <c r="W3142" t="str">
        <f t="shared" si="720"/>
        <v>Oak St</v>
      </c>
      <c r="X3142" t="str">
        <f>IF(ISBLANK(S3142),"Intersection","Non-Intersection")</f>
        <v>Intersection</v>
      </c>
      <c r="Y3142" t="s">
        <v>1045</v>
      </c>
      <c r="Z3142" t="str">
        <f t="shared" si="72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08"/>
        <v>40544</v>
      </c>
      <c r="D3143" s="4">
        <f t="shared" si="709"/>
        <v>0.99178082191780825</v>
      </c>
      <c r="E3143" s="3">
        <f t="shared" si="710"/>
        <v>2011</v>
      </c>
      <c r="F3143" s="3">
        <f t="shared" si="711"/>
        <v>12</v>
      </c>
      <c r="G3143" s="3">
        <f t="shared" si="712"/>
        <v>29</v>
      </c>
      <c r="H3143" s="3">
        <f t="shared" si="713"/>
        <v>14</v>
      </c>
      <c r="I3143" s="3">
        <f t="shared" si="714"/>
        <v>19</v>
      </c>
      <c r="J3143" s="3">
        <f t="shared" si="715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16"/>
        <v>YES</v>
      </c>
      <c r="Q3143" t="str">
        <f t="shared" si="717"/>
        <v>NO</v>
      </c>
      <c r="R3143" t="str">
        <f t="shared" si="718"/>
        <v>NO</v>
      </c>
      <c r="S3143">
        <v>2</v>
      </c>
      <c r="T3143" t="s">
        <v>351</v>
      </c>
      <c r="U3143" t="str">
        <f t="shared" si="719"/>
        <v>Cambridge Ctr</v>
      </c>
      <c r="V3143" t="s">
        <v>209</v>
      </c>
      <c r="W3143" t="str">
        <f t="shared" si="720"/>
        <v>Binney St</v>
      </c>
      <c r="X3143" t="str">
        <f>IF(ISBLANK(S3143),"Intersection","Non-Intersection")</f>
        <v>Non-Intersection</v>
      </c>
      <c r="Y3143" t="s">
        <v>3068</v>
      </c>
      <c r="Z3143" t="str">
        <f t="shared" si="72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08"/>
        <v>40544</v>
      </c>
      <c r="D3144" s="4">
        <f t="shared" si="709"/>
        <v>0.9945205479452055</v>
      </c>
      <c r="E3144" s="3">
        <f t="shared" si="710"/>
        <v>2011</v>
      </c>
      <c r="F3144" s="3">
        <f t="shared" si="711"/>
        <v>12</v>
      </c>
      <c r="G3144" s="3">
        <f t="shared" si="712"/>
        <v>30</v>
      </c>
      <c r="H3144" s="3">
        <f t="shared" si="713"/>
        <v>10</v>
      </c>
      <c r="I3144" s="3">
        <f t="shared" si="714"/>
        <v>19</v>
      </c>
      <c r="J3144" s="3">
        <f t="shared" si="715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16"/>
        <v>YES</v>
      </c>
      <c r="Q3144" t="str">
        <f t="shared" si="717"/>
        <v>YES</v>
      </c>
      <c r="R3144" t="str">
        <f t="shared" si="718"/>
        <v>NO</v>
      </c>
      <c r="S3144">
        <v>810</v>
      </c>
      <c r="T3144" t="s">
        <v>32</v>
      </c>
      <c r="U3144" t="str">
        <f t="shared" si="719"/>
        <v>Main St</v>
      </c>
      <c r="W3144" t="str">
        <f t="shared" si="720"/>
        <v/>
      </c>
      <c r="X3144" t="str">
        <f>IF(ISBLANK(S3144),"Intersection","Non-Intersection")</f>
        <v>Non-Intersection</v>
      </c>
      <c r="Y3144" t="s">
        <v>4084</v>
      </c>
      <c r="Z3144" t="str">
        <f t="shared" si="72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08"/>
        <v>40544</v>
      </c>
      <c r="D3145" s="4">
        <f t="shared" si="709"/>
        <v>0.99726027397260275</v>
      </c>
      <c r="E3145" s="3">
        <f t="shared" si="710"/>
        <v>2011</v>
      </c>
      <c r="F3145" s="3">
        <f t="shared" si="711"/>
        <v>12</v>
      </c>
      <c r="G3145" s="3">
        <f t="shared" si="712"/>
        <v>31</v>
      </c>
      <c r="H3145" s="3">
        <f t="shared" si="713"/>
        <v>7</v>
      </c>
      <c r="I3145" s="3">
        <f t="shared" si="714"/>
        <v>30</v>
      </c>
      <c r="J3145" s="3">
        <f t="shared" si="715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16"/>
        <v>YES</v>
      </c>
      <c r="Q3145" t="str">
        <f t="shared" si="717"/>
        <v>NO</v>
      </c>
      <c r="R3145" t="str">
        <f t="shared" si="718"/>
        <v>NO</v>
      </c>
      <c r="S3145">
        <v>11</v>
      </c>
      <c r="T3145" t="s">
        <v>326</v>
      </c>
      <c r="U3145" t="str">
        <f t="shared" si="719"/>
        <v>Jfk St</v>
      </c>
      <c r="W3145" t="str">
        <f t="shared" si="720"/>
        <v/>
      </c>
      <c r="X3145" t="str">
        <f>IF(ISBLANK(S3145),"Intersection","Non-Intersection")</f>
        <v>Non-Intersection</v>
      </c>
      <c r="Y3145" t="s">
        <v>1793</v>
      </c>
      <c r="Z3145" t="str">
        <f t="shared" si="72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08"/>
        <v>40544</v>
      </c>
      <c r="D3146" s="4">
        <f t="shared" si="709"/>
        <v>0.99726027397260275</v>
      </c>
      <c r="E3146" s="3">
        <f t="shared" si="710"/>
        <v>2011</v>
      </c>
      <c r="F3146" s="3">
        <f t="shared" si="711"/>
        <v>12</v>
      </c>
      <c r="G3146" s="3">
        <f t="shared" si="712"/>
        <v>31</v>
      </c>
      <c r="H3146" s="3">
        <f t="shared" si="713"/>
        <v>8</v>
      </c>
      <c r="I3146" s="3">
        <f t="shared" si="714"/>
        <v>35</v>
      </c>
      <c r="J3146" s="3">
        <f t="shared" si="715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16"/>
        <v>YES</v>
      </c>
      <c r="Q3146" t="str">
        <f t="shared" si="717"/>
        <v>NO</v>
      </c>
      <c r="R3146" t="str">
        <f t="shared" si="718"/>
        <v>NO</v>
      </c>
      <c r="T3146" t="s">
        <v>185</v>
      </c>
      <c r="U3146" t="str">
        <f t="shared" si="719"/>
        <v>Garden St</v>
      </c>
      <c r="V3146" t="s">
        <v>296</v>
      </c>
      <c r="W3146" t="str">
        <f t="shared" si="720"/>
        <v>Mason St</v>
      </c>
      <c r="X3146" t="str">
        <f>IF(ISBLANK(S3146),"Intersection","Non-Intersection")</f>
        <v>Intersection</v>
      </c>
      <c r="Y3146" t="s">
        <v>594</v>
      </c>
      <c r="Z3146" t="str">
        <f t="shared" si="72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08"/>
        <v>40544</v>
      </c>
      <c r="D3147" s="4">
        <f t="shared" si="709"/>
        <v>0.99726027397260275</v>
      </c>
      <c r="E3147" s="3">
        <f t="shared" si="710"/>
        <v>2011</v>
      </c>
      <c r="F3147" s="3">
        <f t="shared" si="711"/>
        <v>12</v>
      </c>
      <c r="G3147" s="3">
        <f t="shared" si="712"/>
        <v>31</v>
      </c>
      <c r="H3147" s="3">
        <f t="shared" si="713"/>
        <v>16</v>
      </c>
      <c r="I3147" s="3">
        <f t="shared" si="714"/>
        <v>44</v>
      </c>
      <c r="J3147" s="3">
        <f t="shared" si="715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16"/>
        <v>YES</v>
      </c>
      <c r="Q3147" t="str">
        <f t="shared" si="717"/>
        <v>NO</v>
      </c>
      <c r="R3147" t="str">
        <f t="shared" si="718"/>
        <v>NO</v>
      </c>
      <c r="S3147">
        <v>730</v>
      </c>
      <c r="T3147" t="s">
        <v>203</v>
      </c>
      <c r="U3147" t="str">
        <f t="shared" si="719"/>
        <v>Memorial Dr</v>
      </c>
      <c r="W3147" t="str">
        <f t="shared" si="720"/>
        <v/>
      </c>
      <c r="X3147" t="str">
        <f>IF(ISBLANK(S3147),"Intersection","Non-Intersection")</f>
        <v>Non-Intersection</v>
      </c>
      <c r="Y3147" t="s">
        <v>236</v>
      </c>
      <c r="Z3147" t="str">
        <f t="shared" si="72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08"/>
        <v>40909</v>
      </c>
      <c r="D3148" s="4">
        <f t="shared" si="709"/>
        <v>0</v>
      </c>
      <c r="E3148" s="3">
        <f t="shared" si="710"/>
        <v>2012</v>
      </c>
      <c r="F3148" s="3">
        <f t="shared" si="711"/>
        <v>1</v>
      </c>
      <c r="G3148" s="3">
        <f t="shared" si="712"/>
        <v>1</v>
      </c>
      <c r="H3148" s="3">
        <f t="shared" si="713"/>
        <v>13</v>
      </c>
      <c r="I3148" s="3">
        <f t="shared" si="714"/>
        <v>0</v>
      </c>
      <c r="J3148" s="3">
        <f t="shared" si="715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16"/>
        <v>YES</v>
      </c>
      <c r="Q3148" t="str">
        <f t="shared" si="717"/>
        <v>NO</v>
      </c>
      <c r="R3148" t="str">
        <f t="shared" si="718"/>
        <v>NO</v>
      </c>
      <c r="T3148" t="s">
        <v>4086</v>
      </c>
      <c r="U3148" t="str">
        <f t="shared" si="719"/>
        <v>Austin Park</v>
      </c>
      <c r="W3148" t="str">
        <f t="shared" si="720"/>
        <v/>
      </c>
      <c r="X3148" t="str">
        <f>IF(ISBLANK(S3148),"Intersection","Non-Intersection")</f>
        <v>Intersection</v>
      </c>
      <c r="Y3148" t="s">
        <v>4087</v>
      </c>
      <c r="Z3148" t="str">
        <f t="shared" si="72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08"/>
        <v>40909</v>
      </c>
      <c r="D3149" s="4">
        <f t="shared" si="709"/>
        <v>0</v>
      </c>
      <c r="E3149" s="3">
        <f t="shared" si="710"/>
        <v>2012</v>
      </c>
      <c r="F3149" s="3">
        <f t="shared" si="711"/>
        <v>1</v>
      </c>
      <c r="G3149" s="3">
        <f t="shared" si="712"/>
        <v>1</v>
      </c>
      <c r="H3149" s="3">
        <f t="shared" si="713"/>
        <v>0</v>
      </c>
      <c r="I3149" s="3">
        <f t="shared" si="714"/>
        <v>59</v>
      </c>
      <c r="J3149" s="3">
        <f t="shared" si="715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16"/>
        <v>YES</v>
      </c>
      <c r="Q3149" t="str">
        <f t="shared" si="717"/>
        <v>NO</v>
      </c>
      <c r="R3149" t="str">
        <f t="shared" si="718"/>
        <v>NO</v>
      </c>
      <c r="T3149" t="s">
        <v>24</v>
      </c>
      <c r="U3149" t="str">
        <f t="shared" si="719"/>
        <v>Coolidge Ave</v>
      </c>
      <c r="W3149" t="str">
        <f t="shared" si="720"/>
        <v/>
      </c>
      <c r="X3149" t="str">
        <f>IF(ISBLANK(S3149),"Intersection","Non-Intersection")</f>
        <v>Intersection</v>
      </c>
      <c r="Y3149" t="s">
        <v>4088</v>
      </c>
      <c r="Z3149" t="str">
        <f t="shared" si="72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08"/>
        <v>40909</v>
      </c>
      <c r="D3150" s="4">
        <f t="shared" si="709"/>
        <v>0</v>
      </c>
      <c r="E3150" s="3">
        <f t="shared" si="710"/>
        <v>2012</v>
      </c>
      <c r="F3150" s="3">
        <f t="shared" si="711"/>
        <v>1</v>
      </c>
      <c r="G3150" s="3">
        <f t="shared" si="712"/>
        <v>1</v>
      </c>
      <c r="H3150" s="3">
        <f t="shared" si="713"/>
        <v>9</v>
      </c>
      <c r="I3150" s="3">
        <f t="shared" si="714"/>
        <v>42</v>
      </c>
      <c r="J3150" s="3">
        <f t="shared" si="715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16"/>
        <v>YES</v>
      </c>
      <c r="Q3150" t="str">
        <f t="shared" si="717"/>
        <v>NO</v>
      </c>
      <c r="R3150" t="str">
        <f t="shared" si="718"/>
        <v>NO</v>
      </c>
      <c r="T3150" t="s">
        <v>420</v>
      </c>
      <c r="U3150" t="str">
        <f t="shared" si="719"/>
        <v>Douglass St</v>
      </c>
      <c r="V3150" t="s">
        <v>316</v>
      </c>
      <c r="W3150" t="str">
        <f t="shared" si="720"/>
        <v>Bishop Allen Dr</v>
      </c>
      <c r="X3150" t="str">
        <f>IF(ISBLANK(S3150),"Intersection","Non-Intersection")</f>
        <v>Intersection</v>
      </c>
      <c r="Y3150" t="s">
        <v>4089</v>
      </c>
      <c r="Z3150" t="str">
        <f t="shared" si="72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08"/>
        <v>40909</v>
      </c>
      <c r="D3151" s="4">
        <f t="shared" si="709"/>
        <v>0</v>
      </c>
      <c r="E3151" s="3">
        <f t="shared" si="710"/>
        <v>2012</v>
      </c>
      <c r="F3151" s="3">
        <f t="shared" si="711"/>
        <v>1</v>
      </c>
      <c r="G3151" s="3">
        <f t="shared" si="712"/>
        <v>1</v>
      </c>
      <c r="H3151" s="3">
        <f t="shared" si="713"/>
        <v>17</v>
      </c>
      <c r="I3151" s="3">
        <f t="shared" si="714"/>
        <v>0</v>
      </c>
      <c r="J3151" s="3">
        <f t="shared" si="715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16"/>
        <v>YES</v>
      </c>
      <c r="Q3151" t="str">
        <f t="shared" si="717"/>
        <v>NO</v>
      </c>
      <c r="R3151" t="str">
        <f t="shared" si="718"/>
        <v>NO</v>
      </c>
      <c r="S3151">
        <v>72</v>
      </c>
      <c r="T3151" t="s">
        <v>75</v>
      </c>
      <c r="U3151" t="str">
        <f t="shared" si="719"/>
        <v>Elm St</v>
      </c>
      <c r="W3151" t="str">
        <f t="shared" si="720"/>
        <v/>
      </c>
      <c r="X3151" t="str">
        <f>IF(ISBLANK(S3151),"Intersection","Non-Intersection")</f>
        <v>Non-Intersection</v>
      </c>
      <c r="Y3151" t="s">
        <v>4091</v>
      </c>
      <c r="Z3151" t="str">
        <f t="shared" si="72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08"/>
        <v>40909</v>
      </c>
      <c r="D3152" s="4">
        <f t="shared" si="709"/>
        <v>0</v>
      </c>
      <c r="E3152" s="3">
        <f t="shared" si="710"/>
        <v>2012</v>
      </c>
      <c r="F3152" s="3">
        <f t="shared" si="711"/>
        <v>1</v>
      </c>
      <c r="G3152" s="3">
        <f t="shared" si="712"/>
        <v>1</v>
      </c>
      <c r="H3152" s="3">
        <f t="shared" si="713"/>
        <v>21</v>
      </c>
      <c r="I3152" s="3">
        <f t="shared" si="714"/>
        <v>40</v>
      </c>
      <c r="J3152" s="3">
        <f t="shared" si="715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16"/>
        <v>YES</v>
      </c>
      <c r="Q3152" t="str">
        <f t="shared" si="717"/>
        <v>NO</v>
      </c>
      <c r="R3152" t="str">
        <f t="shared" si="718"/>
        <v>NO</v>
      </c>
      <c r="T3152" t="s">
        <v>14</v>
      </c>
      <c r="U3152" t="str">
        <f t="shared" si="719"/>
        <v>Massachusetts Ave</v>
      </c>
      <c r="V3152" t="s">
        <v>553</v>
      </c>
      <c r="W3152" t="str">
        <f t="shared" si="720"/>
        <v>Cameron Ave</v>
      </c>
      <c r="X3152" t="str">
        <f>IF(ISBLANK(S3152),"Intersection","Non-Intersection")</f>
        <v>Intersection</v>
      </c>
      <c r="Y3152" t="s">
        <v>554</v>
      </c>
      <c r="Z3152" t="str">
        <f t="shared" si="72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08"/>
        <v>40909</v>
      </c>
      <c r="D3153" s="4">
        <f t="shared" si="709"/>
        <v>0</v>
      </c>
      <c r="E3153" s="3">
        <f t="shared" si="710"/>
        <v>2012</v>
      </c>
      <c r="F3153" s="3">
        <f t="shared" si="711"/>
        <v>1</v>
      </c>
      <c r="G3153" s="3">
        <f t="shared" si="712"/>
        <v>1</v>
      </c>
      <c r="H3153" s="3">
        <f t="shared" si="713"/>
        <v>19</v>
      </c>
      <c r="I3153" s="3">
        <f t="shared" si="714"/>
        <v>0</v>
      </c>
      <c r="J3153" s="3">
        <f t="shared" si="715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16"/>
        <v>YES</v>
      </c>
      <c r="Q3153" t="str">
        <f t="shared" si="717"/>
        <v>NO</v>
      </c>
      <c r="R3153" t="str">
        <f t="shared" si="718"/>
        <v>NO</v>
      </c>
      <c r="T3153" t="s">
        <v>19</v>
      </c>
      <c r="U3153" t="str">
        <f t="shared" si="719"/>
        <v>Cambridge St</v>
      </c>
      <c r="V3153" t="s">
        <v>410</v>
      </c>
      <c r="W3153" t="str">
        <f t="shared" si="720"/>
        <v>Highland Ave</v>
      </c>
      <c r="X3153" t="str">
        <f>IF(ISBLANK(S3153),"Intersection","Non-Intersection")</f>
        <v>Intersection</v>
      </c>
      <c r="Y3153" t="s">
        <v>3667</v>
      </c>
      <c r="Z3153" t="str">
        <f t="shared" si="72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08"/>
        <v>40909</v>
      </c>
      <c r="D3154" s="4">
        <f t="shared" si="709"/>
        <v>5.4644808743169399E-3</v>
      </c>
      <c r="E3154" s="3">
        <f t="shared" si="710"/>
        <v>2012</v>
      </c>
      <c r="F3154" s="3">
        <f t="shared" si="711"/>
        <v>1</v>
      </c>
      <c r="G3154" s="3">
        <f t="shared" si="712"/>
        <v>3</v>
      </c>
      <c r="H3154" s="3">
        <f t="shared" si="713"/>
        <v>8</v>
      </c>
      <c r="I3154" s="3">
        <f t="shared" si="714"/>
        <v>35</v>
      </c>
      <c r="J3154" s="3">
        <f t="shared" si="715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16"/>
        <v>YES</v>
      </c>
      <c r="Q3154" t="str">
        <f t="shared" si="717"/>
        <v>NO</v>
      </c>
      <c r="R3154" t="str">
        <f t="shared" si="718"/>
        <v>NO</v>
      </c>
      <c r="T3154" t="s">
        <v>577</v>
      </c>
      <c r="U3154" t="str">
        <f t="shared" si="719"/>
        <v>Vassal Ln</v>
      </c>
      <c r="V3154" t="s">
        <v>459</v>
      </c>
      <c r="W3154" t="str">
        <f t="shared" si="720"/>
        <v>Fayerweather St</v>
      </c>
      <c r="X3154" t="str">
        <f>IF(ISBLANK(S3154),"Intersection","Non-Intersection")</f>
        <v>Intersection</v>
      </c>
      <c r="Y3154" t="s">
        <v>4093</v>
      </c>
      <c r="Z3154" t="str">
        <f t="shared" si="72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08"/>
        <v>40909</v>
      </c>
      <c r="D3155" s="4">
        <f t="shared" si="709"/>
        <v>5.4644808743169399E-3</v>
      </c>
      <c r="E3155" s="3">
        <f t="shared" si="710"/>
        <v>2012</v>
      </c>
      <c r="F3155" s="3">
        <f t="shared" si="711"/>
        <v>1</v>
      </c>
      <c r="G3155" s="3">
        <f t="shared" si="712"/>
        <v>3</v>
      </c>
      <c r="H3155" s="3">
        <f t="shared" si="713"/>
        <v>9</v>
      </c>
      <c r="I3155" s="3">
        <f t="shared" si="714"/>
        <v>0</v>
      </c>
      <c r="J3155" s="3">
        <f t="shared" si="715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16"/>
        <v>YES</v>
      </c>
      <c r="Q3155" t="str">
        <f t="shared" si="717"/>
        <v>YES</v>
      </c>
      <c r="R3155" t="str">
        <f t="shared" si="718"/>
        <v>NO</v>
      </c>
      <c r="T3155" t="s">
        <v>19</v>
      </c>
      <c r="U3155" t="str">
        <f t="shared" si="719"/>
        <v>Cambridge St</v>
      </c>
      <c r="V3155" t="s">
        <v>737</v>
      </c>
      <c r="W3155" t="str">
        <f t="shared" si="720"/>
        <v>Willow St</v>
      </c>
      <c r="X3155" t="str">
        <f>IF(ISBLANK(S3155),"Intersection","Non-Intersection")</f>
        <v>Intersection</v>
      </c>
      <c r="Y3155" t="s">
        <v>1451</v>
      </c>
      <c r="Z3155" t="str">
        <f t="shared" si="72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08"/>
        <v>40909</v>
      </c>
      <c r="D3156" s="4">
        <f t="shared" si="709"/>
        <v>5.4644808743169399E-3</v>
      </c>
      <c r="E3156" s="3">
        <f t="shared" si="710"/>
        <v>2012</v>
      </c>
      <c r="F3156" s="3">
        <f t="shared" si="711"/>
        <v>1</v>
      </c>
      <c r="G3156" s="3">
        <f t="shared" si="712"/>
        <v>3</v>
      </c>
      <c r="H3156" s="3">
        <f t="shared" si="713"/>
        <v>15</v>
      </c>
      <c r="I3156" s="3">
        <f t="shared" si="714"/>
        <v>0</v>
      </c>
      <c r="J3156" s="3">
        <f t="shared" si="715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16"/>
        <v>YES</v>
      </c>
      <c r="Q3156" t="str">
        <f t="shared" si="717"/>
        <v>YES</v>
      </c>
      <c r="R3156" t="str">
        <f t="shared" si="718"/>
        <v>NO</v>
      </c>
      <c r="T3156" t="s">
        <v>14</v>
      </c>
      <c r="U3156" t="str">
        <f t="shared" si="719"/>
        <v>Massachusetts Ave</v>
      </c>
      <c r="V3156" t="s">
        <v>745</v>
      </c>
      <c r="W3156" t="str">
        <f t="shared" si="720"/>
        <v>Norfolk St</v>
      </c>
      <c r="X3156" t="str">
        <f>IF(ISBLANK(S3156),"Intersection","Non-Intersection")</f>
        <v>Intersection</v>
      </c>
      <c r="Y3156" t="s">
        <v>873</v>
      </c>
      <c r="Z3156" t="str">
        <f t="shared" si="72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08"/>
        <v>40909</v>
      </c>
      <c r="D3157" s="4">
        <f t="shared" si="709"/>
        <v>5.4644808743169399E-3</v>
      </c>
      <c r="E3157" s="3">
        <f t="shared" si="710"/>
        <v>2012</v>
      </c>
      <c r="F3157" s="3">
        <f t="shared" si="711"/>
        <v>1</v>
      </c>
      <c r="G3157" s="3">
        <f t="shared" si="712"/>
        <v>3</v>
      </c>
      <c r="H3157" s="3">
        <f t="shared" si="713"/>
        <v>12</v>
      </c>
      <c r="I3157" s="3">
        <f t="shared" si="714"/>
        <v>30</v>
      </c>
      <c r="J3157" s="3">
        <f t="shared" si="715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16"/>
        <v>YES</v>
      </c>
      <c r="Q3157" t="str">
        <f t="shared" si="717"/>
        <v>NO</v>
      </c>
      <c r="R3157" t="str">
        <f t="shared" si="718"/>
        <v>NO</v>
      </c>
      <c r="T3157" t="s">
        <v>2524</v>
      </c>
      <c r="U3157" t="str">
        <f t="shared" si="719"/>
        <v>Technology Sq</v>
      </c>
      <c r="W3157" t="str">
        <f t="shared" si="720"/>
        <v/>
      </c>
      <c r="X3157" t="str">
        <f>IF(ISBLANK(S3157),"Intersection","Non-Intersection")</f>
        <v>Intersection</v>
      </c>
      <c r="Y3157" t="s">
        <v>4095</v>
      </c>
      <c r="Z3157" t="str">
        <f t="shared" si="72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08"/>
        <v>40909</v>
      </c>
      <c r="D3158" s="4">
        <f t="shared" si="709"/>
        <v>8.1967213114754103E-3</v>
      </c>
      <c r="E3158" s="3">
        <f t="shared" si="710"/>
        <v>2012</v>
      </c>
      <c r="F3158" s="3">
        <f t="shared" si="711"/>
        <v>1</v>
      </c>
      <c r="G3158" s="3">
        <f t="shared" si="712"/>
        <v>4</v>
      </c>
      <c r="H3158" s="3">
        <f t="shared" si="713"/>
        <v>9</v>
      </c>
      <c r="I3158" s="3">
        <f t="shared" si="714"/>
        <v>10</v>
      </c>
      <c r="J3158" s="3">
        <f t="shared" si="715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16"/>
        <v>YES</v>
      </c>
      <c r="Q3158" t="str">
        <f t="shared" si="717"/>
        <v>NO</v>
      </c>
      <c r="R3158" t="str">
        <f t="shared" si="718"/>
        <v>NO</v>
      </c>
      <c r="T3158" t="s">
        <v>86</v>
      </c>
      <c r="U3158" t="str">
        <f t="shared" si="719"/>
        <v>Granite St</v>
      </c>
      <c r="V3158" t="s">
        <v>453</v>
      </c>
      <c r="W3158" t="str">
        <f t="shared" si="720"/>
        <v>Brookline St</v>
      </c>
      <c r="X3158" t="str">
        <f>IF(ISBLANK(S3158),"Intersection","Non-Intersection")</f>
        <v>Intersection</v>
      </c>
      <c r="Y3158" t="s">
        <v>4096</v>
      </c>
      <c r="Z3158" t="str">
        <f t="shared" si="72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08"/>
        <v>40909</v>
      </c>
      <c r="D3159" s="4">
        <f t="shared" si="709"/>
        <v>8.1967213114754103E-3</v>
      </c>
      <c r="E3159" s="3">
        <f t="shared" si="710"/>
        <v>2012</v>
      </c>
      <c r="F3159" s="3">
        <f t="shared" si="711"/>
        <v>1</v>
      </c>
      <c r="G3159" s="3">
        <f t="shared" si="712"/>
        <v>4</v>
      </c>
      <c r="H3159" s="3">
        <f t="shared" si="713"/>
        <v>13</v>
      </c>
      <c r="I3159" s="3">
        <f t="shared" si="714"/>
        <v>47</v>
      </c>
      <c r="J3159" s="3">
        <f t="shared" si="715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16"/>
        <v>YES</v>
      </c>
      <c r="Q3159" t="str">
        <f t="shared" si="717"/>
        <v>NO</v>
      </c>
      <c r="R3159" t="str">
        <f t="shared" si="718"/>
        <v>NO</v>
      </c>
      <c r="S3159">
        <v>260</v>
      </c>
      <c r="T3159" t="s">
        <v>252</v>
      </c>
      <c r="U3159" t="str">
        <f t="shared" si="719"/>
        <v>Walden St</v>
      </c>
      <c r="W3159" t="str">
        <f t="shared" si="720"/>
        <v/>
      </c>
      <c r="X3159" t="str">
        <f>IF(ISBLANK(S3159),"Intersection","Non-Intersection")</f>
        <v>Non-Intersection</v>
      </c>
      <c r="Y3159" t="s">
        <v>2373</v>
      </c>
      <c r="Z3159" t="str">
        <f t="shared" si="72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08"/>
        <v>40909</v>
      </c>
      <c r="D3160" s="4">
        <f t="shared" si="709"/>
        <v>1.092896174863388E-2</v>
      </c>
      <c r="E3160" s="3">
        <f t="shared" si="710"/>
        <v>2012</v>
      </c>
      <c r="F3160" s="3">
        <f t="shared" si="711"/>
        <v>1</v>
      </c>
      <c r="G3160" s="3">
        <f t="shared" si="712"/>
        <v>5</v>
      </c>
      <c r="H3160" s="3">
        <f t="shared" si="713"/>
        <v>17</v>
      </c>
      <c r="I3160" s="3">
        <f t="shared" si="714"/>
        <v>39</v>
      </c>
      <c r="J3160" s="3">
        <f t="shared" si="715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16"/>
        <v>YES</v>
      </c>
      <c r="Q3160" t="str">
        <f t="shared" si="717"/>
        <v>YES</v>
      </c>
      <c r="R3160" t="str">
        <f t="shared" si="718"/>
        <v>NO</v>
      </c>
      <c r="T3160" t="s">
        <v>74</v>
      </c>
      <c r="U3160" t="str">
        <f t="shared" si="719"/>
        <v>Hampshire St</v>
      </c>
      <c r="V3160" t="s">
        <v>667</v>
      </c>
      <c r="W3160" t="str">
        <f t="shared" si="720"/>
        <v>Tremont St</v>
      </c>
      <c r="X3160" t="str">
        <f>IF(ISBLANK(S3160),"Intersection","Non-Intersection")</f>
        <v>Intersection</v>
      </c>
      <c r="Y3160" t="s">
        <v>668</v>
      </c>
      <c r="Z3160" t="str">
        <f t="shared" si="72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08"/>
        <v>40909</v>
      </c>
      <c r="D3161" s="4">
        <f t="shared" si="709"/>
        <v>1.092896174863388E-2</v>
      </c>
      <c r="E3161" s="3">
        <f t="shared" si="710"/>
        <v>2012</v>
      </c>
      <c r="F3161" s="3">
        <f t="shared" si="711"/>
        <v>1</v>
      </c>
      <c r="G3161" s="3">
        <f t="shared" si="712"/>
        <v>5</v>
      </c>
      <c r="H3161" s="3">
        <f t="shared" si="713"/>
        <v>17</v>
      </c>
      <c r="I3161" s="3">
        <f t="shared" si="714"/>
        <v>45</v>
      </c>
      <c r="J3161" s="3">
        <f t="shared" si="715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16"/>
        <v>YES</v>
      </c>
      <c r="Q3161" t="str">
        <f t="shared" si="717"/>
        <v>NO</v>
      </c>
      <c r="R3161" t="str">
        <f t="shared" si="718"/>
        <v>NO</v>
      </c>
      <c r="S3161">
        <v>122</v>
      </c>
      <c r="T3161" t="s">
        <v>198</v>
      </c>
      <c r="U3161" t="str">
        <f t="shared" si="719"/>
        <v>Mount Auburn St</v>
      </c>
      <c r="W3161" t="str">
        <f t="shared" si="720"/>
        <v/>
      </c>
      <c r="X3161" t="str">
        <f>IF(ISBLANK(S3161),"Intersection","Non-Intersection")</f>
        <v>Non-Intersection</v>
      </c>
      <c r="Y3161" t="s">
        <v>4098</v>
      </c>
      <c r="Z3161" t="str">
        <f t="shared" si="72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08"/>
        <v>40909</v>
      </c>
      <c r="D3162" s="4">
        <f t="shared" si="709"/>
        <v>1.092896174863388E-2</v>
      </c>
      <c r="E3162" s="3">
        <f t="shared" si="710"/>
        <v>2012</v>
      </c>
      <c r="F3162" s="3">
        <f t="shared" si="711"/>
        <v>1</v>
      </c>
      <c r="G3162" s="3">
        <f t="shared" si="712"/>
        <v>5</v>
      </c>
      <c r="H3162" s="3">
        <f t="shared" si="713"/>
        <v>10</v>
      </c>
      <c r="I3162" s="3">
        <f t="shared" si="714"/>
        <v>44</v>
      </c>
      <c r="J3162" s="3">
        <f t="shared" si="715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16"/>
        <v>YES</v>
      </c>
      <c r="Q3162" t="str">
        <f t="shared" si="717"/>
        <v>NO</v>
      </c>
      <c r="R3162" t="str">
        <f t="shared" si="718"/>
        <v>NO</v>
      </c>
      <c r="S3162">
        <v>54</v>
      </c>
      <c r="T3162" t="s">
        <v>2158</v>
      </c>
      <c r="U3162" t="str">
        <f t="shared" si="719"/>
        <v>Lee St</v>
      </c>
      <c r="W3162" t="str">
        <f t="shared" si="720"/>
        <v/>
      </c>
      <c r="X3162" t="str">
        <f>IF(ISBLANK(S3162),"Intersection","Non-Intersection")</f>
        <v>Non-Intersection</v>
      </c>
      <c r="Y3162" t="s">
        <v>4100</v>
      </c>
      <c r="Z3162" t="str">
        <f t="shared" si="72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08"/>
        <v>40909</v>
      </c>
      <c r="D3163" s="4">
        <f t="shared" si="709"/>
        <v>1.3661202185792349E-2</v>
      </c>
      <c r="E3163" s="3">
        <f t="shared" si="710"/>
        <v>2012</v>
      </c>
      <c r="F3163" s="3">
        <f t="shared" si="711"/>
        <v>1</v>
      </c>
      <c r="G3163" s="3">
        <f t="shared" si="712"/>
        <v>6</v>
      </c>
      <c r="H3163" s="3">
        <f t="shared" si="713"/>
        <v>14</v>
      </c>
      <c r="I3163" s="3">
        <f t="shared" si="714"/>
        <v>4</v>
      </c>
      <c r="J3163" s="3">
        <f t="shared" si="715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16"/>
        <v>YES</v>
      </c>
      <c r="Q3163" t="str">
        <f t="shared" si="717"/>
        <v>NO</v>
      </c>
      <c r="R3163" t="str">
        <f t="shared" si="718"/>
        <v>NO</v>
      </c>
      <c r="T3163" t="s">
        <v>14</v>
      </c>
      <c r="U3163" t="str">
        <f t="shared" si="719"/>
        <v>Massachusetts Ave</v>
      </c>
      <c r="V3163" t="s">
        <v>675</v>
      </c>
      <c r="W3163" t="str">
        <f t="shared" si="720"/>
        <v>Roseland St</v>
      </c>
      <c r="X3163" t="str">
        <f>IF(ISBLANK(S3163),"Intersection","Non-Intersection")</f>
        <v>Intersection</v>
      </c>
      <c r="Y3163" t="s">
        <v>1882</v>
      </c>
      <c r="Z3163" t="str">
        <f t="shared" si="72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08"/>
        <v>40909</v>
      </c>
      <c r="D3164" s="4">
        <f t="shared" si="709"/>
        <v>1.3661202185792349E-2</v>
      </c>
      <c r="E3164" s="3">
        <f t="shared" si="710"/>
        <v>2012</v>
      </c>
      <c r="F3164" s="3">
        <f t="shared" si="711"/>
        <v>1</v>
      </c>
      <c r="G3164" s="3">
        <f t="shared" si="712"/>
        <v>6</v>
      </c>
      <c r="H3164" s="3">
        <f t="shared" si="713"/>
        <v>16</v>
      </c>
      <c r="I3164" s="3">
        <f t="shared" si="714"/>
        <v>40</v>
      </c>
      <c r="J3164" s="3">
        <f t="shared" si="715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16"/>
        <v>YES</v>
      </c>
      <c r="Q3164" t="str">
        <f t="shared" si="717"/>
        <v>NO</v>
      </c>
      <c r="R3164" t="str">
        <f t="shared" si="718"/>
        <v>NO</v>
      </c>
      <c r="T3164" t="s">
        <v>105</v>
      </c>
      <c r="U3164" t="str">
        <f t="shared" si="719"/>
        <v>Broadway</v>
      </c>
      <c r="V3164" t="s">
        <v>1053</v>
      </c>
      <c r="W3164" t="str">
        <f t="shared" si="720"/>
        <v>Clark St</v>
      </c>
      <c r="X3164" t="str">
        <f>IF(ISBLANK(S3164),"Intersection","Non-Intersection")</f>
        <v>Intersection</v>
      </c>
      <c r="Y3164" t="s">
        <v>2225</v>
      </c>
      <c r="Z3164" t="str">
        <f t="shared" si="72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08"/>
        <v>40909</v>
      </c>
      <c r="D3165" s="4">
        <f t="shared" si="709"/>
        <v>1.3661202185792349E-2</v>
      </c>
      <c r="E3165" s="3">
        <f t="shared" si="710"/>
        <v>2012</v>
      </c>
      <c r="F3165" s="3">
        <f t="shared" si="711"/>
        <v>1</v>
      </c>
      <c r="G3165" s="3">
        <f t="shared" si="712"/>
        <v>6</v>
      </c>
      <c r="H3165" s="3">
        <f t="shared" si="713"/>
        <v>16</v>
      </c>
      <c r="I3165" s="3">
        <f t="shared" si="714"/>
        <v>50</v>
      </c>
      <c r="J3165" s="3">
        <f t="shared" si="715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16"/>
        <v>YES</v>
      </c>
      <c r="Q3165" t="str">
        <f t="shared" si="717"/>
        <v>NO</v>
      </c>
      <c r="R3165" t="str">
        <f t="shared" si="718"/>
        <v>YES</v>
      </c>
      <c r="S3165">
        <v>355</v>
      </c>
      <c r="T3165" t="s">
        <v>209</v>
      </c>
      <c r="U3165" t="str">
        <f t="shared" si="719"/>
        <v>Binney St</v>
      </c>
      <c r="W3165" t="str">
        <f t="shared" si="720"/>
        <v/>
      </c>
      <c r="X3165" t="str">
        <f>IF(ISBLANK(S3165),"Intersection","Non-Intersection")</f>
        <v>Non-Intersection</v>
      </c>
      <c r="Y3165" t="s">
        <v>1688</v>
      </c>
      <c r="Z3165" t="str">
        <f t="shared" si="72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08"/>
        <v>40909</v>
      </c>
      <c r="D3166" s="4">
        <f t="shared" si="709"/>
        <v>1.3661202185792349E-2</v>
      </c>
      <c r="E3166" s="3">
        <f t="shared" si="710"/>
        <v>2012</v>
      </c>
      <c r="F3166" s="3">
        <f t="shared" si="711"/>
        <v>1</v>
      </c>
      <c r="G3166" s="3">
        <f t="shared" si="712"/>
        <v>6</v>
      </c>
      <c r="H3166" s="3">
        <f t="shared" si="713"/>
        <v>17</v>
      </c>
      <c r="I3166" s="3">
        <f t="shared" si="714"/>
        <v>35</v>
      </c>
      <c r="J3166" s="3">
        <f t="shared" si="715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16"/>
        <v>YES</v>
      </c>
      <c r="Q3166" t="str">
        <f t="shared" si="717"/>
        <v>NO</v>
      </c>
      <c r="R3166" t="str">
        <f t="shared" si="718"/>
        <v>NO</v>
      </c>
      <c r="T3166" t="s">
        <v>269</v>
      </c>
      <c r="U3166" t="str">
        <f t="shared" si="719"/>
        <v>Porter Sq</v>
      </c>
      <c r="W3166" t="str">
        <f t="shared" si="720"/>
        <v/>
      </c>
      <c r="X3166" t="str">
        <f>IF(ISBLANK(S3166),"Intersection","Non-Intersection")</f>
        <v>Intersection</v>
      </c>
      <c r="Y3166" t="s">
        <v>923</v>
      </c>
      <c r="Z3166" t="str">
        <f t="shared" si="72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08"/>
        <v>40909</v>
      </c>
      <c r="D3167" s="4">
        <f t="shared" si="709"/>
        <v>1.3661202185792349E-2</v>
      </c>
      <c r="E3167" s="3">
        <f t="shared" si="710"/>
        <v>2012</v>
      </c>
      <c r="F3167" s="3">
        <f t="shared" si="711"/>
        <v>1</v>
      </c>
      <c r="G3167" s="3">
        <f t="shared" si="712"/>
        <v>6</v>
      </c>
      <c r="H3167" s="3">
        <f t="shared" si="713"/>
        <v>17</v>
      </c>
      <c r="I3167" s="3">
        <f t="shared" si="714"/>
        <v>22</v>
      </c>
      <c r="J3167" s="3">
        <f t="shared" si="715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16"/>
        <v>YES</v>
      </c>
      <c r="Q3167" t="str">
        <f t="shared" si="717"/>
        <v>YES</v>
      </c>
      <c r="R3167" t="str">
        <f t="shared" si="718"/>
        <v>NO</v>
      </c>
      <c r="T3167" t="s">
        <v>14</v>
      </c>
      <c r="U3167" t="str">
        <f t="shared" si="719"/>
        <v>Massachusetts Ave</v>
      </c>
      <c r="V3167" t="s">
        <v>189</v>
      </c>
      <c r="W3167" t="str">
        <f t="shared" si="720"/>
        <v>Windsor St</v>
      </c>
      <c r="X3167" t="str">
        <f>IF(ISBLANK(S3167),"Intersection","Non-Intersection")</f>
        <v>Intersection</v>
      </c>
      <c r="Y3167" t="s">
        <v>595</v>
      </c>
      <c r="Z3167" t="str">
        <f t="shared" si="72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08"/>
        <v>40909</v>
      </c>
      <c r="D3168" s="4">
        <f t="shared" si="709"/>
        <v>1.6393442622950821E-2</v>
      </c>
      <c r="E3168" s="3">
        <f t="shared" si="710"/>
        <v>2012</v>
      </c>
      <c r="F3168" s="3">
        <f t="shared" si="711"/>
        <v>1</v>
      </c>
      <c r="G3168" s="3">
        <f t="shared" si="712"/>
        <v>7</v>
      </c>
      <c r="H3168" s="3">
        <f t="shared" si="713"/>
        <v>22</v>
      </c>
      <c r="I3168" s="3">
        <f t="shared" si="714"/>
        <v>15</v>
      </c>
      <c r="J3168" s="3">
        <f t="shared" si="715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16"/>
        <v>YES</v>
      </c>
      <c r="Q3168" t="str">
        <f t="shared" si="717"/>
        <v>NO</v>
      </c>
      <c r="R3168" t="str">
        <f t="shared" si="718"/>
        <v>NO</v>
      </c>
      <c r="S3168">
        <v>2</v>
      </c>
      <c r="T3168" t="s">
        <v>3638</v>
      </c>
      <c r="U3168" t="str">
        <f t="shared" si="719"/>
        <v>Arrow St</v>
      </c>
      <c r="W3168" t="str">
        <f t="shared" si="720"/>
        <v/>
      </c>
      <c r="X3168" t="str">
        <f>IF(ISBLANK(S3168),"Intersection","Non-Intersection")</f>
        <v>Non-Intersection</v>
      </c>
      <c r="Y3168" t="s">
        <v>4102</v>
      </c>
      <c r="Z3168" t="str">
        <f t="shared" si="72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08"/>
        <v>40909</v>
      </c>
      <c r="D3169" s="4">
        <f t="shared" si="709"/>
        <v>1.912568306010929E-2</v>
      </c>
      <c r="E3169" s="3">
        <f t="shared" si="710"/>
        <v>2012</v>
      </c>
      <c r="F3169" s="3">
        <f t="shared" si="711"/>
        <v>1</v>
      </c>
      <c r="G3169" s="3">
        <f t="shared" si="712"/>
        <v>8</v>
      </c>
      <c r="H3169" s="3">
        <f t="shared" si="713"/>
        <v>7</v>
      </c>
      <c r="I3169" s="3">
        <f t="shared" si="714"/>
        <v>54</v>
      </c>
      <c r="J3169" s="3">
        <f t="shared" si="715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16"/>
        <v>YES</v>
      </c>
      <c r="Q3169" t="str">
        <f t="shared" si="717"/>
        <v>NO</v>
      </c>
      <c r="R3169" t="str">
        <f t="shared" si="718"/>
        <v>NO</v>
      </c>
      <c r="S3169">
        <v>2049</v>
      </c>
      <c r="T3169" t="s">
        <v>14</v>
      </c>
      <c r="U3169" t="str">
        <f t="shared" si="719"/>
        <v>Massachusetts Ave</v>
      </c>
      <c r="W3169" t="str">
        <f t="shared" si="720"/>
        <v/>
      </c>
      <c r="X3169" t="str">
        <f>IF(ISBLANK(S3169),"Intersection","Non-Intersection")</f>
        <v>Non-Intersection</v>
      </c>
      <c r="Y3169" t="s">
        <v>4104</v>
      </c>
      <c r="Z3169" t="str">
        <f t="shared" si="72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08"/>
        <v>40909</v>
      </c>
      <c r="D3170" s="4">
        <f t="shared" si="709"/>
        <v>2.185792349726776E-2</v>
      </c>
      <c r="E3170" s="3">
        <f t="shared" si="710"/>
        <v>2012</v>
      </c>
      <c r="F3170" s="3">
        <f t="shared" si="711"/>
        <v>1</v>
      </c>
      <c r="G3170" s="3">
        <f t="shared" si="712"/>
        <v>9</v>
      </c>
      <c r="H3170" s="3">
        <f t="shared" si="713"/>
        <v>9</v>
      </c>
      <c r="I3170" s="3">
        <f t="shared" si="714"/>
        <v>30</v>
      </c>
      <c r="J3170" s="3">
        <f t="shared" si="715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16"/>
        <v>YES</v>
      </c>
      <c r="Q3170" t="str">
        <f t="shared" si="717"/>
        <v>NO</v>
      </c>
      <c r="R3170" t="str">
        <f t="shared" si="718"/>
        <v>NO</v>
      </c>
      <c r="S3170">
        <v>211</v>
      </c>
      <c r="T3170" t="s">
        <v>170</v>
      </c>
      <c r="U3170" t="str">
        <f t="shared" si="719"/>
        <v>Alewife Brook Pky</v>
      </c>
      <c r="W3170" t="str">
        <f t="shared" si="720"/>
        <v/>
      </c>
      <c r="X3170" t="str">
        <f>IF(ISBLANK(S3170),"Intersection","Non-Intersection")</f>
        <v>Non-Intersection</v>
      </c>
      <c r="Y3170" t="s">
        <v>1359</v>
      </c>
      <c r="Z3170" t="str">
        <f t="shared" si="72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08"/>
        <v>40909</v>
      </c>
      <c r="D3171" s="4">
        <f t="shared" si="709"/>
        <v>2.185792349726776E-2</v>
      </c>
      <c r="E3171" s="3">
        <f t="shared" si="710"/>
        <v>2012</v>
      </c>
      <c r="F3171" s="3">
        <f t="shared" si="711"/>
        <v>1</v>
      </c>
      <c r="G3171" s="3">
        <f t="shared" si="712"/>
        <v>9</v>
      </c>
      <c r="H3171" s="3">
        <f t="shared" si="713"/>
        <v>9</v>
      </c>
      <c r="I3171" s="3">
        <f t="shared" si="714"/>
        <v>30</v>
      </c>
      <c r="J3171" s="3">
        <f t="shared" si="715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16"/>
        <v>YES</v>
      </c>
      <c r="Q3171" t="str">
        <f t="shared" si="717"/>
        <v>YES</v>
      </c>
      <c r="R3171" t="str">
        <f t="shared" si="718"/>
        <v>NO</v>
      </c>
      <c r="T3171" t="s">
        <v>14</v>
      </c>
      <c r="U3171" t="str">
        <f t="shared" si="719"/>
        <v>Massachusetts Ave</v>
      </c>
      <c r="V3171" t="s">
        <v>249</v>
      </c>
      <c r="W3171" t="str">
        <f t="shared" si="720"/>
        <v>Landsdowne St</v>
      </c>
      <c r="X3171" t="str">
        <f>IF(ISBLANK(S3171),"Intersection","Non-Intersection")</f>
        <v>Intersection</v>
      </c>
      <c r="Y3171" t="s">
        <v>250</v>
      </c>
      <c r="Z3171" t="str">
        <f t="shared" si="72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08"/>
        <v>40909</v>
      </c>
      <c r="D3172" s="4">
        <f t="shared" si="709"/>
        <v>2.185792349726776E-2</v>
      </c>
      <c r="E3172" s="3">
        <f t="shared" si="710"/>
        <v>2012</v>
      </c>
      <c r="F3172" s="3">
        <f t="shared" si="711"/>
        <v>1</v>
      </c>
      <c r="G3172" s="3">
        <f t="shared" si="712"/>
        <v>9</v>
      </c>
      <c r="H3172" s="3">
        <f t="shared" si="713"/>
        <v>22</v>
      </c>
      <c r="I3172" s="3">
        <f t="shared" si="714"/>
        <v>38</v>
      </c>
      <c r="J3172" s="3">
        <f t="shared" si="715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16"/>
        <v>YES</v>
      </c>
      <c r="Q3172" t="str">
        <f t="shared" si="717"/>
        <v>NO</v>
      </c>
      <c r="R3172" t="str">
        <f t="shared" si="718"/>
        <v>NO</v>
      </c>
      <c r="S3172">
        <v>2616</v>
      </c>
      <c r="T3172" t="s">
        <v>14</v>
      </c>
      <c r="U3172" t="str">
        <f t="shared" si="719"/>
        <v>Massachusetts Ave</v>
      </c>
      <c r="W3172" t="str">
        <f t="shared" si="720"/>
        <v/>
      </c>
      <c r="X3172" t="str">
        <f>IF(ISBLANK(S3172),"Intersection","Non-Intersection")</f>
        <v>Non-Intersection</v>
      </c>
      <c r="Y3172" t="s">
        <v>4105</v>
      </c>
      <c r="Z3172" t="str">
        <f t="shared" si="72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08"/>
        <v>40909</v>
      </c>
      <c r="D3173" s="4">
        <f t="shared" si="709"/>
        <v>2.185792349726776E-2</v>
      </c>
      <c r="E3173" s="3">
        <f t="shared" si="710"/>
        <v>2012</v>
      </c>
      <c r="F3173" s="3">
        <f t="shared" si="711"/>
        <v>1</v>
      </c>
      <c r="G3173" s="3">
        <f t="shared" si="712"/>
        <v>9</v>
      </c>
      <c r="H3173" s="3">
        <f t="shared" si="713"/>
        <v>18</v>
      </c>
      <c r="I3173" s="3">
        <f t="shared" si="714"/>
        <v>0</v>
      </c>
      <c r="J3173" s="3">
        <f t="shared" si="715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16"/>
        <v>YES</v>
      </c>
      <c r="Q3173" t="str">
        <f t="shared" si="717"/>
        <v>NO</v>
      </c>
      <c r="R3173" t="str">
        <f t="shared" si="718"/>
        <v>NO</v>
      </c>
      <c r="S3173">
        <v>22</v>
      </c>
      <c r="T3173" t="s">
        <v>1307</v>
      </c>
      <c r="U3173" t="str">
        <f t="shared" si="719"/>
        <v>Creighton St</v>
      </c>
      <c r="W3173" t="str">
        <f t="shared" si="720"/>
        <v/>
      </c>
      <c r="X3173" t="str">
        <f>IF(ISBLANK(S3173),"Intersection","Non-Intersection")</f>
        <v>Non-Intersection</v>
      </c>
      <c r="Y3173" t="s">
        <v>4106</v>
      </c>
      <c r="Z3173" t="str">
        <f t="shared" si="72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08"/>
        <v>40909</v>
      </c>
      <c r="D3174" s="4">
        <f t="shared" si="709"/>
        <v>2.185792349726776E-2</v>
      </c>
      <c r="E3174" s="3">
        <f t="shared" si="710"/>
        <v>2012</v>
      </c>
      <c r="F3174" s="3">
        <f t="shared" si="711"/>
        <v>1</v>
      </c>
      <c r="G3174" s="3">
        <f t="shared" si="712"/>
        <v>9</v>
      </c>
      <c r="H3174" s="3">
        <f t="shared" si="713"/>
        <v>10</v>
      </c>
      <c r="I3174" s="3">
        <f t="shared" si="714"/>
        <v>19</v>
      </c>
      <c r="J3174" s="3">
        <f t="shared" si="715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16"/>
        <v>YES</v>
      </c>
      <c r="Q3174" t="str">
        <f t="shared" si="717"/>
        <v>NO</v>
      </c>
      <c r="R3174" t="str">
        <f t="shared" si="718"/>
        <v>NO</v>
      </c>
      <c r="T3174" t="s">
        <v>4108</v>
      </c>
      <c r="U3174" t="str">
        <f t="shared" si="719"/>
        <v>Avon St</v>
      </c>
      <c r="V3174" t="s">
        <v>94</v>
      </c>
      <c r="W3174" t="str">
        <f t="shared" si="720"/>
        <v>Shepard St</v>
      </c>
      <c r="X3174" t="str">
        <f>IF(ISBLANK(S3174),"Intersection","Non-Intersection")</f>
        <v>Intersection</v>
      </c>
      <c r="Y3174" t="s">
        <v>4109</v>
      </c>
      <c r="Z3174" t="str">
        <f t="shared" si="72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22">EOMONTH(B3175,MONTH(B3175)*-1)+1</f>
        <v>40909</v>
      </c>
      <c r="D3175" s="4">
        <f t="shared" ref="D3175:D3234" si="723">YEARFRAC(C3175,B3175,1)</f>
        <v>2.4590163934426229E-2</v>
      </c>
      <c r="E3175" s="3">
        <f t="shared" ref="E3175:E3234" si="724">YEAR(B3175)</f>
        <v>2012</v>
      </c>
      <c r="F3175" s="3">
        <f t="shared" ref="F3175:F3234" si="725">MONTH(B3175)</f>
        <v>1</v>
      </c>
      <c r="G3175" s="3">
        <f t="shared" ref="G3175:G3234" si="726">DAY(B3175)</f>
        <v>10</v>
      </c>
      <c r="H3175" s="3">
        <f t="shared" ref="H3175:H3234" si="727">HOUR(B3175)</f>
        <v>13</v>
      </c>
      <c r="I3175" s="3">
        <f t="shared" ref="I3175:I3234" si="728">MINUTE(B3175)</f>
        <v>30</v>
      </c>
      <c r="J3175" s="3">
        <f t="shared" ref="J3175:J3234" si="72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30">IF(OR(N3175="Auto",O3175="Auto"),"YES",IF(OR(N3175="Taxi",O3175="Taxi"),"YES",IF(OR(N3175="Van",O3175="Van"),"YES",IF(OR(N3175="Truck",O3175="Truck"),"YES","NO"))))</f>
        <v>YES</v>
      </c>
      <c r="Q3175" t="str">
        <f t="shared" ref="Q3175:Q3234" si="731">IF(OR(N3175="Bicycle",O3175="Bicycle"),"YES","NO")</f>
        <v>NO</v>
      </c>
      <c r="R3175" t="str">
        <f t="shared" ref="R3175:R3234" si="732">IF(OR(N3175="Pedestrian",O3175="Pedestrian"),"YES","NO")</f>
        <v>NO</v>
      </c>
      <c r="T3175" t="s">
        <v>14</v>
      </c>
      <c r="U3175" t="str">
        <f t="shared" si="719"/>
        <v>Massachusetts Ave</v>
      </c>
      <c r="V3175" t="s">
        <v>634</v>
      </c>
      <c r="W3175" t="str">
        <f t="shared" si="720"/>
        <v>Chauncy St</v>
      </c>
      <c r="X3175" t="str">
        <f>IF(ISBLANK(S3175),"Intersection","Non-Intersection")</f>
        <v>Intersection</v>
      </c>
      <c r="Y3175" t="s">
        <v>1837</v>
      </c>
      <c r="Z3175" t="str">
        <f t="shared" si="72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22"/>
        <v>40909</v>
      </c>
      <c r="D3176" s="4">
        <f t="shared" si="723"/>
        <v>2.4590163934426229E-2</v>
      </c>
      <c r="E3176" s="3">
        <f t="shared" si="724"/>
        <v>2012</v>
      </c>
      <c r="F3176" s="3">
        <f t="shared" si="725"/>
        <v>1</v>
      </c>
      <c r="G3176" s="3">
        <f t="shared" si="726"/>
        <v>10</v>
      </c>
      <c r="H3176" s="3">
        <f t="shared" si="727"/>
        <v>18</v>
      </c>
      <c r="I3176" s="3">
        <f t="shared" si="728"/>
        <v>31</v>
      </c>
      <c r="J3176" s="3">
        <f t="shared" si="72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30"/>
        <v>YES</v>
      </c>
      <c r="Q3176" t="str">
        <f t="shared" si="731"/>
        <v>NO</v>
      </c>
      <c r="R3176" t="str">
        <f t="shared" si="732"/>
        <v>NO</v>
      </c>
      <c r="T3176" t="s">
        <v>119</v>
      </c>
      <c r="U3176" t="str">
        <f t="shared" si="719"/>
        <v>Albany St</v>
      </c>
      <c r="V3176" t="s">
        <v>958</v>
      </c>
      <c r="W3176" t="str">
        <f t="shared" si="720"/>
        <v>Pacific St</v>
      </c>
      <c r="X3176" t="str">
        <f>IF(ISBLANK(S3176),"Intersection","Non-Intersection")</f>
        <v>Intersection</v>
      </c>
      <c r="Y3176" t="s">
        <v>959</v>
      </c>
      <c r="Z3176" t="str">
        <f t="shared" si="72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22"/>
        <v>40909</v>
      </c>
      <c r="D3177" s="4">
        <f t="shared" si="723"/>
        <v>2.7322404371584699E-2</v>
      </c>
      <c r="E3177" s="3">
        <f t="shared" si="724"/>
        <v>2012</v>
      </c>
      <c r="F3177" s="3">
        <f t="shared" si="725"/>
        <v>1</v>
      </c>
      <c r="G3177" s="3">
        <f t="shared" si="726"/>
        <v>11</v>
      </c>
      <c r="H3177" s="3">
        <f t="shared" si="727"/>
        <v>6</v>
      </c>
      <c r="I3177" s="3">
        <f t="shared" si="728"/>
        <v>49</v>
      </c>
      <c r="J3177" s="3">
        <f t="shared" si="72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30"/>
        <v>YES</v>
      </c>
      <c r="Q3177" t="str">
        <f t="shared" si="731"/>
        <v>NO</v>
      </c>
      <c r="R3177" t="str">
        <f t="shared" si="732"/>
        <v>NO</v>
      </c>
      <c r="T3177" t="s">
        <v>41</v>
      </c>
      <c r="U3177" t="str">
        <f t="shared" si="719"/>
        <v>River St</v>
      </c>
      <c r="V3177" t="s">
        <v>757</v>
      </c>
      <c r="W3177" t="str">
        <f t="shared" si="720"/>
        <v>Blackstone St</v>
      </c>
      <c r="X3177" t="str">
        <f>IF(ISBLANK(S3177),"Intersection","Non-Intersection")</f>
        <v>Intersection</v>
      </c>
      <c r="Y3177" t="s">
        <v>758</v>
      </c>
      <c r="Z3177" t="str">
        <f t="shared" si="72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22"/>
        <v>40909</v>
      </c>
      <c r="D3178" s="4">
        <f t="shared" si="723"/>
        <v>2.7322404371584699E-2</v>
      </c>
      <c r="E3178" s="3">
        <f t="shared" si="724"/>
        <v>2012</v>
      </c>
      <c r="F3178" s="3">
        <f t="shared" si="725"/>
        <v>1</v>
      </c>
      <c r="G3178" s="3">
        <f t="shared" si="726"/>
        <v>11</v>
      </c>
      <c r="H3178" s="3">
        <f t="shared" si="727"/>
        <v>16</v>
      </c>
      <c r="I3178" s="3">
        <f t="shared" si="728"/>
        <v>44</v>
      </c>
      <c r="J3178" s="3">
        <f t="shared" si="72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30"/>
        <v>YES</v>
      </c>
      <c r="Q3178" t="str">
        <f t="shared" si="731"/>
        <v>NO</v>
      </c>
      <c r="R3178" t="str">
        <f t="shared" si="732"/>
        <v>NO</v>
      </c>
      <c r="T3178" t="s">
        <v>342</v>
      </c>
      <c r="U3178" t="str">
        <f t="shared" si="719"/>
        <v>Prospect St</v>
      </c>
      <c r="V3178" t="s">
        <v>316</v>
      </c>
      <c r="W3178" t="str">
        <f t="shared" si="720"/>
        <v>Bishop Allen Dr</v>
      </c>
      <c r="X3178" t="str">
        <f>IF(ISBLANK(S3178),"Intersection","Non-Intersection")</f>
        <v>Intersection</v>
      </c>
      <c r="Y3178" t="s">
        <v>2529</v>
      </c>
      <c r="Z3178" t="str">
        <f t="shared" si="72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22"/>
        <v>40909</v>
      </c>
      <c r="D3179" s="4">
        <f t="shared" si="723"/>
        <v>2.7322404371584699E-2</v>
      </c>
      <c r="E3179" s="3">
        <f t="shared" si="724"/>
        <v>2012</v>
      </c>
      <c r="F3179" s="3">
        <f t="shared" si="725"/>
        <v>1</v>
      </c>
      <c r="G3179" s="3">
        <f t="shared" si="726"/>
        <v>11</v>
      </c>
      <c r="H3179" s="3">
        <f t="shared" si="727"/>
        <v>18</v>
      </c>
      <c r="I3179" s="3">
        <f t="shared" si="728"/>
        <v>0</v>
      </c>
      <c r="J3179" s="3">
        <f t="shared" si="72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30"/>
        <v>YES</v>
      </c>
      <c r="Q3179" t="str">
        <f t="shared" si="731"/>
        <v>NO</v>
      </c>
      <c r="R3179" t="str">
        <f t="shared" si="732"/>
        <v>NO</v>
      </c>
      <c r="T3179" t="s">
        <v>133</v>
      </c>
      <c r="U3179" t="str">
        <f t="shared" si="719"/>
        <v>Harvard St</v>
      </c>
      <c r="V3179" t="s">
        <v>75</v>
      </c>
      <c r="W3179" t="str">
        <f t="shared" si="720"/>
        <v>Elm St</v>
      </c>
      <c r="X3179" t="str">
        <f>IF(ISBLANK(S3179),"Intersection","Non-Intersection")</f>
        <v>Intersection</v>
      </c>
      <c r="Y3179" t="s">
        <v>4111</v>
      </c>
      <c r="Z3179" t="str">
        <f t="shared" si="72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22"/>
        <v>40909</v>
      </c>
      <c r="D3180" s="4">
        <f t="shared" si="723"/>
        <v>2.7322404371584699E-2</v>
      </c>
      <c r="E3180" s="3">
        <f t="shared" si="724"/>
        <v>2012</v>
      </c>
      <c r="F3180" s="3">
        <f t="shared" si="725"/>
        <v>1</v>
      </c>
      <c r="G3180" s="3">
        <f t="shared" si="726"/>
        <v>11</v>
      </c>
      <c r="H3180" s="3">
        <f t="shared" si="727"/>
        <v>18</v>
      </c>
      <c r="I3180" s="3">
        <f t="shared" si="728"/>
        <v>59</v>
      </c>
      <c r="J3180" s="3">
        <f t="shared" si="72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30"/>
        <v>YES</v>
      </c>
      <c r="Q3180" t="str">
        <f t="shared" si="731"/>
        <v>NO</v>
      </c>
      <c r="R3180" t="str">
        <f t="shared" si="732"/>
        <v>NO</v>
      </c>
      <c r="T3180" t="s">
        <v>19</v>
      </c>
      <c r="U3180" t="str">
        <f t="shared" si="719"/>
        <v>Cambridge St</v>
      </c>
      <c r="V3180" t="s">
        <v>1646</v>
      </c>
      <c r="W3180" t="str">
        <f t="shared" si="720"/>
        <v>Lambert St</v>
      </c>
      <c r="X3180" t="str">
        <f>IF(ISBLANK(S3180),"Intersection","Non-Intersection")</f>
        <v>Intersection</v>
      </c>
      <c r="Y3180" t="s">
        <v>1647</v>
      </c>
      <c r="Z3180" t="str">
        <f t="shared" si="72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22"/>
        <v>40909</v>
      </c>
      <c r="D3181" s="4">
        <f t="shared" si="723"/>
        <v>2.7322404371584699E-2</v>
      </c>
      <c r="E3181" s="3">
        <f t="shared" si="724"/>
        <v>2012</v>
      </c>
      <c r="F3181" s="3">
        <f t="shared" si="725"/>
        <v>1</v>
      </c>
      <c r="G3181" s="3">
        <f t="shared" si="726"/>
        <v>11</v>
      </c>
      <c r="H3181" s="3">
        <f t="shared" si="727"/>
        <v>7</v>
      </c>
      <c r="I3181" s="3">
        <f t="shared" si="728"/>
        <v>18</v>
      </c>
      <c r="J3181" s="3">
        <f t="shared" si="72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30"/>
        <v>YES</v>
      </c>
      <c r="Q3181" t="str">
        <f t="shared" si="731"/>
        <v>YES</v>
      </c>
      <c r="R3181" t="str">
        <f t="shared" si="732"/>
        <v>NO</v>
      </c>
      <c r="S3181">
        <v>1688</v>
      </c>
      <c r="T3181" t="s">
        <v>14</v>
      </c>
      <c r="U3181" t="str">
        <f t="shared" si="719"/>
        <v>Massachusetts Ave</v>
      </c>
      <c r="W3181" t="str">
        <f t="shared" si="720"/>
        <v/>
      </c>
      <c r="X3181" t="str">
        <f>IF(ISBLANK(S3181),"Intersection","Non-Intersection")</f>
        <v>Non-Intersection</v>
      </c>
      <c r="Y3181" t="s">
        <v>4055</v>
      </c>
      <c r="Z3181" t="str">
        <f t="shared" si="72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22"/>
        <v>40909</v>
      </c>
      <c r="D3182" s="4">
        <f t="shared" si="723"/>
        <v>2.7322404371584699E-2</v>
      </c>
      <c r="E3182" s="3">
        <f t="shared" si="724"/>
        <v>2012</v>
      </c>
      <c r="F3182" s="3">
        <f t="shared" si="725"/>
        <v>1</v>
      </c>
      <c r="G3182" s="3">
        <f t="shared" si="726"/>
        <v>11</v>
      </c>
      <c r="H3182" s="3">
        <f t="shared" si="727"/>
        <v>11</v>
      </c>
      <c r="I3182" s="3">
        <f t="shared" si="728"/>
        <v>0</v>
      </c>
      <c r="J3182" s="3">
        <f t="shared" si="72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30"/>
        <v>YES</v>
      </c>
      <c r="Q3182" t="str">
        <f t="shared" si="731"/>
        <v>NO</v>
      </c>
      <c r="R3182" t="str">
        <f t="shared" si="732"/>
        <v>NO</v>
      </c>
      <c r="S3182">
        <v>358</v>
      </c>
      <c r="T3182" t="s">
        <v>142</v>
      </c>
      <c r="U3182" t="str">
        <f t="shared" si="719"/>
        <v>Huron Ave</v>
      </c>
      <c r="W3182" t="str">
        <f t="shared" si="720"/>
        <v/>
      </c>
      <c r="X3182" t="str">
        <f>IF(ISBLANK(S3182),"Intersection","Non-Intersection")</f>
        <v>Non-Intersection</v>
      </c>
      <c r="Y3182" t="s">
        <v>2163</v>
      </c>
      <c r="Z3182" t="str">
        <f t="shared" si="72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22"/>
        <v>40909</v>
      </c>
      <c r="D3183" s="4">
        <f t="shared" si="723"/>
        <v>3.0054644808743168E-2</v>
      </c>
      <c r="E3183" s="3">
        <f t="shared" si="724"/>
        <v>2012</v>
      </c>
      <c r="F3183" s="3">
        <f t="shared" si="725"/>
        <v>1</v>
      </c>
      <c r="G3183" s="3">
        <f t="shared" si="726"/>
        <v>12</v>
      </c>
      <c r="H3183" s="3">
        <f t="shared" si="727"/>
        <v>2</v>
      </c>
      <c r="I3183" s="3">
        <f t="shared" si="728"/>
        <v>32</v>
      </c>
      <c r="J3183" s="3">
        <f t="shared" si="72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30"/>
        <v>YES</v>
      </c>
      <c r="Q3183" t="str">
        <f t="shared" si="731"/>
        <v>NO</v>
      </c>
      <c r="R3183" t="str">
        <f t="shared" si="732"/>
        <v>NO</v>
      </c>
      <c r="S3183">
        <v>369</v>
      </c>
      <c r="T3183" t="s">
        <v>129</v>
      </c>
      <c r="U3183" t="str">
        <f t="shared" si="719"/>
        <v>Cardinal Medeiros Ave</v>
      </c>
      <c r="W3183" t="str">
        <f t="shared" si="720"/>
        <v/>
      </c>
      <c r="X3183" t="str">
        <f>IF(ISBLANK(S3183),"Intersection","Non-Intersection")</f>
        <v>Non-Intersection</v>
      </c>
      <c r="Y3183" t="s">
        <v>4113</v>
      </c>
      <c r="Z3183" t="str">
        <f t="shared" si="72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22"/>
        <v>40909</v>
      </c>
      <c r="D3184" s="4">
        <f t="shared" si="723"/>
        <v>3.0054644808743168E-2</v>
      </c>
      <c r="E3184" s="3">
        <f t="shared" si="724"/>
        <v>2012</v>
      </c>
      <c r="F3184" s="3">
        <f t="shared" si="725"/>
        <v>1</v>
      </c>
      <c r="G3184" s="3">
        <f t="shared" si="726"/>
        <v>12</v>
      </c>
      <c r="H3184" s="3">
        <f t="shared" si="727"/>
        <v>9</v>
      </c>
      <c r="I3184" s="3">
        <f t="shared" si="728"/>
        <v>0</v>
      </c>
      <c r="J3184" s="3">
        <f t="shared" si="72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30"/>
        <v>YES</v>
      </c>
      <c r="Q3184" t="str">
        <f t="shared" si="731"/>
        <v>NO</v>
      </c>
      <c r="R3184" t="str">
        <f t="shared" si="732"/>
        <v>NO</v>
      </c>
      <c r="T3184" t="s">
        <v>796</v>
      </c>
      <c r="U3184" t="str">
        <f t="shared" si="719"/>
        <v>Portland St</v>
      </c>
      <c r="W3184" t="str">
        <f t="shared" si="720"/>
        <v/>
      </c>
      <c r="X3184" t="str">
        <f>IF(ISBLANK(S3184),"Intersection","Non-Intersection")</f>
        <v>Intersection</v>
      </c>
      <c r="Y3184" t="s">
        <v>4115</v>
      </c>
      <c r="Z3184" t="str">
        <f t="shared" si="72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22"/>
        <v>40909</v>
      </c>
      <c r="D3185" s="4">
        <f t="shared" si="723"/>
        <v>3.0054644808743168E-2</v>
      </c>
      <c r="E3185" s="3">
        <f t="shared" si="724"/>
        <v>2012</v>
      </c>
      <c r="F3185" s="3">
        <f t="shared" si="725"/>
        <v>1</v>
      </c>
      <c r="G3185" s="3">
        <f t="shared" si="726"/>
        <v>12</v>
      </c>
      <c r="H3185" s="3">
        <f t="shared" si="727"/>
        <v>12</v>
      </c>
      <c r="I3185" s="3">
        <f t="shared" si="728"/>
        <v>30</v>
      </c>
      <c r="J3185" s="3">
        <f t="shared" si="72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30"/>
        <v>YES</v>
      </c>
      <c r="Q3185" t="str">
        <f t="shared" si="731"/>
        <v>NO</v>
      </c>
      <c r="R3185" t="str">
        <f t="shared" si="732"/>
        <v>NO</v>
      </c>
      <c r="T3185" t="s">
        <v>209</v>
      </c>
      <c r="U3185" t="str">
        <f t="shared" si="719"/>
        <v>Binney St</v>
      </c>
      <c r="V3185" t="s">
        <v>260</v>
      </c>
      <c r="W3185" t="str">
        <f t="shared" si="720"/>
        <v>Third St</v>
      </c>
      <c r="X3185" t="str">
        <f>IF(ISBLANK(S3185),"Intersection","Non-Intersection")</f>
        <v>Intersection</v>
      </c>
      <c r="Y3185" t="s">
        <v>531</v>
      </c>
      <c r="Z3185" t="str">
        <f t="shared" si="72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22"/>
        <v>40909</v>
      </c>
      <c r="D3186" s="4">
        <f t="shared" si="723"/>
        <v>3.0054644808743168E-2</v>
      </c>
      <c r="E3186" s="3">
        <f t="shared" si="724"/>
        <v>2012</v>
      </c>
      <c r="F3186" s="3">
        <f t="shared" si="725"/>
        <v>1</v>
      </c>
      <c r="G3186" s="3">
        <f t="shared" si="726"/>
        <v>12</v>
      </c>
      <c r="H3186" s="3">
        <f t="shared" si="727"/>
        <v>16</v>
      </c>
      <c r="I3186" s="3">
        <f t="shared" si="728"/>
        <v>34</v>
      </c>
      <c r="J3186" s="3">
        <f t="shared" si="72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30"/>
        <v>YES</v>
      </c>
      <c r="Q3186" t="str">
        <f t="shared" si="731"/>
        <v>NO</v>
      </c>
      <c r="R3186" t="str">
        <f t="shared" si="732"/>
        <v>NO</v>
      </c>
      <c r="S3186">
        <v>335</v>
      </c>
      <c r="T3186" t="s">
        <v>105</v>
      </c>
      <c r="U3186" t="str">
        <f t="shared" si="719"/>
        <v>Broadway</v>
      </c>
      <c r="W3186" t="str">
        <f t="shared" si="720"/>
        <v/>
      </c>
      <c r="X3186" t="str">
        <f>IF(ISBLANK(S3186),"Intersection","Non-Intersection")</f>
        <v>Non-Intersection</v>
      </c>
      <c r="Y3186" t="s">
        <v>4116</v>
      </c>
      <c r="Z3186" t="str">
        <f t="shared" si="72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22"/>
        <v>40909</v>
      </c>
      <c r="D3187" s="4">
        <f t="shared" si="723"/>
        <v>3.0054644808743168E-2</v>
      </c>
      <c r="E3187" s="3">
        <f t="shared" si="724"/>
        <v>2012</v>
      </c>
      <c r="F3187" s="3">
        <f t="shared" si="725"/>
        <v>1</v>
      </c>
      <c r="G3187" s="3">
        <f t="shared" si="726"/>
        <v>12</v>
      </c>
      <c r="H3187" s="3">
        <f t="shared" si="727"/>
        <v>18</v>
      </c>
      <c r="I3187" s="3">
        <f t="shared" si="728"/>
        <v>0</v>
      </c>
      <c r="J3187" s="3">
        <f t="shared" si="72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30"/>
        <v>YES</v>
      </c>
      <c r="Q3187" t="str">
        <f t="shared" si="731"/>
        <v>NO</v>
      </c>
      <c r="R3187" t="str">
        <f t="shared" si="732"/>
        <v>NO</v>
      </c>
      <c r="T3187" t="s">
        <v>379</v>
      </c>
      <c r="U3187" t="str">
        <f t="shared" si="719"/>
        <v>Second St</v>
      </c>
      <c r="V3187" t="s">
        <v>1502</v>
      </c>
      <c r="W3187" t="str">
        <f t="shared" si="720"/>
        <v>Gore St</v>
      </c>
      <c r="X3187" t="str">
        <f>IF(ISBLANK(S3187),"Intersection","Non-Intersection")</f>
        <v>Intersection</v>
      </c>
      <c r="Y3187" t="s">
        <v>4118</v>
      </c>
      <c r="Z3187" t="str">
        <f t="shared" si="72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22"/>
        <v>40909</v>
      </c>
      <c r="D3188" s="4">
        <f t="shared" si="723"/>
        <v>3.0054644808743168E-2</v>
      </c>
      <c r="E3188" s="3">
        <f t="shared" si="724"/>
        <v>2012</v>
      </c>
      <c r="F3188" s="3">
        <f t="shared" si="725"/>
        <v>1</v>
      </c>
      <c r="G3188" s="3">
        <f t="shared" si="726"/>
        <v>12</v>
      </c>
      <c r="H3188" s="3">
        <f t="shared" si="727"/>
        <v>18</v>
      </c>
      <c r="I3188" s="3">
        <f t="shared" si="728"/>
        <v>20</v>
      </c>
      <c r="J3188" s="3">
        <f t="shared" si="72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30"/>
        <v>YES</v>
      </c>
      <c r="Q3188" t="str">
        <f t="shared" si="731"/>
        <v>NO</v>
      </c>
      <c r="R3188" t="str">
        <f t="shared" si="732"/>
        <v>NO</v>
      </c>
      <c r="T3188" t="s">
        <v>178</v>
      </c>
      <c r="U3188" t="str">
        <f t="shared" si="719"/>
        <v>Pleasant St</v>
      </c>
      <c r="V3188" t="s">
        <v>832</v>
      </c>
      <c r="W3188" t="str">
        <f t="shared" si="720"/>
        <v>Fairmont Ave</v>
      </c>
      <c r="X3188" t="str">
        <f>IF(ISBLANK(S3188),"Intersection","Non-Intersection")</f>
        <v>Intersection</v>
      </c>
      <c r="Y3188" t="s">
        <v>4119</v>
      </c>
      <c r="Z3188" t="str">
        <f t="shared" si="72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22"/>
        <v>40909</v>
      </c>
      <c r="D3189" s="4">
        <f t="shared" si="723"/>
        <v>3.0054644808743168E-2</v>
      </c>
      <c r="E3189" s="3">
        <f t="shared" si="724"/>
        <v>2012</v>
      </c>
      <c r="F3189" s="3">
        <f t="shared" si="725"/>
        <v>1</v>
      </c>
      <c r="G3189" s="3">
        <f t="shared" si="726"/>
        <v>12</v>
      </c>
      <c r="H3189" s="3">
        <f t="shared" si="727"/>
        <v>17</v>
      </c>
      <c r="I3189" s="3">
        <f t="shared" si="728"/>
        <v>12</v>
      </c>
      <c r="J3189" s="3">
        <f t="shared" si="72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30"/>
        <v>YES</v>
      </c>
      <c r="Q3189" t="str">
        <f t="shared" si="731"/>
        <v>NO</v>
      </c>
      <c r="R3189" t="str">
        <f t="shared" si="732"/>
        <v>NO</v>
      </c>
      <c r="T3189" t="s">
        <v>14</v>
      </c>
      <c r="U3189" t="str">
        <f t="shared" si="719"/>
        <v>Massachusetts Ave</v>
      </c>
      <c r="V3189" t="s">
        <v>2012</v>
      </c>
      <c r="W3189" t="str">
        <f t="shared" si="720"/>
        <v>Mellen St</v>
      </c>
      <c r="X3189" t="str">
        <f>IF(ISBLANK(S3189),"Intersection","Non-Intersection")</f>
        <v>Intersection</v>
      </c>
      <c r="Y3189" t="s">
        <v>2013</v>
      </c>
      <c r="Z3189" t="str">
        <f t="shared" si="72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22"/>
        <v>40909</v>
      </c>
      <c r="D3190" s="4">
        <f t="shared" si="723"/>
        <v>3.2786885245901641E-2</v>
      </c>
      <c r="E3190" s="3">
        <f t="shared" si="724"/>
        <v>2012</v>
      </c>
      <c r="F3190" s="3">
        <f t="shared" si="725"/>
        <v>1</v>
      </c>
      <c r="G3190" s="3">
        <f t="shared" si="726"/>
        <v>13</v>
      </c>
      <c r="H3190" s="3">
        <f t="shared" si="727"/>
        <v>10</v>
      </c>
      <c r="I3190" s="3">
        <f t="shared" si="728"/>
        <v>9</v>
      </c>
      <c r="J3190" s="3">
        <f t="shared" si="72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30"/>
        <v>YES</v>
      </c>
      <c r="Q3190" t="str">
        <f t="shared" si="731"/>
        <v>NO</v>
      </c>
      <c r="R3190" t="str">
        <f t="shared" si="732"/>
        <v>NO</v>
      </c>
      <c r="T3190" t="s">
        <v>166</v>
      </c>
      <c r="U3190" t="str">
        <f t="shared" si="719"/>
        <v>Oxford Ave</v>
      </c>
      <c r="V3190" t="s">
        <v>914</v>
      </c>
      <c r="W3190" t="str">
        <f t="shared" si="720"/>
        <v>Hammond St</v>
      </c>
      <c r="X3190" t="str">
        <f>IF(ISBLANK(S3190),"Intersection","Non-Intersection")</f>
        <v>Intersection</v>
      </c>
      <c r="Y3190" t="s">
        <v>4120</v>
      </c>
      <c r="Z3190" t="str">
        <f t="shared" si="72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22"/>
        <v>40909</v>
      </c>
      <c r="D3191" s="4">
        <f t="shared" si="723"/>
        <v>3.2786885245901641E-2</v>
      </c>
      <c r="E3191" s="3">
        <f t="shared" si="724"/>
        <v>2012</v>
      </c>
      <c r="F3191" s="3">
        <f t="shared" si="725"/>
        <v>1</v>
      </c>
      <c r="G3191" s="3">
        <f t="shared" si="726"/>
        <v>13</v>
      </c>
      <c r="H3191" s="3">
        <f t="shared" si="727"/>
        <v>12</v>
      </c>
      <c r="I3191" s="3">
        <f t="shared" si="728"/>
        <v>45</v>
      </c>
      <c r="J3191" s="3">
        <f t="shared" si="72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30"/>
        <v>YES</v>
      </c>
      <c r="Q3191" t="str">
        <f t="shared" si="731"/>
        <v>NO</v>
      </c>
      <c r="R3191" t="str">
        <f t="shared" si="732"/>
        <v>NO</v>
      </c>
      <c r="T3191" t="s">
        <v>19</v>
      </c>
      <c r="U3191" t="str">
        <f t="shared" si="719"/>
        <v>Cambridge St</v>
      </c>
      <c r="V3191" t="s">
        <v>3844</v>
      </c>
      <c r="W3191" t="str">
        <f t="shared" si="720"/>
        <v>Warren Pl</v>
      </c>
      <c r="X3191" t="str">
        <f>IF(ISBLANK(S3191),"Intersection","Non-Intersection")</f>
        <v>Intersection</v>
      </c>
      <c r="Y3191" t="s">
        <v>3845</v>
      </c>
      <c r="Z3191" t="str">
        <f t="shared" si="72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22"/>
        <v>40909</v>
      </c>
      <c r="D3192" s="4">
        <f t="shared" si="723"/>
        <v>3.2786885245901641E-2</v>
      </c>
      <c r="E3192" s="3">
        <f t="shared" si="724"/>
        <v>2012</v>
      </c>
      <c r="F3192" s="3">
        <f t="shared" si="725"/>
        <v>1</v>
      </c>
      <c r="G3192" s="3">
        <f t="shared" si="726"/>
        <v>13</v>
      </c>
      <c r="H3192" s="3">
        <f t="shared" si="727"/>
        <v>13</v>
      </c>
      <c r="I3192" s="3">
        <f t="shared" si="728"/>
        <v>50</v>
      </c>
      <c r="J3192" s="3">
        <f t="shared" si="72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30"/>
        <v>YES</v>
      </c>
      <c r="Q3192" t="str">
        <f t="shared" si="731"/>
        <v>NO</v>
      </c>
      <c r="R3192" t="str">
        <f t="shared" si="732"/>
        <v>NO</v>
      </c>
      <c r="S3192">
        <v>10</v>
      </c>
      <c r="T3192" t="s">
        <v>846</v>
      </c>
      <c r="U3192" t="str">
        <f t="shared" si="719"/>
        <v>Bowdoin St</v>
      </c>
      <c r="W3192" t="str">
        <f t="shared" si="720"/>
        <v/>
      </c>
      <c r="X3192" t="str">
        <f>IF(ISBLANK(S3192),"Intersection","Non-Intersection")</f>
        <v>Non-Intersection</v>
      </c>
      <c r="Y3192" t="s">
        <v>4122</v>
      </c>
      <c r="Z3192" t="str">
        <f t="shared" si="72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22"/>
        <v>40909</v>
      </c>
      <c r="D3193" s="4">
        <f t="shared" si="723"/>
        <v>3.2786885245901641E-2</v>
      </c>
      <c r="E3193" s="3">
        <f t="shared" si="724"/>
        <v>2012</v>
      </c>
      <c r="F3193" s="3">
        <f t="shared" si="725"/>
        <v>1</v>
      </c>
      <c r="G3193" s="3">
        <f t="shared" si="726"/>
        <v>13</v>
      </c>
      <c r="H3193" s="3">
        <f t="shared" si="727"/>
        <v>16</v>
      </c>
      <c r="I3193" s="3">
        <f t="shared" si="728"/>
        <v>8</v>
      </c>
      <c r="J3193" s="3">
        <f t="shared" si="72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30"/>
        <v>YES</v>
      </c>
      <c r="Q3193" t="str">
        <f t="shared" si="731"/>
        <v>NO</v>
      </c>
      <c r="R3193" t="str">
        <f t="shared" si="732"/>
        <v>NO</v>
      </c>
      <c r="T3193" t="s">
        <v>14</v>
      </c>
      <c r="U3193" t="str">
        <f t="shared" si="719"/>
        <v>Massachusetts Ave</v>
      </c>
      <c r="V3193" t="s">
        <v>1275</v>
      </c>
      <c r="W3193" t="str">
        <f t="shared" si="720"/>
        <v>Richard Ave</v>
      </c>
      <c r="X3193" t="str">
        <f>IF(ISBLANK(S3193),"Intersection","Non-Intersection")</f>
        <v>Intersection</v>
      </c>
      <c r="Y3193" t="s">
        <v>2495</v>
      </c>
      <c r="Z3193" t="str">
        <f t="shared" si="72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22"/>
        <v>40909</v>
      </c>
      <c r="D3194" s="4">
        <f t="shared" si="723"/>
        <v>3.2786885245901641E-2</v>
      </c>
      <c r="E3194" s="3">
        <f t="shared" si="724"/>
        <v>2012</v>
      </c>
      <c r="F3194" s="3">
        <f t="shared" si="725"/>
        <v>1</v>
      </c>
      <c r="G3194" s="3">
        <f t="shared" si="726"/>
        <v>13</v>
      </c>
      <c r="H3194" s="3">
        <f t="shared" si="727"/>
        <v>18</v>
      </c>
      <c r="I3194" s="3">
        <f t="shared" si="728"/>
        <v>14</v>
      </c>
      <c r="J3194" s="3">
        <f t="shared" si="72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30"/>
        <v>YES</v>
      </c>
      <c r="Q3194" t="str">
        <f t="shared" si="731"/>
        <v>NO</v>
      </c>
      <c r="R3194" t="str">
        <f t="shared" si="732"/>
        <v>NO</v>
      </c>
      <c r="S3194">
        <v>150</v>
      </c>
      <c r="T3194" t="s">
        <v>74</v>
      </c>
      <c r="U3194" t="str">
        <f t="shared" si="719"/>
        <v>Hampshire St</v>
      </c>
      <c r="W3194" t="str">
        <f t="shared" si="720"/>
        <v/>
      </c>
      <c r="X3194" t="str">
        <f>IF(ISBLANK(S3194),"Intersection","Non-Intersection")</f>
        <v>Non-Intersection</v>
      </c>
      <c r="Y3194" t="s">
        <v>4124</v>
      </c>
      <c r="Z3194" t="str">
        <f t="shared" si="72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22"/>
        <v>40909</v>
      </c>
      <c r="D3195" s="4">
        <f t="shared" si="723"/>
        <v>3.2786885245901641E-2</v>
      </c>
      <c r="E3195" s="3">
        <f t="shared" si="724"/>
        <v>2012</v>
      </c>
      <c r="F3195" s="3">
        <f t="shared" si="725"/>
        <v>1</v>
      </c>
      <c r="G3195" s="3">
        <f t="shared" si="726"/>
        <v>13</v>
      </c>
      <c r="H3195" s="3">
        <f t="shared" si="727"/>
        <v>21</v>
      </c>
      <c r="I3195" s="3">
        <f t="shared" si="728"/>
        <v>11</v>
      </c>
      <c r="J3195" s="3">
        <f t="shared" si="72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30"/>
        <v>YES</v>
      </c>
      <c r="Q3195" t="str">
        <f t="shared" si="731"/>
        <v>NO</v>
      </c>
      <c r="R3195" t="str">
        <f t="shared" si="732"/>
        <v>NO</v>
      </c>
      <c r="T3195" t="s">
        <v>509</v>
      </c>
      <c r="U3195" t="str">
        <f t="shared" si="719"/>
        <v>Green St</v>
      </c>
      <c r="V3195" t="s">
        <v>37</v>
      </c>
      <c r="W3195" t="str">
        <f t="shared" si="720"/>
        <v>Magazine St</v>
      </c>
      <c r="X3195" t="str">
        <f>IF(ISBLANK(S3195),"Intersection","Non-Intersection")</f>
        <v>Intersection</v>
      </c>
      <c r="Y3195" t="s">
        <v>3350</v>
      </c>
      <c r="Z3195" t="str">
        <f t="shared" si="72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22"/>
        <v>40909</v>
      </c>
      <c r="D3196" s="4">
        <f t="shared" si="723"/>
        <v>3.5519125683060107E-2</v>
      </c>
      <c r="E3196" s="3">
        <f t="shared" si="724"/>
        <v>2012</v>
      </c>
      <c r="F3196" s="3">
        <f t="shared" si="725"/>
        <v>1</v>
      </c>
      <c r="G3196" s="3">
        <f t="shared" si="726"/>
        <v>14</v>
      </c>
      <c r="H3196" s="3">
        <f t="shared" si="727"/>
        <v>15</v>
      </c>
      <c r="I3196" s="3">
        <f t="shared" si="728"/>
        <v>30</v>
      </c>
      <c r="J3196" s="3">
        <f t="shared" si="72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30"/>
        <v>YES</v>
      </c>
      <c r="Q3196" t="str">
        <f t="shared" si="731"/>
        <v>NO</v>
      </c>
      <c r="R3196" t="str">
        <f t="shared" si="732"/>
        <v>NO</v>
      </c>
      <c r="T3196" t="s">
        <v>185</v>
      </c>
      <c r="U3196" t="str">
        <f t="shared" si="719"/>
        <v>Garden St</v>
      </c>
      <c r="V3196" t="s">
        <v>14</v>
      </c>
      <c r="W3196" t="str">
        <f t="shared" si="720"/>
        <v>Massachusetts Ave</v>
      </c>
      <c r="X3196" t="str">
        <f>IF(ISBLANK(S3196),"Intersection","Non-Intersection")</f>
        <v>Intersection</v>
      </c>
      <c r="Y3196" t="s">
        <v>1003</v>
      </c>
      <c r="Z3196" t="str">
        <f t="shared" si="72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22"/>
        <v>40909</v>
      </c>
      <c r="D3197" s="4">
        <f t="shared" si="723"/>
        <v>3.5519125683060107E-2</v>
      </c>
      <c r="E3197" s="3">
        <f t="shared" si="724"/>
        <v>2012</v>
      </c>
      <c r="F3197" s="3">
        <f t="shared" si="725"/>
        <v>1</v>
      </c>
      <c r="G3197" s="3">
        <f t="shared" si="726"/>
        <v>14</v>
      </c>
      <c r="H3197" s="3">
        <f t="shared" si="727"/>
        <v>8</v>
      </c>
      <c r="I3197" s="3">
        <f t="shared" si="728"/>
        <v>0</v>
      </c>
      <c r="J3197" s="3">
        <f t="shared" si="72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30"/>
        <v>YES</v>
      </c>
      <c r="Q3197" t="str">
        <f t="shared" si="731"/>
        <v>NO</v>
      </c>
      <c r="R3197" t="str">
        <f t="shared" si="732"/>
        <v>NO</v>
      </c>
      <c r="S3197">
        <v>720</v>
      </c>
      <c r="T3197" t="s">
        <v>14</v>
      </c>
      <c r="U3197" t="str">
        <f t="shared" si="719"/>
        <v>Massachusetts Ave</v>
      </c>
      <c r="W3197" t="str">
        <f t="shared" si="720"/>
        <v/>
      </c>
      <c r="X3197" t="str">
        <f>IF(ISBLANK(S3197),"Intersection","Non-Intersection")</f>
        <v>Non-Intersection</v>
      </c>
      <c r="Y3197" t="s">
        <v>1395</v>
      </c>
      <c r="Z3197" t="str">
        <f t="shared" si="72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22"/>
        <v>40909</v>
      </c>
      <c r="D3198" s="4">
        <f t="shared" si="723"/>
        <v>3.5519125683060107E-2</v>
      </c>
      <c r="E3198" s="3">
        <f t="shared" si="724"/>
        <v>2012</v>
      </c>
      <c r="F3198" s="3">
        <f t="shared" si="725"/>
        <v>1</v>
      </c>
      <c r="G3198" s="3">
        <f t="shared" si="726"/>
        <v>14</v>
      </c>
      <c r="H3198" s="3">
        <f t="shared" si="727"/>
        <v>3</v>
      </c>
      <c r="I3198" s="3">
        <f t="shared" si="728"/>
        <v>14</v>
      </c>
      <c r="J3198" s="3">
        <f t="shared" si="72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30"/>
        <v>YES</v>
      </c>
      <c r="Q3198" t="str">
        <f t="shared" si="731"/>
        <v>YES</v>
      </c>
      <c r="R3198" t="str">
        <f t="shared" si="732"/>
        <v>NO</v>
      </c>
      <c r="T3198" t="s">
        <v>14</v>
      </c>
      <c r="U3198" t="str">
        <f t="shared" si="719"/>
        <v>Massachusetts Ave</v>
      </c>
      <c r="V3198" t="s">
        <v>1492</v>
      </c>
      <c r="W3198" t="str">
        <f t="shared" si="720"/>
        <v>Exeter Park</v>
      </c>
      <c r="X3198" t="str">
        <f>IF(ISBLANK(S3198),"Intersection","Non-Intersection")</f>
        <v>Intersection</v>
      </c>
      <c r="Y3198" t="s">
        <v>1493</v>
      </c>
      <c r="Z3198" t="str">
        <f t="shared" si="72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22"/>
        <v>40909</v>
      </c>
      <c r="D3199" s="4">
        <f t="shared" si="723"/>
        <v>3.5519125683060107E-2</v>
      </c>
      <c r="E3199" s="3">
        <f t="shared" si="724"/>
        <v>2012</v>
      </c>
      <c r="F3199" s="3">
        <f t="shared" si="725"/>
        <v>1</v>
      </c>
      <c r="G3199" s="3">
        <f t="shared" si="726"/>
        <v>14</v>
      </c>
      <c r="H3199" s="3">
        <f t="shared" si="727"/>
        <v>22</v>
      </c>
      <c r="I3199" s="3">
        <f t="shared" si="728"/>
        <v>54</v>
      </c>
      <c r="J3199" s="3">
        <f t="shared" si="72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30"/>
        <v>YES</v>
      </c>
      <c r="Q3199" t="str">
        <f t="shared" si="731"/>
        <v>NO</v>
      </c>
      <c r="R3199" t="str">
        <f t="shared" si="732"/>
        <v>NO</v>
      </c>
      <c r="T3199" t="s">
        <v>61</v>
      </c>
      <c r="U3199" t="str">
        <f t="shared" si="719"/>
        <v>First St</v>
      </c>
      <c r="V3199" t="s">
        <v>19</v>
      </c>
      <c r="W3199" t="str">
        <f t="shared" si="720"/>
        <v>Cambridge St</v>
      </c>
      <c r="X3199" t="str">
        <f>IF(ISBLANK(S3199),"Intersection","Non-Intersection")</f>
        <v>Intersection</v>
      </c>
      <c r="Y3199" t="s">
        <v>2296</v>
      </c>
      <c r="Z3199" t="str">
        <f t="shared" si="72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22"/>
        <v>40909</v>
      </c>
      <c r="D3200" s="4">
        <f t="shared" si="723"/>
        <v>3.825136612021858E-2</v>
      </c>
      <c r="E3200" s="3">
        <f t="shared" si="724"/>
        <v>2012</v>
      </c>
      <c r="F3200" s="3">
        <f t="shared" si="725"/>
        <v>1</v>
      </c>
      <c r="G3200" s="3">
        <f t="shared" si="726"/>
        <v>15</v>
      </c>
      <c r="H3200" s="3">
        <f t="shared" si="727"/>
        <v>9</v>
      </c>
      <c r="I3200" s="3">
        <f t="shared" si="728"/>
        <v>30</v>
      </c>
      <c r="J3200" s="3">
        <f t="shared" si="72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30"/>
        <v>YES</v>
      </c>
      <c r="Q3200" t="str">
        <f t="shared" si="731"/>
        <v>NO</v>
      </c>
      <c r="R3200" t="str">
        <f t="shared" si="732"/>
        <v>NO</v>
      </c>
      <c r="S3200">
        <v>330</v>
      </c>
      <c r="T3200" t="s">
        <v>198</v>
      </c>
      <c r="U3200" t="str">
        <f t="shared" si="719"/>
        <v>Mount Auburn St</v>
      </c>
      <c r="W3200" t="str">
        <f t="shared" si="720"/>
        <v/>
      </c>
      <c r="X3200" t="str">
        <f>IF(ISBLANK(S3200),"Intersection","Non-Intersection")</f>
        <v>Non-Intersection</v>
      </c>
      <c r="Y3200" t="s">
        <v>1488</v>
      </c>
      <c r="Z3200" t="str">
        <f t="shared" si="72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22"/>
        <v>40909</v>
      </c>
      <c r="D3201" s="4">
        <f t="shared" si="723"/>
        <v>3.825136612021858E-2</v>
      </c>
      <c r="E3201" s="3">
        <f t="shared" si="724"/>
        <v>2012</v>
      </c>
      <c r="F3201" s="3">
        <f t="shared" si="725"/>
        <v>1</v>
      </c>
      <c r="G3201" s="3">
        <f t="shared" si="726"/>
        <v>15</v>
      </c>
      <c r="H3201" s="3">
        <f t="shared" si="727"/>
        <v>12</v>
      </c>
      <c r="I3201" s="3">
        <f t="shared" si="728"/>
        <v>10</v>
      </c>
      <c r="J3201" s="3">
        <f t="shared" si="72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30"/>
        <v>YES</v>
      </c>
      <c r="Q3201" t="str">
        <f t="shared" si="731"/>
        <v>NO</v>
      </c>
      <c r="R3201" t="str">
        <f t="shared" si="732"/>
        <v>NO</v>
      </c>
      <c r="T3201" t="s">
        <v>15</v>
      </c>
      <c r="U3201" t="str">
        <f t="shared" si="719"/>
        <v>Rindge Ave</v>
      </c>
      <c r="V3201" t="s">
        <v>14</v>
      </c>
      <c r="W3201" t="str">
        <f t="shared" si="720"/>
        <v>Massachusetts Ave</v>
      </c>
      <c r="X3201" t="str">
        <f>IF(ISBLANK(S3201),"Intersection","Non-Intersection")</f>
        <v>Intersection</v>
      </c>
      <c r="Y3201" t="s">
        <v>4126</v>
      </c>
      <c r="Z3201" t="str">
        <f t="shared" si="72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22"/>
        <v>40909</v>
      </c>
      <c r="D3202" s="4">
        <f t="shared" si="723"/>
        <v>3.825136612021858E-2</v>
      </c>
      <c r="E3202" s="3">
        <f t="shared" si="724"/>
        <v>2012</v>
      </c>
      <c r="F3202" s="3">
        <f t="shared" si="725"/>
        <v>1</v>
      </c>
      <c r="G3202" s="3">
        <f t="shared" si="726"/>
        <v>15</v>
      </c>
      <c r="H3202" s="3">
        <f t="shared" si="727"/>
        <v>2</v>
      </c>
      <c r="I3202" s="3">
        <f t="shared" si="728"/>
        <v>19</v>
      </c>
      <c r="J3202" s="3">
        <f t="shared" si="72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30"/>
        <v>YES</v>
      </c>
      <c r="Q3202" t="str">
        <f t="shared" si="731"/>
        <v>NO</v>
      </c>
      <c r="R3202" t="str">
        <f t="shared" si="732"/>
        <v>NO</v>
      </c>
      <c r="T3202" t="s">
        <v>101</v>
      </c>
      <c r="U3202" t="str">
        <f t="shared" si="719"/>
        <v>Columbia St</v>
      </c>
      <c r="V3202" t="s">
        <v>105</v>
      </c>
      <c r="W3202" t="str">
        <f t="shared" si="720"/>
        <v>Broadway</v>
      </c>
      <c r="X3202" t="str">
        <f>IF(ISBLANK(S3202),"Intersection","Non-Intersection")</f>
        <v>Intersection</v>
      </c>
      <c r="Y3202" t="s">
        <v>2632</v>
      </c>
      <c r="Z3202" t="str">
        <f t="shared" si="72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22"/>
        <v>40909</v>
      </c>
      <c r="D3203" s="4">
        <f t="shared" si="723"/>
        <v>4.0983606557377046E-2</v>
      </c>
      <c r="E3203" s="3">
        <f t="shared" si="724"/>
        <v>2012</v>
      </c>
      <c r="F3203" s="3">
        <f t="shared" si="725"/>
        <v>1</v>
      </c>
      <c r="G3203" s="3">
        <f t="shared" si="726"/>
        <v>16</v>
      </c>
      <c r="H3203" s="3">
        <f t="shared" si="727"/>
        <v>11</v>
      </c>
      <c r="I3203" s="3">
        <f t="shared" si="728"/>
        <v>6</v>
      </c>
      <c r="J3203" s="3">
        <f t="shared" si="72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30"/>
        <v>YES</v>
      </c>
      <c r="Q3203" t="str">
        <f t="shared" si="731"/>
        <v>NO</v>
      </c>
      <c r="R3203" t="str">
        <f t="shared" si="732"/>
        <v>NO</v>
      </c>
      <c r="T3203" t="s">
        <v>41</v>
      </c>
      <c r="U3203" t="str">
        <f t="shared" ref="U3203:U3266" si="733">TRIM(PROPER(T3203))</f>
        <v>River St</v>
      </c>
      <c r="V3203" t="s">
        <v>2678</v>
      </c>
      <c r="W3203" t="str">
        <f t="shared" ref="W3203:W3266" si="734">TRIM(PROPER(V3203))</f>
        <v>Jay St</v>
      </c>
      <c r="X3203" t="str">
        <f>IF(ISBLANK(S3203),"Intersection","Non-Intersection")</f>
        <v>Intersection</v>
      </c>
      <c r="Y3203" t="s">
        <v>4127</v>
      </c>
      <c r="Z3203" t="str">
        <f t="shared" ref="Z3203:Z3266" si="735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22"/>
        <v>40909</v>
      </c>
      <c r="D3204" s="4">
        <f t="shared" si="723"/>
        <v>4.0983606557377046E-2</v>
      </c>
      <c r="E3204" s="3">
        <f t="shared" si="724"/>
        <v>2012</v>
      </c>
      <c r="F3204" s="3">
        <f t="shared" si="725"/>
        <v>1</v>
      </c>
      <c r="G3204" s="3">
        <f t="shared" si="726"/>
        <v>16</v>
      </c>
      <c r="H3204" s="3">
        <f t="shared" si="727"/>
        <v>14</v>
      </c>
      <c r="I3204" s="3">
        <f t="shared" si="728"/>
        <v>35</v>
      </c>
      <c r="J3204" s="3">
        <f t="shared" si="72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30"/>
        <v>YES</v>
      </c>
      <c r="Q3204" t="str">
        <f t="shared" si="731"/>
        <v>NO</v>
      </c>
      <c r="R3204" t="str">
        <f t="shared" si="732"/>
        <v>NO</v>
      </c>
      <c r="S3204">
        <v>112</v>
      </c>
      <c r="T3204" t="s">
        <v>342</v>
      </c>
      <c r="U3204" t="str">
        <f t="shared" si="733"/>
        <v>Prospect St</v>
      </c>
      <c r="W3204" t="str">
        <f t="shared" si="734"/>
        <v/>
      </c>
      <c r="X3204" t="str">
        <f>IF(ISBLANK(S3204),"Intersection","Non-Intersection")</f>
        <v>Non-Intersection</v>
      </c>
      <c r="Y3204" t="s">
        <v>4129</v>
      </c>
      <c r="Z3204" t="str">
        <f t="shared" si="735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22"/>
        <v>40909</v>
      </c>
      <c r="D3205" s="4">
        <f t="shared" si="723"/>
        <v>4.0983606557377046E-2</v>
      </c>
      <c r="E3205" s="3">
        <f t="shared" si="724"/>
        <v>2012</v>
      </c>
      <c r="F3205" s="3">
        <f t="shared" si="725"/>
        <v>1</v>
      </c>
      <c r="G3205" s="3">
        <f t="shared" si="726"/>
        <v>16</v>
      </c>
      <c r="H3205" s="3">
        <f t="shared" si="727"/>
        <v>15</v>
      </c>
      <c r="I3205" s="3">
        <f t="shared" si="728"/>
        <v>49</v>
      </c>
      <c r="J3205" s="3">
        <f t="shared" si="72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30"/>
        <v>YES</v>
      </c>
      <c r="Q3205" t="str">
        <f t="shared" si="731"/>
        <v>NO</v>
      </c>
      <c r="R3205" t="str">
        <f t="shared" si="732"/>
        <v>NO</v>
      </c>
      <c r="T3205" t="s">
        <v>19</v>
      </c>
      <c r="U3205" t="str">
        <f t="shared" si="733"/>
        <v>Cambridge St</v>
      </c>
      <c r="V3205" t="s">
        <v>737</v>
      </c>
      <c r="W3205" t="str">
        <f t="shared" si="734"/>
        <v>Willow St</v>
      </c>
      <c r="X3205" t="str">
        <f>IF(ISBLANK(S3205),"Intersection","Non-Intersection")</f>
        <v>Intersection</v>
      </c>
      <c r="Y3205" t="s">
        <v>1451</v>
      </c>
      <c r="Z3205" t="str">
        <f t="shared" si="735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22"/>
        <v>40909</v>
      </c>
      <c r="D3206" s="4">
        <f t="shared" si="723"/>
        <v>4.0983606557377046E-2</v>
      </c>
      <c r="E3206" s="3">
        <f t="shared" si="724"/>
        <v>2012</v>
      </c>
      <c r="F3206" s="3">
        <f t="shared" si="725"/>
        <v>1</v>
      </c>
      <c r="G3206" s="3">
        <f t="shared" si="726"/>
        <v>16</v>
      </c>
      <c r="H3206" s="3">
        <f t="shared" si="727"/>
        <v>15</v>
      </c>
      <c r="I3206" s="3">
        <f t="shared" si="728"/>
        <v>59</v>
      </c>
      <c r="J3206" s="3">
        <f t="shared" si="72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30"/>
        <v>YES</v>
      </c>
      <c r="Q3206" t="str">
        <f t="shared" si="731"/>
        <v>NO</v>
      </c>
      <c r="R3206" t="str">
        <f t="shared" si="732"/>
        <v>NO</v>
      </c>
      <c r="T3206" t="s">
        <v>19</v>
      </c>
      <c r="U3206" t="str">
        <f t="shared" si="733"/>
        <v>Cambridge St</v>
      </c>
      <c r="V3206" t="s">
        <v>1174</v>
      </c>
      <c r="W3206" t="str">
        <f t="shared" si="734"/>
        <v>Roberts Rd</v>
      </c>
      <c r="X3206" t="str">
        <f>IF(ISBLANK(S3206),"Intersection","Non-Intersection")</f>
        <v>Intersection</v>
      </c>
      <c r="Y3206" t="s">
        <v>1175</v>
      </c>
      <c r="Z3206" t="str">
        <f t="shared" si="735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22"/>
        <v>40909</v>
      </c>
      <c r="D3207" s="4">
        <f t="shared" si="723"/>
        <v>4.3715846994535519E-2</v>
      </c>
      <c r="E3207" s="3">
        <f t="shared" si="724"/>
        <v>2012</v>
      </c>
      <c r="F3207" s="3">
        <f t="shared" si="725"/>
        <v>1</v>
      </c>
      <c r="G3207" s="3">
        <f t="shared" si="726"/>
        <v>17</v>
      </c>
      <c r="H3207" s="3">
        <f t="shared" si="727"/>
        <v>7</v>
      </c>
      <c r="I3207" s="3">
        <f t="shared" si="728"/>
        <v>40</v>
      </c>
      <c r="J3207" s="3">
        <f t="shared" si="72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30"/>
        <v>YES</v>
      </c>
      <c r="Q3207" t="str">
        <f t="shared" si="731"/>
        <v>NO</v>
      </c>
      <c r="R3207" t="str">
        <f t="shared" si="732"/>
        <v>NO</v>
      </c>
      <c r="T3207" t="s">
        <v>1145</v>
      </c>
      <c r="U3207" t="str">
        <f t="shared" si="733"/>
        <v>Pemberton St</v>
      </c>
      <c r="V3207" t="s">
        <v>561</v>
      </c>
      <c r="W3207" t="str">
        <f t="shared" si="734"/>
        <v>Sargent St</v>
      </c>
      <c r="X3207" t="str">
        <f>IF(ISBLANK(S3207),"Intersection","Non-Intersection")</f>
        <v>Intersection</v>
      </c>
      <c r="Y3207" t="s">
        <v>4131</v>
      </c>
      <c r="Z3207" t="str">
        <f t="shared" si="735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22"/>
        <v>40909</v>
      </c>
      <c r="D3208" s="4">
        <f t="shared" si="723"/>
        <v>4.3715846994535519E-2</v>
      </c>
      <c r="E3208" s="3">
        <f t="shared" si="724"/>
        <v>2012</v>
      </c>
      <c r="F3208" s="3">
        <f t="shared" si="725"/>
        <v>1</v>
      </c>
      <c r="G3208" s="3">
        <f t="shared" si="726"/>
        <v>17</v>
      </c>
      <c r="H3208" s="3">
        <f t="shared" si="727"/>
        <v>13</v>
      </c>
      <c r="I3208" s="3">
        <f t="shared" si="728"/>
        <v>54</v>
      </c>
      <c r="J3208" s="3">
        <f t="shared" si="72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30"/>
        <v>YES</v>
      </c>
      <c r="Q3208" t="str">
        <f t="shared" si="731"/>
        <v>NO</v>
      </c>
      <c r="R3208" t="str">
        <f t="shared" si="732"/>
        <v>NO</v>
      </c>
      <c r="T3208" t="s">
        <v>185</v>
      </c>
      <c r="U3208" t="str">
        <f t="shared" si="733"/>
        <v>Garden St</v>
      </c>
      <c r="V3208" t="s">
        <v>988</v>
      </c>
      <c r="W3208" t="str">
        <f t="shared" si="734"/>
        <v>Bond St</v>
      </c>
      <c r="X3208" t="str">
        <f>IF(ISBLANK(S3208),"Intersection","Non-Intersection")</f>
        <v>Intersection</v>
      </c>
      <c r="Y3208" t="s">
        <v>3716</v>
      </c>
      <c r="Z3208" t="str">
        <f t="shared" si="735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22"/>
        <v>40909</v>
      </c>
      <c r="D3209" s="4">
        <f t="shared" si="723"/>
        <v>4.6448087431693992E-2</v>
      </c>
      <c r="E3209" s="3">
        <f t="shared" si="724"/>
        <v>2012</v>
      </c>
      <c r="F3209" s="3">
        <f t="shared" si="725"/>
        <v>1</v>
      </c>
      <c r="G3209" s="3">
        <f t="shared" si="726"/>
        <v>18</v>
      </c>
      <c r="H3209" s="3">
        <f t="shared" si="727"/>
        <v>12</v>
      </c>
      <c r="I3209" s="3">
        <f t="shared" si="728"/>
        <v>14</v>
      </c>
      <c r="J3209" s="3">
        <f t="shared" si="72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30"/>
        <v>YES</v>
      </c>
      <c r="Q3209" t="str">
        <f t="shared" si="731"/>
        <v>NO</v>
      </c>
      <c r="R3209" t="str">
        <f t="shared" si="732"/>
        <v>NO</v>
      </c>
      <c r="T3209" t="s">
        <v>185</v>
      </c>
      <c r="U3209" t="str">
        <f t="shared" si="733"/>
        <v>Garden St</v>
      </c>
      <c r="V3209" t="s">
        <v>185</v>
      </c>
      <c r="W3209" t="str">
        <f t="shared" si="734"/>
        <v>Garden St</v>
      </c>
      <c r="X3209" t="str">
        <f>IF(ISBLANK(S3209),"Intersection","Non-Intersection")</f>
        <v>Intersection</v>
      </c>
      <c r="Y3209" t="s">
        <v>4133</v>
      </c>
      <c r="Z3209" t="str">
        <f t="shared" si="735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22"/>
        <v>40909</v>
      </c>
      <c r="D3210" s="4">
        <f t="shared" si="723"/>
        <v>4.6448087431693992E-2</v>
      </c>
      <c r="E3210" s="3">
        <f t="shared" si="724"/>
        <v>2012</v>
      </c>
      <c r="F3210" s="3">
        <f t="shared" si="725"/>
        <v>1</v>
      </c>
      <c r="G3210" s="3">
        <f t="shared" si="726"/>
        <v>18</v>
      </c>
      <c r="H3210" s="3">
        <f t="shared" si="727"/>
        <v>15</v>
      </c>
      <c r="I3210" s="3">
        <f t="shared" si="728"/>
        <v>2</v>
      </c>
      <c r="J3210" s="3">
        <f t="shared" si="72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30"/>
        <v>YES</v>
      </c>
      <c r="Q3210" t="str">
        <f t="shared" si="731"/>
        <v>NO</v>
      </c>
      <c r="R3210" t="str">
        <f t="shared" si="732"/>
        <v>NO</v>
      </c>
      <c r="T3210" t="s">
        <v>14</v>
      </c>
      <c r="U3210" t="str">
        <f t="shared" si="733"/>
        <v>Massachusetts Ave</v>
      </c>
      <c r="V3210" t="s">
        <v>57</v>
      </c>
      <c r="W3210" t="str">
        <f t="shared" si="734"/>
        <v>Everett St</v>
      </c>
      <c r="X3210" t="str">
        <f>IF(ISBLANK(S3210),"Intersection","Non-Intersection")</f>
        <v>Intersection</v>
      </c>
      <c r="Y3210" t="s">
        <v>58</v>
      </c>
      <c r="Z3210" t="str">
        <f t="shared" si="735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22"/>
        <v>40909</v>
      </c>
      <c r="D3211" s="4">
        <f t="shared" si="723"/>
        <v>4.6448087431693992E-2</v>
      </c>
      <c r="E3211" s="3">
        <f t="shared" si="724"/>
        <v>2012</v>
      </c>
      <c r="F3211" s="3">
        <f t="shared" si="725"/>
        <v>1</v>
      </c>
      <c r="G3211" s="3">
        <f t="shared" si="726"/>
        <v>18</v>
      </c>
      <c r="H3211" s="3">
        <f t="shared" si="727"/>
        <v>20</v>
      </c>
      <c r="I3211" s="3">
        <f t="shared" si="728"/>
        <v>16</v>
      </c>
      <c r="J3211" s="3">
        <f t="shared" si="72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30"/>
        <v>YES</v>
      </c>
      <c r="Q3211" t="str">
        <f t="shared" si="731"/>
        <v>NO</v>
      </c>
      <c r="R3211" t="str">
        <f t="shared" si="732"/>
        <v>NO</v>
      </c>
      <c r="T3211" t="s">
        <v>316</v>
      </c>
      <c r="U3211" t="str">
        <f t="shared" si="733"/>
        <v>Bishop Allen Dr</v>
      </c>
      <c r="V3211" t="s">
        <v>101</v>
      </c>
      <c r="W3211" t="str">
        <f t="shared" si="734"/>
        <v>Columbia St</v>
      </c>
      <c r="X3211" t="str">
        <f>IF(ISBLANK(S3211),"Intersection","Non-Intersection")</f>
        <v>Intersection</v>
      </c>
      <c r="Y3211" t="s">
        <v>688</v>
      </c>
      <c r="Z3211" t="str">
        <f t="shared" si="735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22"/>
        <v>40909</v>
      </c>
      <c r="D3212" s="4">
        <f t="shared" si="723"/>
        <v>4.9180327868852458E-2</v>
      </c>
      <c r="E3212" s="3">
        <f t="shared" si="724"/>
        <v>2012</v>
      </c>
      <c r="F3212" s="3">
        <f t="shared" si="725"/>
        <v>1</v>
      </c>
      <c r="G3212" s="3">
        <f t="shared" si="726"/>
        <v>19</v>
      </c>
      <c r="H3212" s="3">
        <f t="shared" si="727"/>
        <v>13</v>
      </c>
      <c r="I3212" s="3">
        <f t="shared" si="728"/>
        <v>9</v>
      </c>
      <c r="J3212" s="3">
        <f t="shared" si="72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30"/>
        <v>YES</v>
      </c>
      <c r="Q3212" t="str">
        <f t="shared" si="731"/>
        <v>NO</v>
      </c>
      <c r="R3212" t="str">
        <f t="shared" si="732"/>
        <v>NO</v>
      </c>
      <c r="T3212" t="s">
        <v>186</v>
      </c>
      <c r="U3212" t="str">
        <f t="shared" si="733"/>
        <v>Concord Ave</v>
      </c>
      <c r="V3212" t="s">
        <v>92</v>
      </c>
      <c r="W3212" t="str">
        <f t="shared" si="734"/>
        <v>Wheeler St</v>
      </c>
      <c r="X3212" t="str">
        <f>IF(ISBLANK(S3212),"Intersection","Non-Intersection")</f>
        <v>Intersection</v>
      </c>
      <c r="Y3212" t="s">
        <v>1072</v>
      </c>
      <c r="Z3212" t="str">
        <f t="shared" si="735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22"/>
        <v>40909</v>
      </c>
      <c r="D3213" s="4">
        <f t="shared" si="723"/>
        <v>4.9180327868852458E-2</v>
      </c>
      <c r="E3213" s="3">
        <f t="shared" si="724"/>
        <v>2012</v>
      </c>
      <c r="F3213" s="3">
        <f t="shared" si="725"/>
        <v>1</v>
      </c>
      <c r="G3213" s="3">
        <f t="shared" si="726"/>
        <v>19</v>
      </c>
      <c r="H3213" s="3">
        <f t="shared" si="727"/>
        <v>17</v>
      </c>
      <c r="I3213" s="3">
        <f t="shared" si="728"/>
        <v>19</v>
      </c>
      <c r="J3213" s="3">
        <f t="shared" si="72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30"/>
        <v>YES</v>
      </c>
      <c r="Q3213" t="str">
        <f t="shared" si="731"/>
        <v>NO</v>
      </c>
      <c r="R3213" t="str">
        <f t="shared" si="732"/>
        <v>NO</v>
      </c>
      <c r="T3213" t="s">
        <v>198</v>
      </c>
      <c r="U3213" t="str">
        <f t="shared" si="733"/>
        <v>Mount Auburn St</v>
      </c>
      <c r="V3213" t="s">
        <v>1906</v>
      </c>
      <c r="W3213" t="str">
        <f t="shared" si="734"/>
        <v>Holyoke St</v>
      </c>
      <c r="X3213" t="str">
        <f>IF(ISBLANK(S3213),"Intersection","Non-Intersection")</f>
        <v>Intersection</v>
      </c>
      <c r="Y3213" t="s">
        <v>3827</v>
      </c>
      <c r="Z3213" t="str">
        <f t="shared" si="735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22"/>
        <v>40909</v>
      </c>
      <c r="D3214" s="4">
        <f t="shared" si="723"/>
        <v>4.9180327868852458E-2</v>
      </c>
      <c r="E3214" s="3">
        <f t="shared" si="724"/>
        <v>2012</v>
      </c>
      <c r="F3214" s="3">
        <f t="shared" si="725"/>
        <v>1</v>
      </c>
      <c r="G3214" s="3">
        <f t="shared" si="726"/>
        <v>19</v>
      </c>
      <c r="H3214" s="3">
        <f t="shared" si="727"/>
        <v>23</v>
      </c>
      <c r="I3214" s="3">
        <f t="shared" si="728"/>
        <v>0</v>
      </c>
      <c r="J3214" s="3">
        <f t="shared" si="72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30"/>
        <v>YES</v>
      </c>
      <c r="Q3214" t="str">
        <f t="shared" si="731"/>
        <v>NO</v>
      </c>
      <c r="R3214" t="str">
        <f t="shared" si="732"/>
        <v>NO</v>
      </c>
      <c r="T3214" t="s">
        <v>142</v>
      </c>
      <c r="U3214" t="str">
        <f t="shared" si="733"/>
        <v>Huron Ave</v>
      </c>
      <c r="V3214" t="s">
        <v>45</v>
      </c>
      <c r="W3214" t="str">
        <f t="shared" si="734"/>
        <v>Sherman St</v>
      </c>
      <c r="X3214" t="str">
        <f>IF(ISBLANK(S3214),"Intersection","Non-Intersection")</f>
        <v>Intersection</v>
      </c>
      <c r="Y3214" t="s">
        <v>4134</v>
      </c>
      <c r="Z3214" t="str">
        <f t="shared" si="735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22"/>
        <v>40909</v>
      </c>
      <c r="D3215" s="4">
        <f t="shared" si="723"/>
        <v>5.1912568306010931E-2</v>
      </c>
      <c r="E3215" s="3">
        <f t="shared" si="724"/>
        <v>2012</v>
      </c>
      <c r="F3215" s="3">
        <f t="shared" si="725"/>
        <v>1</v>
      </c>
      <c r="G3215" s="3">
        <f t="shared" si="726"/>
        <v>20</v>
      </c>
      <c r="H3215" s="3">
        <f t="shared" si="727"/>
        <v>7</v>
      </c>
      <c r="I3215" s="3">
        <f t="shared" si="728"/>
        <v>21</v>
      </c>
      <c r="J3215" s="3">
        <f t="shared" si="72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30"/>
        <v>YES</v>
      </c>
      <c r="Q3215" t="str">
        <f t="shared" si="731"/>
        <v>NO</v>
      </c>
      <c r="R3215" t="str">
        <f t="shared" si="732"/>
        <v>NO</v>
      </c>
      <c r="T3215" t="s">
        <v>42</v>
      </c>
      <c r="U3215" t="str">
        <f t="shared" si="733"/>
        <v>Putnam Ave</v>
      </c>
      <c r="V3215" t="s">
        <v>332</v>
      </c>
      <c r="W3215" t="str">
        <f t="shared" si="734"/>
        <v>Allston St</v>
      </c>
      <c r="X3215" t="str">
        <f>IF(ISBLANK(S3215),"Intersection","Non-Intersection")</f>
        <v>Intersection</v>
      </c>
      <c r="Y3215" t="s">
        <v>2238</v>
      </c>
      <c r="Z3215" t="str">
        <f t="shared" si="735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22"/>
        <v>40909</v>
      </c>
      <c r="D3216" s="4">
        <f t="shared" si="723"/>
        <v>5.1912568306010931E-2</v>
      </c>
      <c r="E3216" s="3">
        <f t="shared" si="724"/>
        <v>2012</v>
      </c>
      <c r="F3216" s="3">
        <f t="shared" si="725"/>
        <v>1</v>
      </c>
      <c r="G3216" s="3">
        <f t="shared" si="726"/>
        <v>20</v>
      </c>
      <c r="H3216" s="3">
        <f t="shared" si="727"/>
        <v>12</v>
      </c>
      <c r="I3216" s="3">
        <f t="shared" si="728"/>
        <v>1</v>
      </c>
      <c r="J3216" s="3">
        <f t="shared" si="72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30"/>
        <v>YES</v>
      </c>
      <c r="Q3216" t="str">
        <f t="shared" si="731"/>
        <v>NO</v>
      </c>
      <c r="R3216" t="str">
        <f t="shared" si="732"/>
        <v>NO</v>
      </c>
      <c r="S3216">
        <v>471</v>
      </c>
      <c r="T3216" t="s">
        <v>198</v>
      </c>
      <c r="U3216" t="str">
        <f t="shared" si="733"/>
        <v>Mount Auburn St</v>
      </c>
      <c r="W3216" t="str">
        <f t="shared" si="734"/>
        <v/>
      </c>
      <c r="X3216" t="str">
        <f>IF(ISBLANK(S3216),"Intersection","Non-Intersection")</f>
        <v>Non-Intersection</v>
      </c>
      <c r="Y3216" t="s">
        <v>4135</v>
      </c>
      <c r="Z3216" t="str">
        <f t="shared" si="735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22"/>
        <v>40909</v>
      </c>
      <c r="D3217" s="4">
        <f t="shared" si="723"/>
        <v>5.1912568306010931E-2</v>
      </c>
      <c r="E3217" s="3">
        <f t="shared" si="724"/>
        <v>2012</v>
      </c>
      <c r="F3217" s="3">
        <f t="shared" si="725"/>
        <v>1</v>
      </c>
      <c r="G3217" s="3">
        <f t="shared" si="726"/>
        <v>20</v>
      </c>
      <c r="H3217" s="3">
        <f t="shared" si="727"/>
        <v>10</v>
      </c>
      <c r="I3217" s="3">
        <f t="shared" si="728"/>
        <v>44</v>
      </c>
      <c r="J3217" s="3">
        <f t="shared" si="72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30"/>
        <v>YES</v>
      </c>
      <c r="Q3217" t="str">
        <f t="shared" si="731"/>
        <v>NO</v>
      </c>
      <c r="R3217" t="str">
        <f t="shared" si="732"/>
        <v>NO</v>
      </c>
      <c r="T3217" t="s">
        <v>1502</v>
      </c>
      <c r="U3217" t="str">
        <f t="shared" si="733"/>
        <v>Gore St</v>
      </c>
      <c r="V3217" t="s">
        <v>3434</v>
      </c>
      <c r="W3217" t="str">
        <f t="shared" si="734"/>
        <v>Rufo Rd</v>
      </c>
      <c r="X3217" t="str">
        <f>IF(ISBLANK(S3217),"Intersection","Non-Intersection")</f>
        <v>Intersection</v>
      </c>
      <c r="Y3217" t="s">
        <v>4137</v>
      </c>
      <c r="Z3217" t="str">
        <f t="shared" si="735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22"/>
        <v>40909</v>
      </c>
      <c r="D3218" s="4">
        <f t="shared" si="723"/>
        <v>5.1912568306010931E-2</v>
      </c>
      <c r="E3218" s="3">
        <f t="shared" si="724"/>
        <v>2012</v>
      </c>
      <c r="F3218" s="3">
        <f t="shared" si="725"/>
        <v>1</v>
      </c>
      <c r="G3218" s="3">
        <f t="shared" si="726"/>
        <v>20</v>
      </c>
      <c r="H3218" s="3">
        <f t="shared" si="727"/>
        <v>13</v>
      </c>
      <c r="I3218" s="3">
        <f t="shared" si="728"/>
        <v>15</v>
      </c>
      <c r="J3218" s="3">
        <f t="shared" si="72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30"/>
        <v>YES</v>
      </c>
      <c r="Q3218" t="str">
        <f t="shared" si="731"/>
        <v>NO</v>
      </c>
      <c r="R3218" t="str">
        <f t="shared" si="732"/>
        <v>NO</v>
      </c>
      <c r="T3218" t="s">
        <v>41</v>
      </c>
      <c r="U3218" t="str">
        <f t="shared" si="733"/>
        <v>River St</v>
      </c>
      <c r="V3218" t="s">
        <v>509</v>
      </c>
      <c r="W3218" t="str">
        <f t="shared" si="734"/>
        <v>Green St</v>
      </c>
      <c r="X3218" t="str">
        <f>IF(ISBLANK(S3218),"Intersection","Non-Intersection")</f>
        <v>Intersection</v>
      </c>
      <c r="Y3218" t="s">
        <v>1999</v>
      </c>
      <c r="Z3218" t="str">
        <f t="shared" si="735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22"/>
        <v>40909</v>
      </c>
      <c r="D3219" s="4">
        <f t="shared" si="723"/>
        <v>5.1912568306010931E-2</v>
      </c>
      <c r="E3219" s="3">
        <f t="shared" si="724"/>
        <v>2012</v>
      </c>
      <c r="F3219" s="3">
        <f t="shared" si="725"/>
        <v>1</v>
      </c>
      <c r="G3219" s="3">
        <f t="shared" si="726"/>
        <v>20</v>
      </c>
      <c r="H3219" s="3">
        <f t="shared" si="727"/>
        <v>14</v>
      </c>
      <c r="I3219" s="3">
        <f t="shared" si="728"/>
        <v>19</v>
      </c>
      <c r="J3219" s="3">
        <f t="shared" si="72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30"/>
        <v>YES</v>
      </c>
      <c r="Q3219" t="str">
        <f t="shared" si="731"/>
        <v>NO</v>
      </c>
      <c r="R3219" t="str">
        <f t="shared" si="732"/>
        <v>NO</v>
      </c>
      <c r="T3219" t="s">
        <v>269</v>
      </c>
      <c r="U3219" t="str">
        <f t="shared" si="733"/>
        <v>Porter Sq</v>
      </c>
      <c r="W3219" t="str">
        <f t="shared" si="734"/>
        <v/>
      </c>
      <c r="X3219" t="str">
        <f>IF(ISBLANK(S3219),"Intersection","Non-Intersection")</f>
        <v>Intersection</v>
      </c>
      <c r="Y3219" t="s">
        <v>923</v>
      </c>
      <c r="Z3219" t="str">
        <f t="shared" si="735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22"/>
        <v>40909</v>
      </c>
      <c r="D3220" s="4">
        <f t="shared" si="723"/>
        <v>5.1912568306010931E-2</v>
      </c>
      <c r="E3220" s="3">
        <f t="shared" si="724"/>
        <v>2012</v>
      </c>
      <c r="F3220" s="3">
        <f t="shared" si="725"/>
        <v>1</v>
      </c>
      <c r="G3220" s="3">
        <f t="shared" si="726"/>
        <v>20</v>
      </c>
      <c r="H3220" s="3">
        <f t="shared" si="727"/>
        <v>18</v>
      </c>
      <c r="I3220" s="3">
        <f t="shared" si="728"/>
        <v>59</v>
      </c>
      <c r="J3220" s="3">
        <f t="shared" si="72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30"/>
        <v>YES</v>
      </c>
      <c r="Q3220" t="str">
        <f t="shared" si="731"/>
        <v>NO</v>
      </c>
      <c r="R3220" t="str">
        <f t="shared" si="732"/>
        <v>NO</v>
      </c>
      <c r="S3220">
        <v>217</v>
      </c>
      <c r="T3220" t="s">
        <v>42</v>
      </c>
      <c r="U3220" t="str">
        <f t="shared" si="733"/>
        <v>Putnam Ave</v>
      </c>
      <c r="W3220" t="str">
        <f t="shared" si="734"/>
        <v/>
      </c>
      <c r="X3220" t="str">
        <f>IF(ISBLANK(S3220),"Intersection","Non-Intersection")</f>
        <v>Non-Intersection</v>
      </c>
      <c r="Y3220" t="s">
        <v>4139</v>
      </c>
      <c r="Z3220" t="str">
        <f t="shared" si="735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22"/>
        <v>40909</v>
      </c>
      <c r="D3221" s="4">
        <f t="shared" si="723"/>
        <v>5.1912568306010931E-2</v>
      </c>
      <c r="E3221" s="3">
        <f t="shared" si="724"/>
        <v>2012</v>
      </c>
      <c r="F3221" s="3">
        <f t="shared" si="725"/>
        <v>1</v>
      </c>
      <c r="G3221" s="3">
        <f t="shared" si="726"/>
        <v>20</v>
      </c>
      <c r="H3221" s="3">
        <f t="shared" si="727"/>
        <v>7</v>
      </c>
      <c r="I3221" s="3">
        <f t="shared" si="728"/>
        <v>21</v>
      </c>
      <c r="J3221" s="3">
        <f t="shared" si="72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30"/>
        <v>YES</v>
      </c>
      <c r="Q3221" t="str">
        <f t="shared" si="731"/>
        <v>NO</v>
      </c>
      <c r="R3221" t="str">
        <f t="shared" si="732"/>
        <v>NO</v>
      </c>
      <c r="T3221" t="s">
        <v>86</v>
      </c>
      <c r="U3221" t="str">
        <f t="shared" si="733"/>
        <v>Granite St</v>
      </c>
      <c r="V3221" t="s">
        <v>850</v>
      </c>
      <c r="W3221" t="str">
        <f t="shared" si="734"/>
        <v>Rockingham St</v>
      </c>
      <c r="X3221" t="str">
        <f>IF(ISBLANK(S3221),"Intersection","Non-Intersection")</f>
        <v>Intersection</v>
      </c>
      <c r="Y3221" t="s">
        <v>851</v>
      </c>
      <c r="Z3221" t="str">
        <f t="shared" si="735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22"/>
        <v>40909</v>
      </c>
      <c r="D3222" s="4">
        <f t="shared" si="723"/>
        <v>5.4644808743169397E-2</v>
      </c>
      <c r="E3222" s="3">
        <f t="shared" si="724"/>
        <v>2012</v>
      </c>
      <c r="F3222" s="3">
        <f t="shared" si="725"/>
        <v>1</v>
      </c>
      <c r="G3222" s="3">
        <f t="shared" si="726"/>
        <v>21</v>
      </c>
      <c r="H3222" s="3">
        <f t="shared" si="727"/>
        <v>1</v>
      </c>
      <c r="I3222" s="3">
        <f t="shared" si="728"/>
        <v>19</v>
      </c>
      <c r="J3222" s="3">
        <f t="shared" si="72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30"/>
        <v>YES</v>
      </c>
      <c r="Q3222" t="str">
        <f t="shared" si="731"/>
        <v>NO</v>
      </c>
      <c r="R3222" t="str">
        <f t="shared" si="732"/>
        <v>NO</v>
      </c>
      <c r="S3222">
        <v>362</v>
      </c>
      <c r="T3222" t="s">
        <v>15</v>
      </c>
      <c r="U3222" t="str">
        <f t="shared" si="733"/>
        <v>Rindge Ave</v>
      </c>
      <c r="W3222" t="str">
        <f t="shared" si="734"/>
        <v/>
      </c>
      <c r="X3222" t="str">
        <f>IF(ISBLANK(S3222),"Intersection","Non-Intersection")</f>
        <v>Non-Intersection</v>
      </c>
      <c r="Y3222" t="s">
        <v>3320</v>
      </c>
      <c r="Z3222" t="str">
        <f t="shared" si="735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22"/>
        <v>40909</v>
      </c>
      <c r="D3223" s="4">
        <f t="shared" si="723"/>
        <v>5.4644808743169397E-2</v>
      </c>
      <c r="E3223" s="3">
        <f t="shared" si="724"/>
        <v>2012</v>
      </c>
      <c r="F3223" s="3">
        <f t="shared" si="725"/>
        <v>1</v>
      </c>
      <c r="G3223" s="3">
        <f t="shared" si="726"/>
        <v>21</v>
      </c>
      <c r="H3223" s="3">
        <f t="shared" si="727"/>
        <v>7</v>
      </c>
      <c r="I3223" s="3">
        <f t="shared" si="728"/>
        <v>15</v>
      </c>
      <c r="J3223" s="3">
        <f t="shared" si="72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30"/>
        <v>YES</v>
      </c>
      <c r="Q3223" t="str">
        <f t="shared" si="731"/>
        <v>NO</v>
      </c>
      <c r="R3223" t="str">
        <f t="shared" si="732"/>
        <v>NO</v>
      </c>
      <c r="S3223">
        <v>106</v>
      </c>
      <c r="T3223" t="s">
        <v>1214</v>
      </c>
      <c r="U3223" t="str">
        <f t="shared" si="733"/>
        <v>Reed St</v>
      </c>
      <c r="W3223" t="str">
        <f t="shared" si="734"/>
        <v/>
      </c>
      <c r="X3223" t="str">
        <f>IF(ISBLANK(S3223),"Intersection","Non-Intersection")</f>
        <v>Non-Intersection</v>
      </c>
      <c r="Y3223" t="s">
        <v>4141</v>
      </c>
      <c r="Z3223" t="str">
        <f t="shared" si="735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22"/>
        <v>40909</v>
      </c>
      <c r="D3224" s="4">
        <f t="shared" si="723"/>
        <v>5.4644808743169397E-2</v>
      </c>
      <c r="E3224" s="3">
        <f t="shared" si="724"/>
        <v>2012</v>
      </c>
      <c r="F3224" s="3">
        <f t="shared" si="725"/>
        <v>1</v>
      </c>
      <c r="G3224" s="3">
        <f t="shared" si="726"/>
        <v>21</v>
      </c>
      <c r="H3224" s="3">
        <f t="shared" si="727"/>
        <v>8</v>
      </c>
      <c r="I3224" s="3">
        <f t="shared" si="728"/>
        <v>26</v>
      </c>
      <c r="J3224" s="3">
        <f t="shared" si="72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30"/>
        <v>YES</v>
      </c>
      <c r="Q3224" t="str">
        <f t="shared" si="731"/>
        <v>NO</v>
      </c>
      <c r="R3224" t="str">
        <f t="shared" si="732"/>
        <v>NO</v>
      </c>
      <c r="S3224">
        <v>4</v>
      </c>
      <c r="T3224" t="s">
        <v>1013</v>
      </c>
      <c r="U3224" t="str">
        <f t="shared" si="733"/>
        <v>Blanchard Rd</v>
      </c>
      <c r="W3224" t="str">
        <f t="shared" si="734"/>
        <v/>
      </c>
      <c r="X3224" t="str">
        <f>IF(ISBLANK(S3224),"Intersection","Non-Intersection")</f>
        <v>Non-Intersection</v>
      </c>
      <c r="Y3224" t="s">
        <v>4143</v>
      </c>
      <c r="Z3224" t="str">
        <f t="shared" si="735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22"/>
        <v>40909</v>
      </c>
      <c r="D3225" s="4">
        <f t="shared" si="723"/>
        <v>5.4644808743169397E-2</v>
      </c>
      <c r="E3225" s="3">
        <f t="shared" si="724"/>
        <v>2012</v>
      </c>
      <c r="F3225" s="3">
        <f t="shared" si="725"/>
        <v>1</v>
      </c>
      <c r="G3225" s="3">
        <f t="shared" si="726"/>
        <v>21</v>
      </c>
      <c r="H3225" s="3">
        <f t="shared" si="727"/>
        <v>8</v>
      </c>
      <c r="I3225" s="3">
        <f t="shared" si="728"/>
        <v>29</v>
      </c>
      <c r="J3225" s="3">
        <f t="shared" si="72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30"/>
        <v>YES</v>
      </c>
      <c r="Q3225" t="str">
        <f t="shared" si="731"/>
        <v>NO</v>
      </c>
      <c r="R3225" t="str">
        <f t="shared" si="732"/>
        <v>NO</v>
      </c>
      <c r="S3225">
        <v>6</v>
      </c>
      <c r="T3225" t="s">
        <v>4145</v>
      </c>
      <c r="U3225" t="str">
        <f t="shared" si="733"/>
        <v>Fainwood Cir</v>
      </c>
      <c r="W3225" t="str">
        <f t="shared" si="734"/>
        <v/>
      </c>
      <c r="X3225" t="str">
        <f>IF(ISBLANK(S3225),"Intersection","Non-Intersection")</f>
        <v>Non-Intersection</v>
      </c>
      <c r="Y3225" t="s">
        <v>4146</v>
      </c>
      <c r="Z3225" t="str">
        <f t="shared" si="735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22"/>
        <v>40909</v>
      </c>
      <c r="D3226" s="4">
        <f t="shared" si="723"/>
        <v>5.4644808743169397E-2</v>
      </c>
      <c r="E3226" s="3">
        <f t="shared" si="724"/>
        <v>2012</v>
      </c>
      <c r="F3226" s="3">
        <f t="shared" si="725"/>
        <v>1</v>
      </c>
      <c r="G3226" s="3">
        <f t="shared" si="726"/>
        <v>21</v>
      </c>
      <c r="H3226" s="3">
        <f t="shared" si="727"/>
        <v>10</v>
      </c>
      <c r="I3226" s="3">
        <f t="shared" si="728"/>
        <v>9</v>
      </c>
      <c r="J3226" s="3">
        <f t="shared" si="72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30"/>
        <v>YES</v>
      </c>
      <c r="Q3226" t="str">
        <f t="shared" si="731"/>
        <v>NO</v>
      </c>
      <c r="R3226" t="str">
        <f t="shared" si="732"/>
        <v>NO</v>
      </c>
      <c r="S3226">
        <v>699</v>
      </c>
      <c r="T3226" t="s">
        <v>198</v>
      </c>
      <c r="U3226" t="str">
        <f t="shared" si="733"/>
        <v>Mount Auburn St</v>
      </c>
      <c r="W3226" t="str">
        <f t="shared" si="734"/>
        <v/>
      </c>
      <c r="X3226" t="str">
        <f>IF(ISBLANK(S3226),"Intersection","Non-Intersection")</f>
        <v>Non-Intersection</v>
      </c>
      <c r="Y3226" t="s">
        <v>585</v>
      </c>
      <c r="Z3226" t="str">
        <f t="shared" si="735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22"/>
        <v>40909</v>
      </c>
      <c r="D3227" s="4">
        <f t="shared" si="723"/>
        <v>5.4644808743169397E-2</v>
      </c>
      <c r="E3227" s="3">
        <f t="shared" si="724"/>
        <v>2012</v>
      </c>
      <c r="F3227" s="3">
        <f t="shared" si="725"/>
        <v>1</v>
      </c>
      <c r="G3227" s="3">
        <f t="shared" si="726"/>
        <v>21</v>
      </c>
      <c r="H3227" s="3">
        <f t="shared" si="727"/>
        <v>13</v>
      </c>
      <c r="I3227" s="3">
        <f t="shared" si="728"/>
        <v>9</v>
      </c>
      <c r="J3227" s="3">
        <f t="shared" si="72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30"/>
        <v>YES</v>
      </c>
      <c r="Q3227" t="str">
        <f t="shared" si="731"/>
        <v>NO</v>
      </c>
      <c r="R3227" t="str">
        <f t="shared" si="732"/>
        <v>NO</v>
      </c>
      <c r="S3227">
        <v>240</v>
      </c>
      <c r="T3227" t="s">
        <v>185</v>
      </c>
      <c r="U3227" t="str">
        <f t="shared" si="733"/>
        <v>Garden St</v>
      </c>
      <c r="W3227" t="str">
        <f t="shared" si="734"/>
        <v/>
      </c>
      <c r="X3227" t="str">
        <f>IF(ISBLANK(S3227),"Intersection","Non-Intersection")</f>
        <v>Non-Intersection</v>
      </c>
      <c r="Y3227" t="s">
        <v>4148</v>
      </c>
      <c r="Z3227" t="str">
        <f t="shared" si="735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22"/>
        <v>40909</v>
      </c>
      <c r="D3228" s="4">
        <f t="shared" si="723"/>
        <v>5.4644808743169397E-2</v>
      </c>
      <c r="E3228" s="3">
        <f t="shared" si="724"/>
        <v>2012</v>
      </c>
      <c r="F3228" s="3">
        <f t="shared" si="725"/>
        <v>1</v>
      </c>
      <c r="G3228" s="3">
        <f t="shared" si="726"/>
        <v>21</v>
      </c>
      <c r="H3228" s="3">
        <f t="shared" si="727"/>
        <v>14</v>
      </c>
      <c r="I3228" s="3">
        <f t="shared" si="728"/>
        <v>26</v>
      </c>
      <c r="J3228" s="3">
        <f t="shared" si="72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30"/>
        <v>YES</v>
      </c>
      <c r="Q3228" t="str">
        <f t="shared" si="731"/>
        <v>NO</v>
      </c>
      <c r="R3228" t="str">
        <f t="shared" si="732"/>
        <v>NO</v>
      </c>
      <c r="S3228">
        <v>51</v>
      </c>
      <c r="T3228" t="s">
        <v>2894</v>
      </c>
      <c r="U3228" t="str">
        <f t="shared" si="733"/>
        <v>Museum St</v>
      </c>
      <c r="W3228" t="str">
        <f t="shared" si="734"/>
        <v/>
      </c>
      <c r="X3228" t="str">
        <f>IF(ISBLANK(S3228),"Intersection","Non-Intersection")</f>
        <v>Non-Intersection</v>
      </c>
      <c r="Y3228" t="s">
        <v>4150</v>
      </c>
      <c r="Z3228" t="str">
        <f t="shared" si="735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22"/>
        <v>40909</v>
      </c>
      <c r="D3229" s="4">
        <f t="shared" si="723"/>
        <v>5.4644808743169397E-2</v>
      </c>
      <c r="E3229" s="3">
        <f t="shared" si="724"/>
        <v>2012</v>
      </c>
      <c r="F3229" s="3">
        <f t="shared" si="725"/>
        <v>1</v>
      </c>
      <c r="G3229" s="3">
        <f t="shared" si="726"/>
        <v>21</v>
      </c>
      <c r="H3229" s="3">
        <f t="shared" si="727"/>
        <v>20</v>
      </c>
      <c r="I3229" s="3">
        <f t="shared" si="728"/>
        <v>49</v>
      </c>
      <c r="J3229" s="3">
        <f t="shared" si="72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30"/>
        <v>YES</v>
      </c>
      <c r="Q3229" t="str">
        <f t="shared" si="731"/>
        <v>NO</v>
      </c>
      <c r="R3229" t="str">
        <f t="shared" si="732"/>
        <v>NO</v>
      </c>
      <c r="S3229">
        <v>651</v>
      </c>
      <c r="T3229" t="s">
        <v>198</v>
      </c>
      <c r="U3229" t="str">
        <f t="shared" si="733"/>
        <v>Mount Auburn St</v>
      </c>
      <c r="W3229" t="str">
        <f t="shared" si="734"/>
        <v/>
      </c>
      <c r="X3229" t="str">
        <f>IF(ISBLANK(S3229),"Intersection","Non-Intersection")</f>
        <v>Non-Intersection</v>
      </c>
      <c r="Y3229" t="s">
        <v>672</v>
      </c>
      <c r="Z3229" t="str">
        <f t="shared" si="735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22"/>
        <v>40909</v>
      </c>
      <c r="D3230" s="4">
        <f t="shared" si="723"/>
        <v>5.4644808743169397E-2</v>
      </c>
      <c r="E3230" s="3">
        <f t="shared" si="724"/>
        <v>2012</v>
      </c>
      <c r="F3230" s="3">
        <f t="shared" si="725"/>
        <v>1</v>
      </c>
      <c r="G3230" s="3">
        <f t="shared" si="726"/>
        <v>21</v>
      </c>
      <c r="H3230" s="3">
        <f t="shared" si="727"/>
        <v>9</v>
      </c>
      <c r="I3230" s="3">
        <f t="shared" si="728"/>
        <v>0</v>
      </c>
      <c r="J3230" s="3">
        <f t="shared" si="72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30"/>
        <v>YES</v>
      </c>
      <c r="Q3230" t="str">
        <f t="shared" si="731"/>
        <v>NO</v>
      </c>
      <c r="R3230" t="str">
        <f t="shared" si="732"/>
        <v>NO</v>
      </c>
      <c r="S3230" t="s">
        <v>4152</v>
      </c>
      <c r="T3230" t="s">
        <v>185</v>
      </c>
      <c r="U3230" t="str">
        <f t="shared" si="733"/>
        <v>Garden St</v>
      </c>
      <c r="W3230" t="str">
        <f t="shared" si="734"/>
        <v/>
      </c>
      <c r="X3230" t="str">
        <f>IF(ISBLANK(S3230),"Intersection","Non-Intersection")</f>
        <v>Non-Intersection</v>
      </c>
      <c r="Y3230" t="s">
        <v>4153</v>
      </c>
      <c r="Z3230" t="str">
        <f t="shared" si="735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22"/>
        <v>40909</v>
      </c>
      <c r="D3231" s="4">
        <f t="shared" si="723"/>
        <v>5.4644808743169397E-2</v>
      </c>
      <c r="E3231" s="3">
        <f t="shared" si="724"/>
        <v>2012</v>
      </c>
      <c r="F3231" s="3">
        <f t="shared" si="725"/>
        <v>1</v>
      </c>
      <c r="G3231" s="3">
        <f t="shared" si="726"/>
        <v>21</v>
      </c>
      <c r="H3231" s="3">
        <f t="shared" si="727"/>
        <v>10</v>
      </c>
      <c r="I3231" s="3">
        <f t="shared" si="728"/>
        <v>21</v>
      </c>
      <c r="J3231" s="3">
        <f t="shared" si="72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30"/>
        <v>YES</v>
      </c>
      <c r="Q3231" t="str">
        <f t="shared" si="731"/>
        <v>NO</v>
      </c>
      <c r="R3231" t="str">
        <f t="shared" si="732"/>
        <v>NO</v>
      </c>
      <c r="T3231" t="s">
        <v>185</v>
      </c>
      <c r="U3231" t="str">
        <f t="shared" si="733"/>
        <v>Garden St</v>
      </c>
      <c r="V3231" t="s">
        <v>14</v>
      </c>
      <c r="W3231" t="str">
        <f t="shared" si="734"/>
        <v>Massachusetts Ave</v>
      </c>
      <c r="X3231" t="str">
        <f>IF(ISBLANK(S3231),"Intersection","Non-Intersection")</f>
        <v>Intersection</v>
      </c>
      <c r="Y3231" t="s">
        <v>1003</v>
      </c>
      <c r="Z3231" t="str">
        <f t="shared" si="735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22"/>
        <v>40909</v>
      </c>
      <c r="D3232" s="4">
        <f t="shared" si="723"/>
        <v>5.737704918032787E-2</v>
      </c>
      <c r="E3232" s="3">
        <f t="shared" si="724"/>
        <v>2012</v>
      </c>
      <c r="F3232" s="3">
        <f t="shared" si="725"/>
        <v>1</v>
      </c>
      <c r="G3232" s="3">
        <f t="shared" si="726"/>
        <v>22</v>
      </c>
      <c r="H3232" s="3">
        <f t="shared" si="727"/>
        <v>8</v>
      </c>
      <c r="I3232" s="3">
        <f t="shared" si="728"/>
        <v>45</v>
      </c>
      <c r="J3232" s="3">
        <f t="shared" si="72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30"/>
        <v>YES</v>
      </c>
      <c r="Q3232" t="str">
        <f t="shared" si="731"/>
        <v>NO</v>
      </c>
      <c r="R3232" t="str">
        <f t="shared" si="732"/>
        <v>NO</v>
      </c>
      <c r="T3232" t="s">
        <v>14</v>
      </c>
      <c r="U3232" t="str">
        <f t="shared" si="733"/>
        <v>Massachusetts Ave</v>
      </c>
      <c r="V3232" t="s">
        <v>202</v>
      </c>
      <c r="W3232" t="str">
        <f t="shared" si="734"/>
        <v>Vassar St</v>
      </c>
      <c r="X3232" t="str">
        <f>IF(ISBLANK(S3232),"Intersection","Non-Intersection")</f>
        <v>Intersection</v>
      </c>
      <c r="Y3232" t="s">
        <v>361</v>
      </c>
      <c r="Z3232" t="str">
        <f t="shared" si="735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22"/>
        <v>40909</v>
      </c>
      <c r="D3233" s="4">
        <f t="shared" si="723"/>
        <v>5.737704918032787E-2</v>
      </c>
      <c r="E3233" s="3">
        <f t="shared" si="724"/>
        <v>2012</v>
      </c>
      <c r="F3233" s="3">
        <f t="shared" si="725"/>
        <v>1</v>
      </c>
      <c r="G3233" s="3">
        <f t="shared" si="726"/>
        <v>22</v>
      </c>
      <c r="H3233" s="3">
        <f t="shared" si="727"/>
        <v>14</v>
      </c>
      <c r="I3233" s="3">
        <f t="shared" si="728"/>
        <v>30</v>
      </c>
      <c r="J3233" s="3">
        <f t="shared" si="72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30"/>
        <v>YES</v>
      </c>
      <c r="Q3233" t="str">
        <f t="shared" si="731"/>
        <v>YES</v>
      </c>
      <c r="R3233" t="str">
        <f t="shared" si="732"/>
        <v>NO</v>
      </c>
      <c r="T3233" t="s">
        <v>19</v>
      </c>
      <c r="U3233" t="str">
        <f t="shared" si="733"/>
        <v>Cambridge St</v>
      </c>
      <c r="V3233" t="s">
        <v>526</v>
      </c>
      <c r="W3233" t="str">
        <f t="shared" si="734"/>
        <v>Springfield St</v>
      </c>
      <c r="X3233" t="str">
        <f>IF(ISBLANK(S3233),"Intersection","Non-Intersection")</f>
        <v>Intersection</v>
      </c>
      <c r="Y3233" t="s">
        <v>527</v>
      </c>
      <c r="Z3233" t="str">
        <f t="shared" si="735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22"/>
        <v>40909</v>
      </c>
      <c r="D3234" s="4">
        <f t="shared" si="723"/>
        <v>5.737704918032787E-2</v>
      </c>
      <c r="E3234" s="3">
        <f t="shared" si="724"/>
        <v>2012</v>
      </c>
      <c r="F3234" s="3">
        <f t="shared" si="725"/>
        <v>1</v>
      </c>
      <c r="G3234" s="3">
        <f t="shared" si="726"/>
        <v>22</v>
      </c>
      <c r="H3234" s="3">
        <f t="shared" si="727"/>
        <v>15</v>
      </c>
      <c r="I3234" s="3">
        <f t="shared" si="728"/>
        <v>40</v>
      </c>
      <c r="J3234" s="3">
        <f t="shared" si="72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30"/>
        <v>YES</v>
      </c>
      <c r="Q3234" t="str">
        <f t="shared" si="731"/>
        <v>NO</v>
      </c>
      <c r="R3234" t="str">
        <f t="shared" si="732"/>
        <v>NO</v>
      </c>
      <c r="T3234" t="s">
        <v>342</v>
      </c>
      <c r="U3234" t="str">
        <f t="shared" si="733"/>
        <v>Prospect St</v>
      </c>
      <c r="V3234" t="s">
        <v>2521</v>
      </c>
      <c r="W3234" t="str">
        <f t="shared" si="734"/>
        <v>Clary St</v>
      </c>
      <c r="X3234" t="str">
        <f>IF(ISBLANK(S3234),"Intersection","Non-Intersection")</f>
        <v>Intersection</v>
      </c>
      <c r="Y3234" t="s">
        <v>4154</v>
      </c>
      <c r="Z3234" t="str">
        <f t="shared" si="735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36">EOMONTH(B3235,MONTH(B3235)*-1)+1</f>
        <v>40909</v>
      </c>
      <c r="D3235" s="4">
        <f t="shared" ref="D3235:D3297" si="737">YEARFRAC(C3235,B3235,1)</f>
        <v>5.737704918032787E-2</v>
      </c>
      <c r="E3235" s="3">
        <f t="shared" ref="E3235:E3297" si="738">YEAR(B3235)</f>
        <v>2012</v>
      </c>
      <c r="F3235" s="3">
        <f t="shared" ref="F3235:F3297" si="739">MONTH(B3235)</f>
        <v>1</v>
      </c>
      <c r="G3235" s="3">
        <f t="shared" ref="G3235:G3297" si="740">DAY(B3235)</f>
        <v>22</v>
      </c>
      <c r="H3235" s="3">
        <f t="shared" ref="H3235:H3297" si="741">HOUR(B3235)</f>
        <v>19</v>
      </c>
      <c r="I3235" s="3">
        <f t="shared" ref="I3235:I3297" si="742">MINUTE(B3235)</f>
        <v>30</v>
      </c>
      <c r="J3235" s="3">
        <f t="shared" ref="J3235:J3297" si="743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44">IF(OR(N3235="Auto",O3235="Auto"),"YES",IF(OR(N3235="Taxi",O3235="Taxi"),"YES",IF(OR(N3235="Van",O3235="Van"),"YES",IF(OR(N3235="Truck",O3235="Truck"),"YES","NO"))))</f>
        <v>YES</v>
      </c>
      <c r="Q3235" t="str">
        <f t="shared" ref="Q3235:Q3297" si="745">IF(OR(N3235="Bicycle",O3235="Bicycle"),"YES","NO")</f>
        <v>NO</v>
      </c>
      <c r="R3235" t="str">
        <f t="shared" ref="R3235:R3297" si="746">IF(OR(N3235="Pedestrian",O3235="Pedestrian"),"YES","NO")</f>
        <v>NO</v>
      </c>
      <c r="T3235" t="s">
        <v>198</v>
      </c>
      <c r="U3235" t="str">
        <f t="shared" si="733"/>
        <v>Mount Auburn St</v>
      </c>
      <c r="V3235" t="s">
        <v>4156</v>
      </c>
      <c r="W3235" t="str">
        <f t="shared" si="734"/>
        <v>University Pl</v>
      </c>
      <c r="X3235" t="str">
        <f>IF(ISBLANK(S3235),"Intersection","Non-Intersection")</f>
        <v>Intersection</v>
      </c>
      <c r="Y3235" t="s">
        <v>4157</v>
      </c>
      <c r="Z3235" t="str">
        <f t="shared" si="735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36"/>
        <v>40909</v>
      </c>
      <c r="D3236" s="4">
        <f t="shared" si="737"/>
        <v>6.0109289617486336E-2</v>
      </c>
      <c r="E3236" s="3">
        <f t="shared" si="738"/>
        <v>2012</v>
      </c>
      <c r="F3236" s="3">
        <f t="shared" si="739"/>
        <v>1</v>
      </c>
      <c r="G3236" s="3">
        <f t="shared" si="740"/>
        <v>23</v>
      </c>
      <c r="H3236" s="3">
        <f t="shared" si="741"/>
        <v>12</v>
      </c>
      <c r="I3236" s="3">
        <f t="shared" si="742"/>
        <v>45</v>
      </c>
      <c r="J3236" s="3">
        <f t="shared" si="743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44"/>
        <v>YES</v>
      </c>
      <c r="Q3236" t="str">
        <f t="shared" si="745"/>
        <v>NO</v>
      </c>
      <c r="R3236" t="str">
        <f t="shared" si="746"/>
        <v>NO</v>
      </c>
      <c r="S3236">
        <v>1764</v>
      </c>
      <c r="T3236" t="s">
        <v>14</v>
      </c>
      <c r="U3236" t="str">
        <f t="shared" si="733"/>
        <v>Massachusetts Ave</v>
      </c>
      <c r="V3236" t="s">
        <v>2694</v>
      </c>
      <c r="W3236" t="str">
        <f t="shared" si="734"/>
        <v>Lancaster St</v>
      </c>
      <c r="X3236" t="str">
        <f>IF(ISBLANK(S3236),"Intersection","Non-Intersection")</f>
        <v>Non-Intersection</v>
      </c>
      <c r="Y3236" t="s">
        <v>4158</v>
      </c>
      <c r="Z3236" t="str">
        <f t="shared" si="735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36"/>
        <v>40909</v>
      </c>
      <c r="D3237" s="4">
        <f t="shared" si="737"/>
        <v>6.0109289617486336E-2</v>
      </c>
      <c r="E3237" s="3">
        <f t="shared" si="738"/>
        <v>2012</v>
      </c>
      <c r="F3237" s="3">
        <f t="shared" si="739"/>
        <v>1</v>
      </c>
      <c r="G3237" s="3">
        <f t="shared" si="740"/>
        <v>23</v>
      </c>
      <c r="H3237" s="3">
        <f t="shared" si="741"/>
        <v>19</v>
      </c>
      <c r="I3237" s="3">
        <f t="shared" si="742"/>
        <v>15</v>
      </c>
      <c r="J3237" s="3">
        <f t="shared" si="743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44"/>
        <v>YES</v>
      </c>
      <c r="Q3237" t="str">
        <f t="shared" si="745"/>
        <v>NO</v>
      </c>
      <c r="R3237" t="str">
        <f t="shared" si="746"/>
        <v>NO</v>
      </c>
      <c r="T3237" t="s">
        <v>14</v>
      </c>
      <c r="U3237" t="str">
        <f t="shared" si="733"/>
        <v>Massachusetts Ave</v>
      </c>
      <c r="V3237" t="s">
        <v>185</v>
      </c>
      <c r="W3237" t="str">
        <f t="shared" si="734"/>
        <v>Garden St</v>
      </c>
      <c r="X3237" t="str">
        <f>IF(ISBLANK(S3237),"Intersection","Non-Intersection")</f>
        <v>Intersection</v>
      </c>
      <c r="Y3237" t="s">
        <v>1247</v>
      </c>
      <c r="Z3237" t="str">
        <f t="shared" si="735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36"/>
        <v>40909</v>
      </c>
      <c r="D3238" s="4">
        <f t="shared" si="737"/>
        <v>6.0109289617486336E-2</v>
      </c>
      <c r="E3238" s="3">
        <f t="shared" si="738"/>
        <v>2012</v>
      </c>
      <c r="F3238" s="3">
        <f t="shared" si="739"/>
        <v>1</v>
      </c>
      <c r="G3238" s="3">
        <f t="shared" si="740"/>
        <v>23</v>
      </c>
      <c r="H3238" s="3">
        <f t="shared" si="741"/>
        <v>23</v>
      </c>
      <c r="I3238" s="3">
        <f t="shared" si="742"/>
        <v>0</v>
      </c>
      <c r="J3238" s="3">
        <f t="shared" si="743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44"/>
        <v>YES</v>
      </c>
      <c r="Q3238" t="str">
        <f t="shared" si="745"/>
        <v>NO</v>
      </c>
      <c r="R3238" t="str">
        <f t="shared" si="746"/>
        <v>NO</v>
      </c>
      <c r="T3238" t="s">
        <v>105</v>
      </c>
      <c r="U3238" t="str">
        <f t="shared" si="733"/>
        <v>Broadway</v>
      </c>
      <c r="V3238" t="s">
        <v>796</v>
      </c>
      <c r="W3238" t="str">
        <f t="shared" si="734"/>
        <v>Portland St</v>
      </c>
      <c r="X3238" t="str">
        <f>IF(ISBLANK(S3238),"Intersection","Non-Intersection")</f>
        <v>Intersection</v>
      </c>
      <c r="Y3238" t="s">
        <v>2561</v>
      </c>
      <c r="Z3238" t="str">
        <f t="shared" si="735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36"/>
        <v>40909</v>
      </c>
      <c r="D3239" s="4">
        <f t="shared" si="737"/>
        <v>6.0109289617486336E-2</v>
      </c>
      <c r="E3239" s="3">
        <f t="shared" si="738"/>
        <v>2012</v>
      </c>
      <c r="F3239" s="3">
        <f t="shared" si="739"/>
        <v>1</v>
      </c>
      <c r="G3239" s="3">
        <f t="shared" si="740"/>
        <v>23</v>
      </c>
      <c r="H3239" s="3">
        <f t="shared" si="741"/>
        <v>12</v>
      </c>
      <c r="I3239" s="3">
        <f t="shared" si="742"/>
        <v>30</v>
      </c>
      <c r="J3239" s="3">
        <f t="shared" si="743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44"/>
        <v>YES</v>
      </c>
      <c r="Q3239" t="str">
        <f t="shared" si="745"/>
        <v>NO</v>
      </c>
      <c r="R3239" t="str">
        <f t="shared" si="746"/>
        <v>NO</v>
      </c>
      <c r="T3239" t="s">
        <v>186</v>
      </c>
      <c r="U3239" t="str">
        <f t="shared" si="733"/>
        <v>Concord Ave</v>
      </c>
      <c r="V3239" t="s">
        <v>252</v>
      </c>
      <c r="W3239" t="str">
        <f t="shared" si="734"/>
        <v>Walden St</v>
      </c>
      <c r="X3239" t="str">
        <f>IF(ISBLANK(S3239),"Intersection","Non-Intersection")</f>
        <v>Intersection</v>
      </c>
      <c r="Y3239" t="s">
        <v>1941</v>
      </c>
      <c r="Z3239" t="str">
        <f t="shared" si="735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36"/>
        <v>40909</v>
      </c>
      <c r="D3240" s="4">
        <f t="shared" si="737"/>
        <v>6.0109289617486336E-2</v>
      </c>
      <c r="E3240" s="3">
        <f t="shared" si="738"/>
        <v>2012</v>
      </c>
      <c r="F3240" s="3">
        <f t="shared" si="739"/>
        <v>1</v>
      </c>
      <c r="G3240" s="3">
        <f t="shared" si="740"/>
        <v>23</v>
      </c>
      <c r="H3240" s="3">
        <f t="shared" si="741"/>
        <v>7</v>
      </c>
      <c r="I3240" s="3">
        <f t="shared" si="742"/>
        <v>54</v>
      </c>
      <c r="J3240" s="3">
        <f t="shared" si="743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44"/>
        <v>YES</v>
      </c>
      <c r="Q3240" t="str">
        <f t="shared" si="745"/>
        <v>NO</v>
      </c>
      <c r="R3240" t="str">
        <f t="shared" si="746"/>
        <v>NO</v>
      </c>
      <c r="T3240" t="s">
        <v>129</v>
      </c>
      <c r="U3240" t="str">
        <f t="shared" si="733"/>
        <v>Cardinal Medeiros Ave</v>
      </c>
      <c r="V3240" t="s">
        <v>209</v>
      </c>
      <c r="W3240" t="str">
        <f t="shared" si="734"/>
        <v>Binney St</v>
      </c>
      <c r="X3240" t="str">
        <f>IF(ISBLANK(S3240),"Intersection","Non-Intersection")</f>
        <v>Intersection</v>
      </c>
      <c r="Y3240" t="s">
        <v>646</v>
      </c>
      <c r="Z3240" t="str">
        <f t="shared" si="735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36"/>
        <v>40909</v>
      </c>
      <c r="D3241" s="4">
        <f t="shared" si="737"/>
        <v>6.2841530054644809E-2</v>
      </c>
      <c r="E3241" s="3">
        <f t="shared" si="738"/>
        <v>2012</v>
      </c>
      <c r="F3241" s="3">
        <f t="shared" si="739"/>
        <v>1</v>
      </c>
      <c r="G3241" s="3">
        <f t="shared" si="740"/>
        <v>24</v>
      </c>
      <c r="H3241" s="3">
        <f t="shared" si="741"/>
        <v>17</v>
      </c>
      <c r="I3241" s="3">
        <f t="shared" si="742"/>
        <v>19</v>
      </c>
      <c r="J3241" s="3">
        <f t="shared" si="743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44"/>
        <v>YES</v>
      </c>
      <c r="Q3241" t="str">
        <f t="shared" si="745"/>
        <v>NO</v>
      </c>
      <c r="R3241" t="str">
        <f t="shared" si="746"/>
        <v>NO</v>
      </c>
      <c r="S3241">
        <v>2150</v>
      </c>
      <c r="T3241" t="s">
        <v>14</v>
      </c>
      <c r="U3241" t="str">
        <f t="shared" si="733"/>
        <v>Massachusetts Ave</v>
      </c>
      <c r="W3241" t="str">
        <f t="shared" si="734"/>
        <v/>
      </c>
      <c r="X3241" t="str">
        <f>IF(ISBLANK(S3241),"Intersection","Non-Intersection")</f>
        <v>Non-Intersection</v>
      </c>
      <c r="Y3241" t="s">
        <v>4160</v>
      </c>
      <c r="Z3241" t="str">
        <f t="shared" si="735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36"/>
        <v>40909</v>
      </c>
      <c r="D3242" s="4">
        <f t="shared" si="737"/>
        <v>6.2841530054644809E-2</v>
      </c>
      <c r="E3242" s="3">
        <f t="shared" si="738"/>
        <v>2012</v>
      </c>
      <c r="F3242" s="3">
        <f t="shared" si="739"/>
        <v>1</v>
      </c>
      <c r="G3242" s="3">
        <f t="shared" si="740"/>
        <v>24</v>
      </c>
      <c r="H3242" s="3">
        <f t="shared" si="741"/>
        <v>8</v>
      </c>
      <c r="I3242" s="3">
        <f t="shared" si="742"/>
        <v>0</v>
      </c>
      <c r="J3242" s="3">
        <f t="shared" si="743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44"/>
        <v>YES</v>
      </c>
      <c r="Q3242" t="str">
        <f t="shared" si="745"/>
        <v>NO</v>
      </c>
      <c r="R3242" t="str">
        <f t="shared" si="746"/>
        <v>NO</v>
      </c>
      <c r="T3242" t="s">
        <v>198</v>
      </c>
      <c r="U3242" t="str">
        <f t="shared" si="733"/>
        <v>Mount Auburn St</v>
      </c>
      <c r="V3242" t="s">
        <v>199</v>
      </c>
      <c r="W3242" t="str">
        <f t="shared" si="734"/>
        <v>Brattle St</v>
      </c>
      <c r="X3242" t="str">
        <f>IF(ISBLANK(S3242),"Intersection","Non-Intersection")</f>
        <v>Intersection</v>
      </c>
      <c r="Y3242" t="s">
        <v>767</v>
      </c>
      <c r="Z3242" t="str">
        <f t="shared" si="735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36"/>
        <v>40909</v>
      </c>
      <c r="D3243" s="4">
        <f t="shared" si="737"/>
        <v>6.2841530054644809E-2</v>
      </c>
      <c r="E3243" s="3">
        <f t="shared" si="738"/>
        <v>2012</v>
      </c>
      <c r="F3243" s="3">
        <f t="shared" si="739"/>
        <v>1</v>
      </c>
      <c r="G3243" s="3">
        <f t="shared" si="740"/>
        <v>24</v>
      </c>
      <c r="H3243" s="3">
        <f t="shared" si="741"/>
        <v>0</v>
      </c>
      <c r="I3243" s="3">
        <f t="shared" si="742"/>
        <v>59</v>
      </c>
      <c r="J3243" s="3">
        <f t="shared" si="743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44"/>
        <v>YES</v>
      </c>
      <c r="Q3243" t="str">
        <f t="shared" si="745"/>
        <v>NO</v>
      </c>
      <c r="R3243" t="str">
        <f t="shared" si="746"/>
        <v>NO</v>
      </c>
      <c r="S3243">
        <v>188</v>
      </c>
      <c r="T3243" t="s">
        <v>133</v>
      </c>
      <c r="U3243" t="str">
        <f t="shared" si="733"/>
        <v>Harvard St</v>
      </c>
      <c r="W3243" t="str">
        <f t="shared" si="734"/>
        <v/>
      </c>
      <c r="X3243" t="str">
        <f>IF(ISBLANK(S3243),"Intersection","Non-Intersection")</f>
        <v>Non-Intersection</v>
      </c>
      <c r="Y3243" t="s">
        <v>4162</v>
      </c>
      <c r="Z3243" t="str">
        <f t="shared" si="735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36"/>
        <v>40909</v>
      </c>
      <c r="D3244" s="4">
        <f t="shared" si="737"/>
        <v>6.2841530054644809E-2</v>
      </c>
      <c r="E3244" s="3">
        <f t="shared" si="738"/>
        <v>2012</v>
      </c>
      <c r="F3244" s="3">
        <f t="shared" si="739"/>
        <v>1</v>
      </c>
      <c r="G3244" s="3">
        <f t="shared" si="740"/>
        <v>24</v>
      </c>
      <c r="H3244" s="3">
        <f t="shared" si="741"/>
        <v>15</v>
      </c>
      <c r="I3244" s="3">
        <f t="shared" si="742"/>
        <v>8</v>
      </c>
      <c r="J3244" s="3">
        <f t="shared" si="743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44"/>
        <v>YES</v>
      </c>
      <c r="Q3244" t="str">
        <f t="shared" si="745"/>
        <v>NO</v>
      </c>
      <c r="R3244" t="str">
        <f t="shared" si="746"/>
        <v>NO</v>
      </c>
      <c r="T3244" t="s">
        <v>186</v>
      </c>
      <c r="U3244" t="str">
        <f t="shared" si="733"/>
        <v>Concord Ave</v>
      </c>
      <c r="V3244" t="s">
        <v>413</v>
      </c>
      <c r="W3244" t="str">
        <f t="shared" si="734"/>
        <v>Smith Pl</v>
      </c>
      <c r="X3244" t="str">
        <f>IF(ISBLANK(S3244),"Intersection","Non-Intersection")</f>
        <v>Intersection</v>
      </c>
      <c r="Y3244" t="s">
        <v>859</v>
      </c>
      <c r="Z3244" t="str">
        <f t="shared" si="735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36"/>
        <v>40909</v>
      </c>
      <c r="D3245" s="4">
        <f t="shared" si="737"/>
        <v>6.2841530054644809E-2</v>
      </c>
      <c r="E3245" s="3">
        <f t="shared" si="738"/>
        <v>2012</v>
      </c>
      <c r="F3245" s="3">
        <f t="shared" si="739"/>
        <v>1</v>
      </c>
      <c r="G3245" s="3">
        <f t="shared" si="740"/>
        <v>24</v>
      </c>
      <c r="H3245" s="3">
        <f t="shared" si="741"/>
        <v>17</v>
      </c>
      <c r="I3245" s="3">
        <f t="shared" si="742"/>
        <v>45</v>
      </c>
      <c r="J3245" s="3">
        <f t="shared" si="743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44"/>
        <v>YES</v>
      </c>
      <c r="Q3245" t="str">
        <f t="shared" si="745"/>
        <v>NO</v>
      </c>
      <c r="R3245" t="str">
        <f t="shared" si="746"/>
        <v>NO</v>
      </c>
      <c r="T3245" t="s">
        <v>199</v>
      </c>
      <c r="U3245" t="str">
        <f t="shared" si="733"/>
        <v>Brattle St</v>
      </c>
      <c r="V3245" t="s">
        <v>326</v>
      </c>
      <c r="W3245" t="str">
        <f t="shared" si="734"/>
        <v>Jfk St</v>
      </c>
      <c r="X3245" t="str">
        <f>IF(ISBLANK(S3245),"Intersection","Non-Intersection")</f>
        <v>Intersection</v>
      </c>
      <c r="Y3245" t="s">
        <v>574</v>
      </c>
      <c r="Z3245" t="str">
        <f t="shared" si="735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36"/>
        <v>40909</v>
      </c>
      <c r="D3246" s="4">
        <f t="shared" si="737"/>
        <v>6.5573770491803282E-2</v>
      </c>
      <c r="E3246" s="3">
        <f t="shared" si="738"/>
        <v>2012</v>
      </c>
      <c r="F3246" s="3">
        <f t="shared" si="739"/>
        <v>1</v>
      </c>
      <c r="G3246" s="3">
        <f t="shared" si="740"/>
        <v>25</v>
      </c>
      <c r="H3246" s="3">
        <f t="shared" si="741"/>
        <v>12</v>
      </c>
      <c r="I3246" s="3">
        <f t="shared" si="742"/>
        <v>59</v>
      </c>
      <c r="J3246" s="3">
        <f t="shared" si="743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44"/>
        <v>YES</v>
      </c>
      <c r="Q3246" t="str">
        <f t="shared" si="745"/>
        <v>NO</v>
      </c>
      <c r="R3246" t="str">
        <f t="shared" si="746"/>
        <v>NO</v>
      </c>
      <c r="S3246">
        <v>1430</v>
      </c>
      <c r="T3246" t="s">
        <v>14</v>
      </c>
      <c r="U3246" t="str">
        <f t="shared" si="733"/>
        <v>Massachusetts Ave</v>
      </c>
      <c r="V3246" t="s">
        <v>1427</v>
      </c>
      <c r="W3246" t="str">
        <f t="shared" si="734"/>
        <v>Harvard Sq</v>
      </c>
      <c r="X3246" t="str">
        <f>IF(ISBLANK(S3246),"Intersection","Non-Intersection")</f>
        <v>Non-Intersection</v>
      </c>
      <c r="Y3246" t="s">
        <v>4046</v>
      </c>
      <c r="Z3246" t="str">
        <f t="shared" si="735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36"/>
        <v>40909</v>
      </c>
      <c r="D3247" s="4">
        <f t="shared" si="737"/>
        <v>6.5573770491803282E-2</v>
      </c>
      <c r="E3247" s="3">
        <f t="shared" si="738"/>
        <v>2012</v>
      </c>
      <c r="F3247" s="3">
        <f t="shared" si="739"/>
        <v>1</v>
      </c>
      <c r="G3247" s="3">
        <f t="shared" si="740"/>
        <v>25</v>
      </c>
      <c r="H3247" s="3">
        <f t="shared" si="741"/>
        <v>18</v>
      </c>
      <c r="I3247" s="3">
        <f t="shared" si="742"/>
        <v>4</v>
      </c>
      <c r="J3247" s="3">
        <f t="shared" si="743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44"/>
        <v>YES</v>
      </c>
      <c r="Q3247" t="str">
        <f t="shared" si="745"/>
        <v>NO</v>
      </c>
      <c r="R3247" t="str">
        <f t="shared" si="746"/>
        <v>YES</v>
      </c>
      <c r="S3247">
        <v>842</v>
      </c>
      <c r="T3247" t="s">
        <v>14</v>
      </c>
      <c r="U3247" t="str">
        <f t="shared" si="733"/>
        <v>Massachusetts Ave</v>
      </c>
      <c r="W3247" t="str">
        <f t="shared" si="734"/>
        <v/>
      </c>
      <c r="X3247" t="str">
        <f>IF(ISBLANK(S3247),"Intersection","Non-Intersection")</f>
        <v>Non-Intersection</v>
      </c>
      <c r="Y3247" t="s">
        <v>620</v>
      </c>
      <c r="Z3247" t="str">
        <f t="shared" si="735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36"/>
        <v>40909</v>
      </c>
      <c r="D3248" s="4">
        <f t="shared" si="737"/>
        <v>6.8306010928961755E-2</v>
      </c>
      <c r="E3248" s="3">
        <f t="shared" si="738"/>
        <v>2012</v>
      </c>
      <c r="F3248" s="3">
        <f t="shared" si="739"/>
        <v>1</v>
      </c>
      <c r="G3248" s="3">
        <f t="shared" si="740"/>
        <v>26</v>
      </c>
      <c r="H3248" s="3">
        <f t="shared" si="741"/>
        <v>1</v>
      </c>
      <c r="I3248" s="3">
        <f t="shared" si="742"/>
        <v>25</v>
      </c>
      <c r="J3248" s="3">
        <f t="shared" si="743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44"/>
        <v>YES</v>
      </c>
      <c r="Q3248" t="str">
        <f t="shared" si="745"/>
        <v>NO</v>
      </c>
      <c r="R3248" t="str">
        <f t="shared" si="746"/>
        <v>NO</v>
      </c>
      <c r="S3248">
        <v>64</v>
      </c>
      <c r="T3248" t="s">
        <v>1226</v>
      </c>
      <c r="U3248" t="str">
        <f t="shared" si="733"/>
        <v>Dana St</v>
      </c>
      <c r="W3248" t="str">
        <f t="shared" si="734"/>
        <v/>
      </c>
      <c r="X3248" t="str">
        <f>IF(ISBLANK(S3248),"Intersection","Non-Intersection")</f>
        <v>Non-Intersection</v>
      </c>
      <c r="Y3248" t="s">
        <v>4164</v>
      </c>
      <c r="Z3248" t="str">
        <f t="shared" si="735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36"/>
        <v>40909</v>
      </c>
      <c r="D3249" s="4">
        <f t="shared" si="737"/>
        <v>6.8306010928961755E-2</v>
      </c>
      <c r="E3249" s="3">
        <f t="shared" si="738"/>
        <v>2012</v>
      </c>
      <c r="F3249" s="3">
        <f t="shared" si="739"/>
        <v>1</v>
      </c>
      <c r="G3249" s="3">
        <f t="shared" si="740"/>
        <v>26</v>
      </c>
      <c r="H3249" s="3">
        <f t="shared" si="741"/>
        <v>8</v>
      </c>
      <c r="I3249" s="3">
        <f t="shared" si="742"/>
        <v>16</v>
      </c>
      <c r="J3249" s="3">
        <f t="shared" si="743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44"/>
        <v>YES</v>
      </c>
      <c r="Q3249" t="str">
        <f t="shared" si="745"/>
        <v>NO</v>
      </c>
      <c r="R3249" t="str">
        <f t="shared" si="746"/>
        <v>NO</v>
      </c>
      <c r="T3249" t="s">
        <v>189</v>
      </c>
      <c r="U3249" t="str">
        <f t="shared" si="733"/>
        <v>Windsor St</v>
      </c>
      <c r="V3249" t="s">
        <v>105</v>
      </c>
      <c r="W3249" t="str">
        <f t="shared" si="734"/>
        <v>Broadway</v>
      </c>
      <c r="X3249" t="str">
        <f>IF(ISBLANK(S3249),"Intersection","Non-Intersection")</f>
        <v>Intersection</v>
      </c>
      <c r="Y3249" t="s">
        <v>877</v>
      </c>
      <c r="Z3249" t="str">
        <f t="shared" si="735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36"/>
        <v>40909</v>
      </c>
      <c r="D3250" s="4">
        <f t="shared" si="737"/>
        <v>6.8306010928961755E-2</v>
      </c>
      <c r="E3250" s="3">
        <f t="shared" si="738"/>
        <v>2012</v>
      </c>
      <c r="F3250" s="3">
        <f t="shared" si="739"/>
        <v>1</v>
      </c>
      <c r="G3250" s="3">
        <f t="shared" si="740"/>
        <v>26</v>
      </c>
      <c r="H3250" s="3">
        <f t="shared" si="741"/>
        <v>9</v>
      </c>
      <c r="I3250" s="3">
        <f t="shared" si="742"/>
        <v>27</v>
      </c>
      <c r="J3250" s="3">
        <f t="shared" si="743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44"/>
        <v>YES</v>
      </c>
      <c r="Q3250" t="str">
        <f t="shared" si="745"/>
        <v>NO</v>
      </c>
      <c r="R3250" t="str">
        <f t="shared" si="746"/>
        <v>NO</v>
      </c>
      <c r="T3250" t="s">
        <v>97</v>
      </c>
      <c r="U3250" t="str">
        <f t="shared" si="733"/>
        <v>Peabody St</v>
      </c>
      <c r="V3250" t="s">
        <v>14</v>
      </c>
      <c r="W3250" t="str">
        <f t="shared" si="734"/>
        <v>Massachusetts Ave</v>
      </c>
      <c r="X3250" t="str">
        <f>IF(ISBLANK(S3250),"Intersection","Non-Intersection")</f>
        <v>Intersection</v>
      </c>
      <c r="Y3250" t="s">
        <v>98</v>
      </c>
      <c r="Z3250" t="str">
        <f t="shared" si="735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36"/>
        <v>40909</v>
      </c>
      <c r="D3251" s="4">
        <f t="shared" si="737"/>
        <v>6.8306010928961755E-2</v>
      </c>
      <c r="E3251" s="3">
        <f t="shared" si="738"/>
        <v>2012</v>
      </c>
      <c r="F3251" s="3">
        <f t="shared" si="739"/>
        <v>1</v>
      </c>
      <c r="G3251" s="3">
        <f t="shared" si="740"/>
        <v>26</v>
      </c>
      <c r="H3251" s="3">
        <f t="shared" si="741"/>
        <v>21</v>
      </c>
      <c r="I3251" s="3">
        <f t="shared" si="742"/>
        <v>59</v>
      </c>
      <c r="J3251" s="3">
        <f t="shared" si="743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44"/>
        <v>YES</v>
      </c>
      <c r="Q3251" t="str">
        <f t="shared" si="745"/>
        <v>NO</v>
      </c>
      <c r="R3251" t="str">
        <f t="shared" si="746"/>
        <v>NO</v>
      </c>
      <c r="T3251" t="s">
        <v>14</v>
      </c>
      <c r="U3251" t="str">
        <f t="shared" si="733"/>
        <v>Massachusetts Ave</v>
      </c>
      <c r="V3251" t="s">
        <v>195</v>
      </c>
      <c r="W3251" t="str">
        <f t="shared" si="734"/>
        <v>Sidney St</v>
      </c>
      <c r="X3251" t="str">
        <f>IF(ISBLANK(S3251),"Intersection","Non-Intersection")</f>
        <v>Intersection</v>
      </c>
      <c r="Y3251" t="s">
        <v>196</v>
      </c>
      <c r="Z3251" t="str">
        <f t="shared" si="735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36"/>
        <v>40909</v>
      </c>
      <c r="D3252" s="4">
        <f t="shared" si="737"/>
        <v>7.1038251366120214E-2</v>
      </c>
      <c r="E3252" s="3">
        <f t="shared" si="738"/>
        <v>2012</v>
      </c>
      <c r="F3252" s="3">
        <f t="shared" si="739"/>
        <v>1</v>
      </c>
      <c r="G3252" s="3">
        <f t="shared" si="740"/>
        <v>27</v>
      </c>
      <c r="H3252" s="3">
        <f t="shared" si="741"/>
        <v>0</v>
      </c>
      <c r="I3252" s="3">
        <f t="shared" si="742"/>
        <v>15</v>
      </c>
      <c r="J3252" s="3">
        <f t="shared" si="743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44"/>
        <v>YES</v>
      </c>
      <c r="Q3252" t="str">
        <f t="shared" si="745"/>
        <v>NO</v>
      </c>
      <c r="R3252" t="str">
        <f t="shared" si="746"/>
        <v>NO</v>
      </c>
      <c r="T3252" t="s">
        <v>14</v>
      </c>
      <c r="U3252" t="str">
        <f t="shared" si="733"/>
        <v>Massachusetts Ave</v>
      </c>
      <c r="V3252" t="s">
        <v>70</v>
      </c>
      <c r="W3252" t="str">
        <f t="shared" si="734"/>
        <v>Pearl St</v>
      </c>
      <c r="X3252" t="str">
        <f>IF(ISBLANK(S3252),"Intersection","Non-Intersection")</f>
        <v>Intersection</v>
      </c>
      <c r="Y3252" t="s">
        <v>855</v>
      </c>
      <c r="Z3252" t="str">
        <f t="shared" si="735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36"/>
        <v>40909</v>
      </c>
      <c r="D3253" s="4">
        <f t="shared" si="737"/>
        <v>7.1038251366120214E-2</v>
      </c>
      <c r="E3253" s="3">
        <f t="shared" si="738"/>
        <v>2012</v>
      </c>
      <c r="F3253" s="3">
        <f t="shared" si="739"/>
        <v>1</v>
      </c>
      <c r="G3253" s="3">
        <f t="shared" si="740"/>
        <v>27</v>
      </c>
      <c r="H3253" s="3">
        <f t="shared" si="741"/>
        <v>8</v>
      </c>
      <c r="I3253" s="3">
        <f t="shared" si="742"/>
        <v>42</v>
      </c>
      <c r="J3253" s="3">
        <f t="shared" si="743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44"/>
        <v>YES</v>
      </c>
      <c r="Q3253" t="str">
        <f t="shared" si="745"/>
        <v>NO</v>
      </c>
      <c r="R3253" t="str">
        <f t="shared" si="746"/>
        <v>NO</v>
      </c>
      <c r="T3253" t="s">
        <v>325</v>
      </c>
      <c r="U3253" t="str">
        <f t="shared" si="733"/>
        <v>Eliot St</v>
      </c>
      <c r="V3253" t="s">
        <v>198</v>
      </c>
      <c r="W3253" t="str">
        <f t="shared" si="734"/>
        <v>Mount Auburn St</v>
      </c>
      <c r="X3253" t="str">
        <f>IF(ISBLANK(S3253),"Intersection","Non-Intersection")</f>
        <v>Intersection</v>
      </c>
      <c r="Y3253" t="s">
        <v>3239</v>
      </c>
      <c r="Z3253" t="str">
        <f t="shared" si="735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36"/>
        <v>40909</v>
      </c>
      <c r="D3254" s="4">
        <f t="shared" si="737"/>
        <v>7.1038251366120214E-2</v>
      </c>
      <c r="E3254" s="3">
        <f t="shared" si="738"/>
        <v>2012</v>
      </c>
      <c r="F3254" s="3">
        <f t="shared" si="739"/>
        <v>1</v>
      </c>
      <c r="G3254" s="3">
        <f t="shared" si="740"/>
        <v>27</v>
      </c>
      <c r="H3254" s="3">
        <f t="shared" si="741"/>
        <v>9</v>
      </c>
      <c r="I3254" s="3">
        <f t="shared" si="742"/>
        <v>8</v>
      </c>
      <c r="J3254" s="3">
        <f t="shared" si="743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44"/>
        <v>YES</v>
      </c>
      <c r="Q3254" t="str">
        <f t="shared" si="745"/>
        <v>NO</v>
      </c>
      <c r="R3254" t="str">
        <f t="shared" si="746"/>
        <v>NO</v>
      </c>
      <c r="T3254" t="s">
        <v>195</v>
      </c>
      <c r="U3254" t="str">
        <f t="shared" si="733"/>
        <v>Sidney St</v>
      </c>
      <c r="V3254" t="s">
        <v>835</v>
      </c>
      <c r="W3254" t="str">
        <f t="shared" si="734"/>
        <v>Erie St</v>
      </c>
      <c r="X3254" t="str">
        <f>IF(ISBLANK(S3254),"Intersection","Non-Intersection")</f>
        <v>Intersection</v>
      </c>
      <c r="Y3254" t="s">
        <v>836</v>
      </c>
      <c r="Z3254" t="str">
        <f t="shared" si="735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36"/>
        <v>40909</v>
      </c>
      <c r="D3255" s="4">
        <f t="shared" si="737"/>
        <v>7.1038251366120214E-2</v>
      </c>
      <c r="E3255" s="3">
        <f t="shared" si="738"/>
        <v>2012</v>
      </c>
      <c r="F3255" s="3">
        <f t="shared" si="739"/>
        <v>1</v>
      </c>
      <c r="G3255" s="3">
        <f t="shared" si="740"/>
        <v>27</v>
      </c>
      <c r="H3255" s="3">
        <f t="shared" si="741"/>
        <v>18</v>
      </c>
      <c r="I3255" s="3">
        <f t="shared" si="742"/>
        <v>20</v>
      </c>
      <c r="J3255" s="3">
        <f t="shared" si="743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44"/>
        <v>YES</v>
      </c>
      <c r="Q3255" t="str">
        <f t="shared" si="745"/>
        <v>YES</v>
      </c>
      <c r="R3255" t="str">
        <f t="shared" si="746"/>
        <v>NO</v>
      </c>
      <c r="T3255" t="s">
        <v>252</v>
      </c>
      <c r="U3255" t="str">
        <f t="shared" si="733"/>
        <v>Walden St</v>
      </c>
      <c r="V3255" t="s">
        <v>291</v>
      </c>
      <c r="W3255" t="str">
        <f t="shared" si="734"/>
        <v>Raymond St</v>
      </c>
      <c r="X3255" t="str">
        <f>IF(ISBLANK(S3255),"Intersection","Non-Intersection")</f>
        <v>Intersection</v>
      </c>
      <c r="Y3255" t="s">
        <v>2263</v>
      </c>
      <c r="Z3255" t="str">
        <f t="shared" si="735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36"/>
        <v>40909</v>
      </c>
      <c r="D3256" s="4">
        <f t="shared" si="737"/>
        <v>7.3770491803278687E-2</v>
      </c>
      <c r="E3256" s="3">
        <f t="shared" si="738"/>
        <v>2012</v>
      </c>
      <c r="F3256" s="3">
        <f t="shared" si="739"/>
        <v>1</v>
      </c>
      <c r="G3256" s="3">
        <f t="shared" si="740"/>
        <v>28</v>
      </c>
      <c r="H3256" s="3">
        <f t="shared" si="741"/>
        <v>13</v>
      </c>
      <c r="I3256" s="3">
        <f t="shared" si="742"/>
        <v>9</v>
      </c>
      <c r="J3256" s="3">
        <f t="shared" si="743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44"/>
        <v>YES</v>
      </c>
      <c r="Q3256" t="str">
        <f t="shared" si="745"/>
        <v>NO</v>
      </c>
      <c r="R3256" t="str">
        <f t="shared" si="746"/>
        <v>NO</v>
      </c>
      <c r="T3256" t="s">
        <v>14</v>
      </c>
      <c r="U3256" t="str">
        <f t="shared" si="733"/>
        <v>Massachusetts Ave</v>
      </c>
      <c r="V3256" t="s">
        <v>170</v>
      </c>
      <c r="W3256" t="str">
        <f t="shared" si="734"/>
        <v>Alewife Brook Pky</v>
      </c>
      <c r="X3256" t="str">
        <f>IF(ISBLANK(S3256),"Intersection","Non-Intersection")</f>
        <v>Intersection</v>
      </c>
      <c r="Y3256" t="s">
        <v>2954</v>
      </c>
      <c r="Z3256" t="str">
        <f t="shared" si="735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36"/>
        <v>40909</v>
      </c>
      <c r="D3257" s="4">
        <f t="shared" si="737"/>
        <v>7.3770491803278687E-2</v>
      </c>
      <c r="E3257" s="3">
        <f t="shared" si="738"/>
        <v>2012</v>
      </c>
      <c r="F3257" s="3">
        <f t="shared" si="739"/>
        <v>1</v>
      </c>
      <c r="G3257" s="3">
        <f t="shared" si="740"/>
        <v>28</v>
      </c>
      <c r="H3257" s="3">
        <f t="shared" si="741"/>
        <v>21</v>
      </c>
      <c r="I3257" s="3">
        <f t="shared" si="742"/>
        <v>55</v>
      </c>
      <c r="J3257" s="3">
        <f t="shared" si="743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44"/>
        <v>YES</v>
      </c>
      <c r="Q3257" t="str">
        <f t="shared" si="745"/>
        <v>NO</v>
      </c>
      <c r="R3257" t="str">
        <f t="shared" si="746"/>
        <v>NO</v>
      </c>
      <c r="S3257">
        <v>615</v>
      </c>
      <c r="T3257" t="s">
        <v>14</v>
      </c>
      <c r="U3257" t="str">
        <f t="shared" si="733"/>
        <v>Massachusetts Ave</v>
      </c>
      <c r="W3257" t="str">
        <f t="shared" si="734"/>
        <v/>
      </c>
      <c r="X3257" t="str">
        <f>IF(ISBLANK(S3257),"Intersection","Non-Intersection")</f>
        <v>Non-Intersection</v>
      </c>
      <c r="Y3257" t="s">
        <v>4166</v>
      </c>
      <c r="Z3257" t="str">
        <f t="shared" si="735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36"/>
        <v>40909</v>
      </c>
      <c r="D3258" s="4">
        <f t="shared" si="737"/>
        <v>7.650273224043716E-2</v>
      </c>
      <c r="E3258" s="3">
        <f t="shared" si="738"/>
        <v>2012</v>
      </c>
      <c r="F3258" s="3">
        <f t="shared" si="739"/>
        <v>1</v>
      </c>
      <c r="G3258" s="3">
        <f t="shared" si="740"/>
        <v>29</v>
      </c>
      <c r="H3258" s="3">
        <f t="shared" si="741"/>
        <v>18</v>
      </c>
      <c r="I3258" s="3">
        <f t="shared" si="742"/>
        <v>14</v>
      </c>
      <c r="J3258" s="3">
        <f t="shared" si="743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44"/>
        <v>NO</v>
      </c>
      <c r="Q3258" t="str">
        <f t="shared" si="745"/>
        <v>NO</v>
      </c>
      <c r="R3258" t="str">
        <f t="shared" si="746"/>
        <v>YES</v>
      </c>
      <c r="T3258" t="s">
        <v>14</v>
      </c>
      <c r="U3258" t="str">
        <f t="shared" si="733"/>
        <v>Massachusetts Ave</v>
      </c>
      <c r="V3258" t="s">
        <v>70</v>
      </c>
      <c r="W3258" t="str">
        <f t="shared" si="734"/>
        <v>Pearl St</v>
      </c>
      <c r="X3258" t="str">
        <f>IF(ISBLANK(S3258),"Intersection","Non-Intersection")</f>
        <v>Intersection</v>
      </c>
      <c r="Y3258" t="s">
        <v>855</v>
      </c>
      <c r="Z3258" t="str">
        <f t="shared" si="735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36"/>
        <v>40909</v>
      </c>
      <c r="D3259" s="4">
        <f t="shared" si="737"/>
        <v>7.650273224043716E-2</v>
      </c>
      <c r="E3259" s="3">
        <f t="shared" si="738"/>
        <v>2012</v>
      </c>
      <c r="F3259" s="3">
        <f t="shared" si="739"/>
        <v>1</v>
      </c>
      <c r="G3259" s="3">
        <f t="shared" si="740"/>
        <v>29</v>
      </c>
      <c r="H3259" s="3">
        <f t="shared" si="741"/>
        <v>12</v>
      </c>
      <c r="I3259" s="3">
        <f t="shared" si="742"/>
        <v>59</v>
      </c>
      <c r="J3259" s="3">
        <f t="shared" si="743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44"/>
        <v>YES</v>
      </c>
      <c r="Q3259" t="str">
        <f t="shared" si="745"/>
        <v>NO</v>
      </c>
      <c r="R3259" t="str">
        <f t="shared" si="746"/>
        <v>YES</v>
      </c>
      <c r="T3259" t="s">
        <v>316</v>
      </c>
      <c r="U3259" t="str">
        <f t="shared" si="733"/>
        <v>Bishop Allen Dr</v>
      </c>
      <c r="W3259" t="str">
        <f t="shared" si="734"/>
        <v/>
      </c>
      <c r="X3259" t="str">
        <f>IF(ISBLANK(S3259),"Intersection","Non-Intersection")</f>
        <v>Intersection</v>
      </c>
      <c r="Y3259" t="s">
        <v>1374</v>
      </c>
      <c r="Z3259" t="str">
        <f t="shared" si="735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36"/>
        <v>40909</v>
      </c>
      <c r="D3260" s="4">
        <f t="shared" si="737"/>
        <v>7.9234972677595633E-2</v>
      </c>
      <c r="E3260" s="3">
        <f t="shared" si="738"/>
        <v>2012</v>
      </c>
      <c r="F3260" s="3">
        <f t="shared" si="739"/>
        <v>1</v>
      </c>
      <c r="G3260" s="3">
        <f t="shared" si="740"/>
        <v>30</v>
      </c>
      <c r="H3260" s="3">
        <f t="shared" si="741"/>
        <v>10</v>
      </c>
      <c r="I3260" s="3">
        <f t="shared" si="742"/>
        <v>44</v>
      </c>
      <c r="J3260" s="3">
        <f t="shared" si="743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44"/>
        <v>YES</v>
      </c>
      <c r="Q3260" t="str">
        <f t="shared" si="745"/>
        <v>NO</v>
      </c>
      <c r="R3260" t="str">
        <f t="shared" si="746"/>
        <v>NO</v>
      </c>
      <c r="S3260">
        <v>15</v>
      </c>
      <c r="T3260" t="s">
        <v>291</v>
      </c>
      <c r="U3260" t="str">
        <f t="shared" si="733"/>
        <v>Raymond St</v>
      </c>
      <c r="W3260" t="str">
        <f t="shared" si="734"/>
        <v/>
      </c>
      <c r="X3260" t="str">
        <f>IF(ISBLANK(S3260),"Intersection","Non-Intersection")</f>
        <v>Non-Intersection</v>
      </c>
      <c r="Y3260" t="s">
        <v>4168</v>
      </c>
      <c r="Z3260" t="str">
        <f t="shared" si="735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36"/>
        <v>40909</v>
      </c>
      <c r="D3261" s="4">
        <f t="shared" si="737"/>
        <v>7.9234972677595633E-2</v>
      </c>
      <c r="E3261" s="3">
        <f t="shared" si="738"/>
        <v>2012</v>
      </c>
      <c r="F3261" s="3">
        <f t="shared" si="739"/>
        <v>1</v>
      </c>
      <c r="G3261" s="3">
        <f t="shared" si="740"/>
        <v>30</v>
      </c>
      <c r="H3261" s="3">
        <f t="shared" si="741"/>
        <v>12</v>
      </c>
      <c r="I3261" s="3">
        <f t="shared" si="742"/>
        <v>4</v>
      </c>
      <c r="J3261" s="3">
        <f t="shared" si="743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44"/>
        <v>YES</v>
      </c>
      <c r="Q3261" t="str">
        <f t="shared" si="745"/>
        <v>NO</v>
      </c>
      <c r="R3261" t="str">
        <f t="shared" si="746"/>
        <v>YES</v>
      </c>
      <c r="T3261" t="s">
        <v>19</v>
      </c>
      <c r="U3261" t="str">
        <f t="shared" si="733"/>
        <v>Cambridge St</v>
      </c>
      <c r="V3261" t="s">
        <v>101</v>
      </c>
      <c r="W3261" t="str">
        <f t="shared" si="734"/>
        <v>Columbia St</v>
      </c>
      <c r="X3261" t="str">
        <f>IF(ISBLANK(S3261),"Intersection","Non-Intersection")</f>
        <v>Intersection</v>
      </c>
      <c r="Y3261" t="s">
        <v>438</v>
      </c>
      <c r="Z3261" t="str">
        <f t="shared" si="735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36"/>
        <v>40909</v>
      </c>
      <c r="D3262" s="4">
        <f t="shared" si="737"/>
        <v>7.9234972677595633E-2</v>
      </c>
      <c r="E3262" s="3">
        <f t="shared" si="738"/>
        <v>2012</v>
      </c>
      <c r="F3262" s="3">
        <f t="shared" si="739"/>
        <v>1</v>
      </c>
      <c r="G3262" s="3">
        <f t="shared" si="740"/>
        <v>30</v>
      </c>
      <c r="H3262" s="3">
        <f t="shared" si="741"/>
        <v>15</v>
      </c>
      <c r="I3262" s="3">
        <f t="shared" si="742"/>
        <v>10</v>
      </c>
      <c r="J3262" s="3">
        <f t="shared" si="743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44"/>
        <v>YES</v>
      </c>
      <c r="Q3262" t="str">
        <f t="shared" si="745"/>
        <v>NO</v>
      </c>
      <c r="R3262" t="str">
        <f t="shared" si="746"/>
        <v>NO</v>
      </c>
      <c r="T3262" t="s">
        <v>41</v>
      </c>
      <c r="U3262" t="str">
        <f t="shared" si="733"/>
        <v>River St</v>
      </c>
      <c r="V3262" t="s">
        <v>509</v>
      </c>
      <c r="W3262" t="str">
        <f t="shared" si="734"/>
        <v>Green St</v>
      </c>
      <c r="X3262" t="str">
        <f>IF(ISBLANK(S3262),"Intersection","Non-Intersection")</f>
        <v>Intersection</v>
      </c>
      <c r="Y3262" t="s">
        <v>1999</v>
      </c>
      <c r="Z3262" t="str">
        <f t="shared" si="735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36"/>
        <v>40909</v>
      </c>
      <c r="D3263" s="4">
        <f t="shared" si="737"/>
        <v>7.9234972677595633E-2</v>
      </c>
      <c r="E3263" s="3">
        <f t="shared" si="738"/>
        <v>2012</v>
      </c>
      <c r="F3263" s="3">
        <f t="shared" si="739"/>
        <v>1</v>
      </c>
      <c r="G3263" s="3">
        <f t="shared" si="740"/>
        <v>30</v>
      </c>
      <c r="H3263" s="3">
        <f t="shared" si="741"/>
        <v>22</v>
      </c>
      <c r="I3263" s="3">
        <f t="shared" si="742"/>
        <v>15</v>
      </c>
      <c r="J3263" s="3">
        <f t="shared" si="743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44"/>
        <v>YES</v>
      </c>
      <c r="Q3263" t="str">
        <f t="shared" si="745"/>
        <v>NO</v>
      </c>
      <c r="R3263" t="str">
        <f t="shared" si="746"/>
        <v>NO</v>
      </c>
      <c r="T3263" t="s">
        <v>14</v>
      </c>
      <c r="U3263" t="str">
        <f t="shared" si="733"/>
        <v>Massachusetts Ave</v>
      </c>
      <c r="V3263" t="s">
        <v>840</v>
      </c>
      <c r="W3263" t="str">
        <f t="shared" si="734"/>
        <v>Church St</v>
      </c>
      <c r="X3263" t="str">
        <f>IF(ISBLANK(S3263),"Intersection","Non-Intersection")</f>
        <v>Intersection</v>
      </c>
      <c r="Y3263" t="s">
        <v>1264</v>
      </c>
      <c r="Z3263" t="str">
        <f t="shared" si="735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36"/>
        <v>40909</v>
      </c>
      <c r="D3264" s="4">
        <f t="shared" si="737"/>
        <v>8.1967213114754092E-2</v>
      </c>
      <c r="E3264" s="3">
        <f t="shared" si="738"/>
        <v>2012</v>
      </c>
      <c r="F3264" s="3">
        <f t="shared" si="739"/>
        <v>1</v>
      </c>
      <c r="G3264" s="3">
        <f t="shared" si="740"/>
        <v>31</v>
      </c>
      <c r="H3264" s="3">
        <f t="shared" si="741"/>
        <v>16</v>
      </c>
      <c r="I3264" s="3">
        <f t="shared" si="742"/>
        <v>6</v>
      </c>
      <c r="J3264" s="3">
        <f t="shared" si="743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44"/>
        <v>YES</v>
      </c>
      <c r="Q3264" t="str">
        <f t="shared" si="745"/>
        <v>NO</v>
      </c>
      <c r="R3264" t="str">
        <f t="shared" si="746"/>
        <v>NO</v>
      </c>
      <c r="S3264">
        <v>689</v>
      </c>
      <c r="T3264" t="s">
        <v>14</v>
      </c>
      <c r="U3264" t="str">
        <f t="shared" si="733"/>
        <v>Massachusetts Ave</v>
      </c>
      <c r="W3264" t="str">
        <f t="shared" si="734"/>
        <v/>
      </c>
      <c r="X3264" t="str">
        <f>IF(ISBLANK(S3264),"Intersection","Non-Intersection")</f>
        <v>Non-Intersection</v>
      </c>
      <c r="Y3264" t="s">
        <v>1517</v>
      </c>
      <c r="Z3264" t="str">
        <f t="shared" si="735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36"/>
        <v>40909</v>
      </c>
      <c r="D3265" s="4">
        <f t="shared" si="737"/>
        <v>8.4699453551912565E-2</v>
      </c>
      <c r="E3265" s="3">
        <f t="shared" si="738"/>
        <v>2012</v>
      </c>
      <c r="F3265" s="3">
        <f t="shared" si="739"/>
        <v>2</v>
      </c>
      <c r="G3265" s="3">
        <f t="shared" si="740"/>
        <v>1</v>
      </c>
      <c r="H3265" s="3">
        <f t="shared" si="741"/>
        <v>9</v>
      </c>
      <c r="I3265" s="3">
        <f t="shared" si="742"/>
        <v>59</v>
      </c>
      <c r="J3265" s="3">
        <f t="shared" si="743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44"/>
        <v>YES</v>
      </c>
      <c r="Q3265" t="str">
        <f t="shared" si="745"/>
        <v>NO</v>
      </c>
      <c r="R3265" t="str">
        <f t="shared" si="746"/>
        <v>NO</v>
      </c>
      <c r="T3265" t="s">
        <v>186</v>
      </c>
      <c r="U3265" t="str">
        <f t="shared" si="733"/>
        <v>Concord Ave</v>
      </c>
      <c r="V3265" t="s">
        <v>988</v>
      </c>
      <c r="W3265" t="str">
        <f t="shared" si="734"/>
        <v>Bond St</v>
      </c>
      <c r="X3265" t="str">
        <f>IF(ISBLANK(S3265),"Intersection","Non-Intersection")</f>
        <v>Intersection</v>
      </c>
      <c r="Y3265" t="s">
        <v>1674</v>
      </c>
      <c r="Z3265" t="str">
        <f t="shared" si="735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36"/>
        <v>40909</v>
      </c>
      <c r="D3266" s="4">
        <f t="shared" si="737"/>
        <v>8.4699453551912565E-2</v>
      </c>
      <c r="E3266" s="3">
        <f t="shared" si="738"/>
        <v>2012</v>
      </c>
      <c r="F3266" s="3">
        <f t="shared" si="739"/>
        <v>2</v>
      </c>
      <c r="G3266" s="3">
        <f t="shared" si="740"/>
        <v>1</v>
      </c>
      <c r="H3266" s="3">
        <f t="shared" si="741"/>
        <v>10</v>
      </c>
      <c r="I3266" s="3">
        <f t="shared" si="742"/>
        <v>53</v>
      </c>
      <c r="J3266" s="3">
        <f t="shared" si="743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44"/>
        <v>YES</v>
      </c>
      <c r="Q3266" t="str">
        <f t="shared" si="745"/>
        <v>NO</v>
      </c>
      <c r="R3266" t="str">
        <f t="shared" si="746"/>
        <v>NO</v>
      </c>
      <c r="S3266">
        <v>1908</v>
      </c>
      <c r="T3266" t="s">
        <v>14</v>
      </c>
      <c r="U3266" t="str">
        <f t="shared" si="733"/>
        <v>Massachusetts Ave</v>
      </c>
      <c r="W3266" t="str">
        <f t="shared" si="734"/>
        <v/>
      </c>
      <c r="X3266" t="str">
        <f>IF(ISBLANK(S3266),"Intersection","Non-Intersection")</f>
        <v>Non-Intersection</v>
      </c>
      <c r="Y3266" t="s">
        <v>4172</v>
      </c>
      <c r="Z3266" t="str">
        <f t="shared" si="735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36"/>
        <v>40909</v>
      </c>
      <c r="D3267" s="4">
        <f t="shared" si="737"/>
        <v>8.4699453551912565E-2</v>
      </c>
      <c r="E3267" s="3">
        <f t="shared" si="738"/>
        <v>2012</v>
      </c>
      <c r="F3267" s="3">
        <f t="shared" si="739"/>
        <v>2</v>
      </c>
      <c r="G3267" s="3">
        <f t="shared" si="740"/>
        <v>1</v>
      </c>
      <c r="H3267" s="3">
        <f t="shared" si="741"/>
        <v>14</v>
      </c>
      <c r="I3267" s="3">
        <f t="shared" si="742"/>
        <v>10</v>
      </c>
      <c r="J3267" s="3">
        <f t="shared" si="743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44"/>
        <v>YES</v>
      </c>
      <c r="Q3267" t="str">
        <f t="shared" si="745"/>
        <v>NO</v>
      </c>
      <c r="R3267" t="str">
        <f t="shared" si="746"/>
        <v>NO</v>
      </c>
      <c r="T3267" t="s">
        <v>326</v>
      </c>
      <c r="U3267" t="str">
        <f t="shared" ref="U3267:U3330" si="747">TRIM(PROPER(T3267))</f>
        <v>Jfk St</v>
      </c>
      <c r="V3267" t="s">
        <v>325</v>
      </c>
      <c r="W3267" t="str">
        <f t="shared" ref="W3267:W3330" si="748">TRIM(PROPER(V3267))</f>
        <v>Eliot St</v>
      </c>
      <c r="X3267" t="str">
        <f>IF(ISBLANK(S3267),"Intersection","Non-Intersection")</f>
        <v>Intersection</v>
      </c>
      <c r="Y3267" t="s">
        <v>1420</v>
      </c>
      <c r="Z3267" t="str">
        <f t="shared" ref="Z3267:Z3330" si="749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36"/>
        <v>40909</v>
      </c>
      <c r="D3268" s="4">
        <f t="shared" si="737"/>
        <v>8.4699453551912565E-2</v>
      </c>
      <c r="E3268" s="3">
        <f t="shared" si="738"/>
        <v>2012</v>
      </c>
      <c r="F3268" s="3">
        <f t="shared" si="739"/>
        <v>2</v>
      </c>
      <c r="G3268" s="3">
        <f t="shared" si="740"/>
        <v>1</v>
      </c>
      <c r="H3268" s="3">
        <f t="shared" si="741"/>
        <v>14</v>
      </c>
      <c r="I3268" s="3">
        <f t="shared" si="742"/>
        <v>29</v>
      </c>
      <c r="J3268" s="3">
        <f t="shared" si="743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44"/>
        <v>YES</v>
      </c>
      <c r="Q3268" t="str">
        <f t="shared" si="745"/>
        <v>NO</v>
      </c>
      <c r="R3268" t="str">
        <f t="shared" si="746"/>
        <v>NO</v>
      </c>
      <c r="S3268">
        <v>2</v>
      </c>
      <c r="T3268" t="s">
        <v>351</v>
      </c>
      <c r="U3268" t="str">
        <f t="shared" si="747"/>
        <v>Cambridge Ctr</v>
      </c>
      <c r="V3268" t="s">
        <v>105</v>
      </c>
      <c r="W3268" t="str">
        <f t="shared" si="748"/>
        <v>Broadway</v>
      </c>
      <c r="X3268" t="str">
        <f>IF(ISBLANK(S3268),"Intersection","Non-Intersection")</f>
        <v>Non-Intersection</v>
      </c>
      <c r="Y3268" t="s">
        <v>3068</v>
      </c>
      <c r="Z3268" t="str">
        <f t="shared" si="749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36"/>
        <v>40909</v>
      </c>
      <c r="D3269" s="4">
        <f t="shared" si="737"/>
        <v>8.4699453551912565E-2</v>
      </c>
      <c r="E3269" s="3">
        <f t="shared" si="738"/>
        <v>2012</v>
      </c>
      <c r="F3269" s="3">
        <f t="shared" si="739"/>
        <v>2</v>
      </c>
      <c r="G3269" s="3">
        <f t="shared" si="740"/>
        <v>1</v>
      </c>
      <c r="H3269" s="3">
        <f t="shared" si="741"/>
        <v>15</v>
      </c>
      <c r="I3269" s="3">
        <f t="shared" si="742"/>
        <v>30</v>
      </c>
      <c r="J3269" s="3">
        <f t="shared" si="743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44"/>
        <v>YES</v>
      </c>
      <c r="Q3269" t="str">
        <f t="shared" si="745"/>
        <v>NO</v>
      </c>
      <c r="R3269" t="str">
        <f t="shared" si="746"/>
        <v>NO</v>
      </c>
      <c r="T3269" t="s">
        <v>19</v>
      </c>
      <c r="U3269" t="str">
        <f t="shared" si="747"/>
        <v>Cambridge St</v>
      </c>
      <c r="V3269" t="s">
        <v>1520</v>
      </c>
      <c r="W3269" t="str">
        <f t="shared" si="748"/>
        <v>Fayette St</v>
      </c>
      <c r="X3269" t="str">
        <f>IF(ISBLANK(S3269),"Intersection","Non-Intersection")</f>
        <v>Intersection</v>
      </c>
      <c r="Y3269" t="s">
        <v>1521</v>
      </c>
      <c r="Z3269" t="str">
        <f t="shared" si="749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36"/>
        <v>40909</v>
      </c>
      <c r="D3270" s="4">
        <f t="shared" si="737"/>
        <v>8.4699453551912565E-2</v>
      </c>
      <c r="E3270" s="3">
        <f t="shared" si="738"/>
        <v>2012</v>
      </c>
      <c r="F3270" s="3">
        <f t="shared" si="739"/>
        <v>2</v>
      </c>
      <c r="G3270" s="3">
        <f t="shared" si="740"/>
        <v>1</v>
      </c>
      <c r="H3270" s="3">
        <f t="shared" si="741"/>
        <v>18</v>
      </c>
      <c r="I3270" s="3">
        <f t="shared" si="742"/>
        <v>45</v>
      </c>
      <c r="J3270" s="3">
        <f t="shared" si="743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44"/>
        <v>YES</v>
      </c>
      <c r="Q3270" t="str">
        <f t="shared" si="745"/>
        <v>NO</v>
      </c>
      <c r="R3270" t="str">
        <f t="shared" si="746"/>
        <v>NO</v>
      </c>
      <c r="S3270">
        <v>329</v>
      </c>
      <c r="T3270" t="s">
        <v>133</v>
      </c>
      <c r="U3270" t="str">
        <f t="shared" si="747"/>
        <v>Harvard St</v>
      </c>
      <c r="W3270" t="str">
        <f t="shared" si="748"/>
        <v/>
      </c>
      <c r="X3270" t="str">
        <f>IF(ISBLANK(S3270),"Intersection","Non-Intersection")</f>
        <v>Non-Intersection</v>
      </c>
      <c r="Y3270" t="s">
        <v>4174</v>
      </c>
      <c r="Z3270" t="str">
        <f t="shared" si="749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36"/>
        <v>40909</v>
      </c>
      <c r="D3271" s="4">
        <f t="shared" si="737"/>
        <v>8.4699453551912565E-2</v>
      </c>
      <c r="E3271" s="3">
        <f t="shared" si="738"/>
        <v>2012</v>
      </c>
      <c r="F3271" s="3">
        <f t="shared" si="739"/>
        <v>2</v>
      </c>
      <c r="G3271" s="3">
        <f t="shared" si="740"/>
        <v>1</v>
      </c>
      <c r="H3271" s="3">
        <f t="shared" si="741"/>
        <v>16</v>
      </c>
      <c r="I3271" s="3">
        <f t="shared" si="742"/>
        <v>40</v>
      </c>
      <c r="J3271" s="3">
        <f t="shared" si="743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44"/>
        <v>YES</v>
      </c>
      <c r="Q3271" t="str">
        <f t="shared" si="745"/>
        <v>NO</v>
      </c>
      <c r="R3271" t="str">
        <f t="shared" si="746"/>
        <v>NO</v>
      </c>
      <c r="T3271" t="s">
        <v>186</v>
      </c>
      <c r="U3271" t="str">
        <f t="shared" si="747"/>
        <v>Concord Ave</v>
      </c>
      <c r="V3271" t="s">
        <v>413</v>
      </c>
      <c r="W3271" t="str">
        <f t="shared" si="748"/>
        <v>Smith Pl</v>
      </c>
      <c r="X3271" t="str">
        <f>IF(ISBLANK(S3271),"Intersection","Non-Intersection")</f>
        <v>Intersection</v>
      </c>
      <c r="Y3271" t="s">
        <v>859</v>
      </c>
      <c r="Z3271" t="str">
        <f t="shared" si="749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36"/>
        <v>40909</v>
      </c>
      <c r="D3272" s="4">
        <f t="shared" si="737"/>
        <v>8.4699453551912565E-2</v>
      </c>
      <c r="E3272" s="3">
        <f t="shared" si="738"/>
        <v>2012</v>
      </c>
      <c r="F3272" s="3">
        <f t="shared" si="739"/>
        <v>2</v>
      </c>
      <c r="G3272" s="3">
        <f t="shared" si="740"/>
        <v>1</v>
      </c>
      <c r="H3272" s="3">
        <f t="shared" si="741"/>
        <v>21</v>
      </c>
      <c r="I3272" s="3">
        <f t="shared" si="742"/>
        <v>0</v>
      </c>
      <c r="J3272" s="3">
        <f t="shared" si="743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44"/>
        <v>YES</v>
      </c>
      <c r="Q3272" t="str">
        <f t="shared" si="745"/>
        <v>NO</v>
      </c>
      <c r="R3272" t="str">
        <f t="shared" si="746"/>
        <v>NO</v>
      </c>
      <c r="S3272">
        <v>35</v>
      </c>
      <c r="T3272" t="s">
        <v>268</v>
      </c>
      <c r="U3272" t="str">
        <f t="shared" si="747"/>
        <v>White St</v>
      </c>
      <c r="W3272" t="str">
        <f t="shared" si="748"/>
        <v/>
      </c>
      <c r="X3272" t="str">
        <f>IF(ISBLANK(S3272),"Intersection","Non-Intersection")</f>
        <v>Non-Intersection</v>
      </c>
      <c r="Y3272" t="s">
        <v>933</v>
      </c>
      <c r="Z3272" t="str">
        <f t="shared" si="749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36"/>
        <v>40909</v>
      </c>
      <c r="D3273" s="4">
        <f t="shared" si="737"/>
        <v>8.4699453551912565E-2</v>
      </c>
      <c r="E3273" s="3">
        <f t="shared" si="738"/>
        <v>2012</v>
      </c>
      <c r="F3273" s="3">
        <f t="shared" si="739"/>
        <v>2</v>
      </c>
      <c r="G3273" s="3">
        <f t="shared" si="740"/>
        <v>1</v>
      </c>
      <c r="H3273" s="3">
        <f t="shared" si="741"/>
        <v>12</v>
      </c>
      <c r="I3273" s="3">
        <f t="shared" si="742"/>
        <v>0</v>
      </c>
      <c r="J3273" s="3">
        <f t="shared" si="743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44"/>
        <v>YES</v>
      </c>
      <c r="Q3273" t="str">
        <f t="shared" si="745"/>
        <v>NO</v>
      </c>
      <c r="R3273" t="str">
        <f t="shared" si="746"/>
        <v>NO</v>
      </c>
      <c r="S3273">
        <v>24</v>
      </c>
      <c r="T3273" t="s">
        <v>387</v>
      </c>
      <c r="U3273" t="str">
        <f t="shared" si="747"/>
        <v>Antrim St</v>
      </c>
      <c r="W3273" t="str">
        <f t="shared" si="748"/>
        <v/>
      </c>
      <c r="X3273" t="str">
        <f>IF(ISBLANK(S3273),"Intersection","Non-Intersection")</f>
        <v>Non-Intersection</v>
      </c>
      <c r="Y3273" t="s">
        <v>4176</v>
      </c>
      <c r="Z3273" t="str">
        <f t="shared" si="749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36"/>
        <v>40909</v>
      </c>
      <c r="D3274" s="4">
        <f t="shared" si="737"/>
        <v>8.7431693989071038E-2</v>
      </c>
      <c r="E3274" s="3">
        <f t="shared" si="738"/>
        <v>2012</v>
      </c>
      <c r="F3274" s="3">
        <f t="shared" si="739"/>
        <v>2</v>
      </c>
      <c r="G3274" s="3">
        <f t="shared" si="740"/>
        <v>2</v>
      </c>
      <c r="H3274" s="3">
        <f t="shared" si="741"/>
        <v>9</v>
      </c>
      <c r="I3274" s="3">
        <f t="shared" si="742"/>
        <v>4</v>
      </c>
      <c r="J3274" s="3">
        <f t="shared" si="743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44"/>
        <v>YES</v>
      </c>
      <c r="Q3274" t="str">
        <f t="shared" si="745"/>
        <v>YES</v>
      </c>
      <c r="R3274" t="str">
        <f t="shared" si="746"/>
        <v>NO</v>
      </c>
      <c r="T3274" t="s">
        <v>142</v>
      </c>
      <c r="U3274" t="str">
        <f t="shared" si="747"/>
        <v>Huron Ave</v>
      </c>
      <c r="V3274" t="s">
        <v>1510</v>
      </c>
      <c r="W3274" t="str">
        <f t="shared" si="748"/>
        <v>Reservoir St</v>
      </c>
      <c r="X3274" t="str">
        <f>IF(ISBLANK(S3274),"Intersection","Non-Intersection")</f>
        <v>Intersection</v>
      </c>
      <c r="Y3274" t="s">
        <v>2595</v>
      </c>
      <c r="Z3274" t="str">
        <f t="shared" si="749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36"/>
        <v>40909</v>
      </c>
      <c r="D3275" s="4">
        <f t="shared" si="737"/>
        <v>8.7431693989071038E-2</v>
      </c>
      <c r="E3275" s="3">
        <f t="shared" si="738"/>
        <v>2012</v>
      </c>
      <c r="F3275" s="3">
        <f t="shared" si="739"/>
        <v>2</v>
      </c>
      <c r="G3275" s="3">
        <f t="shared" si="740"/>
        <v>2</v>
      </c>
      <c r="H3275" s="3">
        <f t="shared" si="741"/>
        <v>15</v>
      </c>
      <c r="I3275" s="3">
        <f t="shared" si="742"/>
        <v>45</v>
      </c>
      <c r="J3275" s="3">
        <f t="shared" si="743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44"/>
        <v>YES</v>
      </c>
      <c r="Q3275" t="str">
        <f t="shared" si="745"/>
        <v>NO</v>
      </c>
      <c r="R3275" t="str">
        <f t="shared" si="746"/>
        <v>YES</v>
      </c>
      <c r="T3275" t="s">
        <v>74</v>
      </c>
      <c r="U3275" t="str">
        <f t="shared" si="747"/>
        <v>Hampshire St</v>
      </c>
      <c r="V3275" t="s">
        <v>796</v>
      </c>
      <c r="W3275" t="str">
        <f t="shared" si="748"/>
        <v>Portland St</v>
      </c>
      <c r="X3275" t="str">
        <f>IF(ISBLANK(S3275),"Intersection","Non-Intersection")</f>
        <v>Intersection</v>
      </c>
      <c r="Y3275" t="s">
        <v>3889</v>
      </c>
      <c r="Z3275" t="str">
        <f t="shared" si="749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36"/>
        <v>40909</v>
      </c>
      <c r="D3276" s="4">
        <f t="shared" si="737"/>
        <v>8.7431693989071038E-2</v>
      </c>
      <c r="E3276" s="3">
        <f t="shared" si="738"/>
        <v>2012</v>
      </c>
      <c r="F3276" s="3">
        <f t="shared" si="739"/>
        <v>2</v>
      </c>
      <c r="G3276" s="3">
        <f t="shared" si="740"/>
        <v>2</v>
      </c>
      <c r="H3276" s="3">
        <f t="shared" si="741"/>
        <v>16</v>
      </c>
      <c r="I3276" s="3">
        <f t="shared" si="742"/>
        <v>21</v>
      </c>
      <c r="J3276" s="3">
        <f t="shared" si="743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44"/>
        <v>YES</v>
      </c>
      <c r="Q3276" t="str">
        <f t="shared" si="745"/>
        <v>NO</v>
      </c>
      <c r="R3276" t="str">
        <f t="shared" si="746"/>
        <v>NO</v>
      </c>
      <c r="S3276">
        <v>5</v>
      </c>
      <c r="T3276" t="s">
        <v>268</v>
      </c>
      <c r="U3276" t="str">
        <f t="shared" si="747"/>
        <v>White St</v>
      </c>
      <c r="W3276" t="str">
        <f t="shared" si="748"/>
        <v/>
      </c>
      <c r="X3276" t="str">
        <f>IF(ISBLANK(S3276),"Intersection","Non-Intersection")</f>
        <v>Non-Intersection</v>
      </c>
      <c r="Y3276" t="s">
        <v>4177</v>
      </c>
      <c r="Z3276" t="str">
        <f t="shared" si="749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36"/>
        <v>40909</v>
      </c>
      <c r="D3277" s="4">
        <f t="shared" si="737"/>
        <v>8.7431693989071038E-2</v>
      </c>
      <c r="E3277" s="3">
        <f t="shared" si="738"/>
        <v>2012</v>
      </c>
      <c r="F3277" s="3">
        <f t="shared" si="739"/>
        <v>2</v>
      </c>
      <c r="G3277" s="3">
        <f t="shared" si="740"/>
        <v>2</v>
      </c>
      <c r="H3277" s="3">
        <f t="shared" si="741"/>
        <v>18</v>
      </c>
      <c r="I3277" s="3">
        <f t="shared" si="742"/>
        <v>0</v>
      </c>
      <c r="J3277" s="3">
        <f t="shared" si="743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44"/>
        <v>YES</v>
      </c>
      <c r="Q3277" t="str">
        <f t="shared" si="745"/>
        <v>NO</v>
      </c>
      <c r="R3277" t="str">
        <f t="shared" si="746"/>
        <v>NO</v>
      </c>
      <c r="T3277" t="s">
        <v>2012</v>
      </c>
      <c r="U3277" t="str">
        <f t="shared" si="747"/>
        <v>Mellen St</v>
      </c>
      <c r="V3277" t="s">
        <v>14</v>
      </c>
      <c r="W3277" t="str">
        <f t="shared" si="748"/>
        <v>Massachusetts Ave</v>
      </c>
      <c r="X3277" t="str">
        <f>IF(ISBLANK(S3277),"Intersection","Non-Intersection")</f>
        <v>Intersection</v>
      </c>
      <c r="Y3277" t="s">
        <v>4179</v>
      </c>
      <c r="Z3277" t="str">
        <f t="shared" si="749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36"/>
        <v>40909</v>
      </c>
      <c r="D3278" s="4">
        <f t="shared" si="737"/>
        <v>8.7431693989071038E-2</v>
      </c>
      <c r="E3278" s="3">
        <f t="shared" si="738"/>
        <v>2012</v>
      </c>
      <c r="F3278" s="3">
        <f t="shared" si="739"/>
        <v>2</v>
      </c>
      <c r="G3278" s="3">
        <f t="shared" si="740"/>
        <v>2</v>
      </c>
      <c r="H3278" s="3">
        <f t="shared" si="741"/>
        <v>11</v>
      </c>
      <c r="I3278" s="3">
        <f t="shared" si="742"/>
        <v>0</v>
      </c>
      <c r="J3278" s="3">
        <f t="shared" si="743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44"/>
        <v>YES</v>
      </c>
      <c r="Q3278" t="str">
        <f t="shared" si="745"/>
        <v>NO</v>
      </c>
      <c r="R3278" t="str">
        <f t="shared" si="746"/>
        <v>NO</v>
      </c>
      <c r="T3278" t="s">
        <v>19</v>
      </c>
      <c r="U3278" t="str">
        <f t="shared" si="747"/>
        <v>Cambridge St</v>
      </c>
      <c r="V3278" t="s">
        <v>667</v>
      </c>
      <c r="W3278" t="str">
        <f t="shared" si="748"/>
        <v>Tremont St</v>
      </c>
      <c r="X3278" t="str">
        <f>IF(ISBLANK(S3278),"Intersection","Non-Intersection")</f>
        <v>Intersection</v>
      </c>
      <c r="Y3278" t="s">
        <v>3074</v>
      </c>
      <c r="Z3278" t="str">
        <f t="shared" si="749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36"/>
        <v>40909</v>
      </c>
      <c r="D3279" s="4">
        <f t="shared" si="737"/>
        <v>8.7431693989071038E-2</v>
      </c>
      <c r="E3279" s="3">
        <f t="shared" si="738"/>
        <v>2012</v>
      </c>
      <c r="F3279" s="3">
        <f t="shared" si="739"/>
        <v>2</v>
      </c>
      <c r="G3279" s="3">
        <f t="shared" si="740"/>
        <v>2</v>
      </c>
      <c r="H3279" s="3">
        <f t="shared" si="741"/>
        <v>18</v>
      </c>
      <c r="I3279" s="3">
        <f t="shared" si="742"/>
        <v>21</v>
      </c>
      <c r="J3279" s="3">
        <f t="shared" si="743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44"/>
        <v>YES</v>
      </c>
      <c r="Q3279" t="str">
        <f t="shared" si="745"/>
        <v>YES</v>
      </c>
      <c r="R3279" t="str">
        <f t="shared" si="746"/>
        <v>NO</v>
      </c>
      <c r="T3279" t="s">
        <v>14</v>
      </c>
      <c r="U3279" t="str">
        <f t="shared" si="747"/>
        <v>Massachusetts Ave</v>
      </c>
      <c r="V3279" t="s">
        <v>1426</v>
      </c>
      <c r="W3279" t="str">
        <f t="shared" si="748"/>
        <v>Rice St</v>
      </c>
      <c r="X3279" t="str">
        <f>IF(ISBLANK(S3279),"Intersection","Non-Intersection")</f>
        <v>Intersection</v>
      </c>
      <c r="Y3279" t="s">
        <v>2369</v>
      </c>
      <c r="Z3279" t="str">
        <f t="shared" si="749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36"/>
        <v>40909</v>
      </c>
      <c r="D3280" s="4">
        <f t="shared" si="737"/>
        <v>8.7431693989071038E-2</v>
      </c>
      <c r="E3280" s="3">
        <f t="shared" si="738"/>
        <v>2012</v>
      </c>
      <c r="F3280" s="3">
        <f t="shared" si="739"/>
        <v>2</v>
      </c>
      <c r="G3280" s="3">
        <f t="shared" si="740"/>
        <v>2</v>
      </c>
      <c r="H3280" s="3">
        <f t="shared" si="741"/>
        <v>19</v>
      </c>
      <c r="I3280" s="3">
        <f t="shared" si="742"/>
        <v>44</v>
      </c>
      <c r="J3280" s="3">
        <f t="shared" si="743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44"/>
        <v>YES</v>
      </c>
      <c r="Q3280" t="str">
        <f t="shared" si="745"/>
        <v>NO</v>
      </c>
      <c r="R3280" t="str">
        <f t="shared" si="746"/>
        <v>NO</v>
      </c>
      <c r="T3280" t="s">
        <v>14</v>
      </c>
      <c r="U3280" t="str">
        <f t="shared" si="747"/>
        <v>Massachusetts Ave</v>
      </c>
      <c r="V3280" t="s">
        <v>2240</v>
      </c>
      <c r="W3280" t="str">
        <f t="shared" si="748"/>
        <v>Bay St</v>
      </c>
      <c r="X3280" t="str">
        <f>IF(ISBLANK(S3280),"Intersection","Non-Intersection")</f>
        <v>Intersection</v>
      </c>
      <c r="Y3280" t="s">
        <v>2241</v>
      </c>
      <c r="Z3280" t="str">
        <f t="shared" si="749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36"/>
        <v>40909</v>
      </c>
      <c r="D3281" s="4">
        <f t="shared" si="737"/>
        <v>8.7431693989071038E-2</v>
      </c>
      <c r="E3281" s="3">
        <f t="shared" si="738"/>
        <v>2012</v>
      </c>
      <c r="F3281" s="3">
        <f t="shared" si="739"/>
        <v>2</v>
      </c>
      <c r="G3281" s="3">
        <f t="shared" si="740"/>
        <v>2</v>
      </c>
      <c r="H3281" s="3">
        <f t="shared" si="741"/>
        <v>17</v>
      </c>
      <c r="I3281" s="3">
        <f t="shared" si="742"/>
        <v>29</v>
      </c>
      <c r="J3281" s="3">
        <f t="shared" si="743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44"/>
        <v>YES</v>
      </c>
      <c r="Q3281" t="str">
        <f t="shared" si="745"/>
        <v>NO</v>
      </c>
      <c r="R3281" t="str">
        <f t="shared" si="746"/>
        <v>NO</v>
      </c>
      <c r="S3281">
        <v>180</v>
      </c>
      <c r="T3281" t="s">
        <v>202</v>
      </c>
      <c r="U3281" t="str">
        <f t="shared" si="747"/>
        <v>Vassar St</v>
      </c>
      <c r="V3281" t="s">
        <v>141</v>
      </c>
      <c r="W3281" t="str">
        <f t="shared" si="748"/>
        <v>Standish St</v>
      </c>
      <c r="X3281" t="str">
        <f>IF(ISBLANK(S3281),"Intersection","Non-Intersection")</f>
        <v>Non-Intersection</v>
      </c>
      <c r="Y3281" t="s">
        <v>4181</v>
      </c>
      <c r="Z3281" t="str">
        <f t="shared" si="749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36"/>
        <v>40909</v>
      </c>
      <c r="D3282" s="4">
        <f t="shared" si="737"/>
        <v>9.0163934426229511E-2</v>
      </c>
      <c r="E3282" s="3">
        <f t="shared" si="738"/>
        <v>2012</v>
      </c>
      <c r="F3282" s="3">
        <f t="shared" si="739"/>
        <v>2</v>
      </c>
      <c r="G3282" s="3">
        <f t="shared" si="740"/>
        <v>3</v>
      </c>
      <c r="H3282" s="3">
        <f t="shared" si="741"/>
        <v>9</v>
      </c>
      <c r="I3282" s="3">
        <f t="shared" si="742"/>
        <v>40</v>
      </c>
      <c r="J3282" s="3">
        <f t="shared" si="743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44"/>
        <v>YES</v>
      </c>
      <c r="Q3282" t="str">
        <f t="shared" si="745"/>
        <v>NO</v>
      </c>
      <c r="R3282" t="str">
        <f t="shared" si="746"/>
        <v>NO</v>
      </c>
      <c r="S3282">
        <v>2541</v>
      </c>
      <c r="T3282" t="s">
        <v>14</v>
      </c>
      <c r="U3282" t="str">
        <f t="shared" si="747"/>
        <v>Massachusetts Ave</v>
      </c>
      <c r="W3282" t="str">
        <f t="shared" si="748"/>
        <v/>
      </c>
      <c r="X3282" t="str">
        <f>IF(ISBLANK(S3282),"Intersection","Non-Intersection")</f>
        <v>Non-Intersection</v>
      </c>
      <c r="Y3282" t="s">
        <v>4183</v>
      </c>
      <c r="Z3282" t="str">
        <f t="shared" si="749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36"/>
        <v>40909</v>
      </c>
      <c r="D3283" s="4">
        <f t="shared" si="737"/>
        <v>9.0163934426229511E-2</v>
      </c>
      <c r="E3283" s="3">
        <f t="shared" si="738"/>
        <v>2012</v>
      </c>
      <c r="F3283" s="3">
        <f t="shared" si="739"/>
        <v>2</v>
      </c>
      <c r="G3283" s="3">
        <f t="shared" si="740"/>
        <v>3</v>
      </c>
      <c r="H3283" s="3">
        <f t="shared" si="741"/>
        <v>13</v>
      </c>
      <c r="I3283" s="3">
        <f t="shared" si="742"/>
        <v>30</v>
      </c>
      <c r="J3283" s="3">
        <f t="shared" si="743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44"/>
        <v>YES</v>
      </c>
      <c r="Q3283" t="str">
        <f t="shared" si="745"/>
        <v>YES</v>
      </c>
      <c r="R3283" t="str">
        <f t="shared" si="746"/>
        <v>NO</v>
      </c>
      <c r="S3283">
        <v>287</v>
      </c>
      <c r="T3283" t="s">
        <v>105</v>
      </c>
      <c r="U3283" t="str">
        <f t="shared" si="747"/>
        <v>Broadway</v>
      </c>
      <c r="W3283" t="str">
        <f t="shared" si="748"/>
        <v/>
      </c>
      <c r="X3283" t="str">
        <f>IF(ISBLANK(S3283),"Intersection","Non-Intersection")</f>
        <v>Non-Intersection</v>
      </c>
      <c r="Y3283" t="s">
        <v>4184</v>
      </c>
      <c r="Z3283" t="str">
        <f t="shared" si="749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36"/>
        <v>40909</v>
      </c>
      <c r="D3284" s="4">
        <f t="shared" si="737"/>
        <v>9.0163934426229511E-2</v>
      </c>
      <c r="E3284" s="3">
        <f t="shared" si="738"/>
        <v>2012</v>
      </c>
      <c r="F3284" s="3">
        <f t="shared" si="739"/>
        <v>2</v>
      </c>
      <c r="G3284" s="3">
        <f t="shared" si="740"/>
        <v>3</v>
      </c>
      <c r="H3284" s="3">
        <f t="shared" si="741"/>
        <v>14</v>
      </c>
      <c r="I3284" s="3">
        <f t="shared" si="742"/>
        <v>29</v>
      </c>
      <c r="J3284" s="3">
        <f t="shared" si="743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44"/>
        <v>YES</v>
      </c>
      <c r="Q3284" t="str">
        <f t="shared" si="745"/>
        <v>NO</v>
      </c>
      <c r="R3284" t="str">
        <f t="shared" si="746"/>
        <v>NO</v>
      </c>
      <c r="S3284">
        <v>102</v>
      </c>
      <c r="T3284" t="s">
        <v>464</v>
      </c>
      <c r="U3284" t="str">
        <f t="shared" si="747"/>
        <v>Aberdeen Way</v>
      </c>
      <c r="W3284" t="str">
        <f t="shared" si="748"/>
        <v/>
      </c>
      <c r="X3284" t="str">
        <f>IF(ISBLANK(S3284),"Intersection","Non-Intersection")</f>
        <v>Non-Intersection</v>
      </c>
      <c r="Y3284" t="s">
        <v>4186</v>
      </c>
      <c r="Z3284" t="str">
        <f t="shared" si="749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36"/>
        <v>40909</v>
      </c>
      <c r="D3285" s="4">
        <f t="shared" si="737"/>
        <v>9.0163934426229511E-2</v>
      </c>
      <c r="E3285" s="3">
        <f t="shared" si="738"/>
        <v>2012</v>
      </c>
      <c r="F3285" s="3">
        <f t="shared" si="739"/>
        <v>2</v>
      </c>
      <c r="G3285" s="3">
        <f t="shared" si="740"/>
        <v>3</v>
      </c>
      <c r="H3285" s="3">
        <f t="shared" si="741"/>
        <v>15</v>
      </c>
      <c r="I3285" s="3">
        <f t="shared" si="742"/>
        <v>34</v>
      </c>
      <c r="J3285" s="3">
        <f t="shared" si="743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44"/>
        <v>YES</v>
      </c>
      <c r="Q3285" t="str">
        <f t="shared" si="745"/>
        <v>NO</v>
      </c>
      <c r="R3285" t="str">
        <f t="shared" si="746"/>
        <v>YES</v>
      </c>
      <c r="T3285" t="s">
        <v>14</v>
      </c>
      <c r="U3285" t="str">
        <f t="shared" si="747"/>
        <v>Massachusetts Ave</v>
      </c>
      <c r="V3285" t="s">
        <v>202</v>
      </c>
      <c r="W3285" t="str">
        <f t="shared" si="748"/>
        <v>Vassar St</v>
      </c>
      <c r="X3285" t="str">
        <f>IF(ISBLANK(S3285),"Intersection","Non-Intersection")</f>
        <v>Intersection</v>
      </c>
      <c r="Y3285" t="s">
        <v>361</v>
      </c>
      <c r="Z3285" t="str">
        <f t="shared" si="749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36"/>
        <v>40909</v>
      </c>
      <c r="D3286" s="4">
        <f t="shared" si="737"/>
        <v>9.0163934426229511E-2</v>
      </c>
      <c r="E3286" s="3">
        <f t="shared" si="738"/>
        <v>2012</v>
      </c>
      <c r="F3286" s="3">
        <f t="shared" si="739"/>
        <v>2</v>
      </c>
      <c r="G3286" s="3">
        <f t="shared" si="740"/>
        <v>3</v>
      </c>
      <c r="H3286" s="3">
        <f t="shared" si="741"/>
        <v>18</v>
      </c>
      <c r="I3286" s="3">
        <f t="shared" si="742"/>
        <v>17</v>
      </c>
      <c r="J3286" s="3">
        <f t="shared" si="743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44"/>
        <v>YES</v>
      </c>
      <c r="Q3286" t="str">
        <f t="shared" si="745"/>
        <v>YES</v>
      </c>
      <c r="R3286" t="str">
        <f t="shared" si="746"/>
        <v>NO</v>
      </c>
      <c r="T3286" t="s">
        <v>74</v>
      </c>
      <c r="U3286" t="str">
        <f t="shared" si="747"/>
        <v>Hampshire St</v>
      </c>
      <c r="V3286" t="s">
        <v>2344</v>
      </c>
      <c r="W3286" t="str">
        <f t="shared" si="748"/>
        <v>Bristol St</v>
      </c>
      <c r="X3286" t="str">
        <f>IF(ISBLANK(S3286),"Intersection","Non-Intersection")</f>
        <v>Intersection</v>
      </c>
      <c r="Y3286" t="s">
        <v>2982</v>
      </c>
      <c r="Z3286" t="str">
        <f t="shared" si="749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36"/>
        <v>40909</v>
      </c>
      <c r="D3287" s="4">
        <f t="shared" si="737"/>
        <v>9.0163934426229511E-2</v>
      </c>
      <c r="E3287" s="3">
        <f t="shared" si="738"/>
        <v>2012</v>
      </c>
      <c r="F3287" s="3">
        <f t="shared" si="739"/>
        <v>2</v>
      </c>
      <c r="G3287" s="3">
        <f t="shared" si="740"/>
        <v>3</v>
      </c>
      <c r="H3287" s="3">
        <f t="shared" si="741"/>
        <v>21</v>
      </c>
      <c r="I3287" s="3">
        <f t="shared" si="742"/>
        <v>59</v>
      </c>
      <c r="J3287" s="3">
        <f t="shared" si="743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44"/>
        <v>YES</v>
      </c>
      <c r="Q3287" t="str">
        <f t="shared" si="745"/>
        <v>NO</v>
      </c>
      <c r="R3287" t="str">
        <f t="shared" si="746"/>
        <v>NO</v>
      </c>
      <c r="S3287">
        <v>71</v>
      </c>
      <c r="T3287" t="s">
        <v>166</v>
      </c>
      <c r="U3287" t="str">
        <f t="shared" si="747"/>
        <v>Oxford Ave</v>
      </c>
      <c r="W3287" t="str">
        <f t="shared" si="748"/>
        <v/>
      </c>
      <c r="X3287" t="str">
        <f>IF(ISBLANK(S3287),"Intersection","Non-Intersection")</f>
        <v>Non-Intersection</v>
      </c>
      <c r="Y3287" t="s">
        <v>4188</v>
      </c>
      <c r="Z3287" t="str">
        <f t="shared" si="749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36"/>
        <v>40909</v>
      </c>
      <c r="D3288" s="4">
        <f t="shared" si="737"/>
        <v>9.0163934426229511E-2</v>
      </c>
      <c r="E3288" s="3">
        <f t="shared" si="738"/>
        <v>2012</v>
      </c>
      <c r="F3288" s="3">
        <f t="shared" si="739"/>
        <v>2</v>
      </c>
      <c r="G3288" s="3">
        <f t="shared" si="740"/>
        <v>3</v>
      </c>
      <c r="H3288" s="3">
        <f t="shared" si="741"/>
        <v>22</v>
      </c>
      <c r="I3288" s="3">
        <f t="shared" si="742"/>
        <v>41</v>
      </c>
      <c r="J3288" s="3">
        <f t="shared" si="743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44"/>
        <v>YES</v>
      </c>
      <c r="Q3288" t="str">
        <f t="shared" si="745"/>
        <v>NO</v>
      </c>
      <c r="R3288" t="str">
        <f t="shared" si="746"/>
        <v>NO</v>
      </c>
      <c r="T3288" t="s">
        <v>315</v>
      </c>
      <c r="U3288" t="str">
        <f t="shared" si="747"/>
        <v>Essex St</v>
      </c>
      <c r="V3288" t="s">
        <v>316</v>
      </c>
      <c r="W3288" t="str">
        <f t="shared" si="748"/>
        <v>Bishop Allen Dr</v>
      </c>
      <c r="X3288" t="str">
        <f>IF(ISBLANK(S3288),"Intersection","Non-Intersection")</f>
        <v>Intersection</v>
      </c>
      <c r="Y3288" t="s">
        <v>317</v>
      </c>
      <c r="Z3288" t="str">
        <f t="shared" si="749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36"/>
        <v>40909</v>
      </c>
      <c r="D3289" s="4">
        <f t="shared" si="737"/>
        <v>9.0163934426229511E-2</v>
      </c>
      <c r="E3289" s="3">
        <f t="shared" si="738"/>
        <v>2012</v>
      </c>
      <c r="F3289" s="3">
        <f t="shared" si="739"/>
        <v>2</v>
      </c>
      <c r="G3289" s="3">
        <f t="shared" si="740"/>
        <v>3</v>
      </c>
      <c r="H3289" s="3">
        <f t="shared" si="741"/>
        <v>14</v>
      </c>
      <c r="I3289" s="3">
        <f t="shared" si="742"/>
        <v>52</v>
      </c>
      <c r="J3289" s="3">
        <f t="shared" si="743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44"/>
        <v>YES</v>
      </c>
      <c r="Q3289" t="str">
        <f t="shared" si="745"/>
        <v>YES</v>
      </c>
      <c r="R3289" t="str">
        <f t="shared" si="746"/>
        <v>NO</v>
      </c>
      <c r="T3289" t="s">
        <v>19</v>
      </c>
      <c r="U3289" t="str">
        <f t="shared" si="747"/>
        <v>Cambridge St</v>
      </c>
      <c r="V3289" t="s">
        <v>526</v>
      </c>
      <c r="W3289" t="str">
        <f t="shared" si="748"/>
        <v>Springfield St</v>
      </c>
      <c r="X3289" t="str">
        <f>IF(ISBLANK(S3289),"Intersection","Non-Intersection")</f>
        <v>Intersection</v>
      </c>
      <c r="Y3289" t="s">
        <v>527</v>
      </c>
      <c r="Z3289" t="str">
        <f t="shared" si="749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36"/>
        <v>40909</v>
      </c>
      <c r="D3290" s="4">
        <f t="shared" si="737"/>
        <v>9.2896174863387984E-2</v>
      </c>
      <c r="E3290" s="3">
        <f t="shared" si="738"/>
        <v>2012</v>
      </c>
      <c r="F3290" s="3">
        <f t="shared" si="739"/>
        <v>2</v>
      </c>
      <c r="G3290" s="3">
        <f t="shared" si="740"/>
        <v>4</v>
      </c>
      <c r="H3290" s="3">
        <f t="shared" si="741"/>
        <v>18</v>
      </c>
      <c r="I3290" s="3">
        <f t="shared" si="742"/>
        <v>30</v>
      </c>
      <c r="J3290" s="3">
        <f t="shared" si="743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44"/>
        <v>YES</v>
      </c>
      <c r="Q3290" t="str">
        <f t="shared" si="745"/>
        <v>NO</v>
      </c>
      <c r="R3290" t="str">
        <f t="shared" si="746"/>
        <v>NO</v>
      </c>
      <c r="S3290">
        <v>127</v>
      </c>
      <c r="T3290" t="s">
        <v>413</v>
      </c>
      <c r="U3290" t="str">
        <f t="shared" si="747"/>
        <v>Smith Pl</v>
      </c>
      <c r="W3290" t="str">
        <f t="shared" si="748"/>
        <v/>
      </c>
      <c r="X3290" t="str">
        <f>IF(ISBLANK(S3290),"Intersection","Non-Intersection")</f>
        <v>Non-Intersection</v>
      </c>
      <c r="Y3290" t="s">
        <v>4190</v>
      </c>
      <c r="Z3290" t="str">
        <f t="shared" si="749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36"/>
        <v>40909</v>
      </c>
      <c r="D3291" s="4">
        <f t="shared" si="737"/>
        <v>9.2896174863387984E-2</v>
      </c>
      <c r="E3291" s="3">
        <f t="shared" si="738"/>
        <v>2012</v>
      </c>
      <c r="F3291" s="3">
        <f t="shared" si="739"/>
        <v>2</v>
      </c>
      <c r="G3291" s="3">
        <f t="shared" si="740"/>
        <v>4</v>
      </c>
      <c r="H3291" s="3">
        <f t="shared" si="741"/>
        <v>18</v>
      </c>
      <c r="I3291" s="3">
        <f t="shared" si="742"/>
        <v>40</v>
      </c>
      <c r="J3291" s="3">
        <f t="shared" si="743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44"/>
        <v>YES</v>
      </c>
      <c r="Q3291" t="str">
        <f t="shared" si="745"/>
        <v>NO</v>
      </c>
      <c r="R3291" t="str">
        <f t="shared" si="746"/>
        <v>YES</v>
      </c>
      <c r="S3291">
        <v>189</v>
      </c>
      <c r="T3291" t="s">
        <v>19</v>
      </c>
      <c r="U3291" t="str">
        <f t="shared" si="747"/>
        <v>Cambridge St</v>
      </c>
      <c r="W3291" t="str">
        <f t="shared" si="748"/>
        <v/>
      </c>
      <c r="X3291" t="str">
        <f>IF(ISBLANK(S3291),"Intersection","Non-Intersection")</f>
        <v>Non-Intersection</v>
      </c>
      <c r="Y3291" t="s">
        <v>1942</v>
      </c>
      <c r="Z3291" t="str">
        <f t="shared" si="749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36"/>
        <v>40909</v>
      </c>
      <c r="D3292" s="4">
        <f t="shared" si="737"/>
        <v>9.5628415300546443E-2</v>
      </c>
      <c r="E3292" s="3">
        <f t="shared" si="738"/>
        <v>2012</v>
      </c>
      <c r="F3292" s="3">
        <f t="shared" si="739"/>
        <v>2</v>
      </c>
      <c r="G3292" s="3">
        <f t="shared" si="740"/>
        <v>5</v>
      </c>
      <c r="H3292" s="3">
        <f t="shared" si="741"/>
        <v>15</v>
      </c>
      <c r="I3292" s="3">
        <f t="shared" si="742"/>
        <v>0</v>
      </c>
      <c r="J3292" s="3">
        <f t="shared" si="743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44"/>
        <v>YES</v>
      </c>
      <c r="Q3292" t="str">
        <f t="shared" si="745"/>
        <v>YES</v>
      </c>
      <c r="R3292" t="str">
        <f t="shared" si="746"/>
        <v>NO</v>
      </c>
      <c r="T3292" t="s">
        <v>198</v>
      </c>
      <c r="U3292" t="str">
        <f t="shared" si="747"/>
        <v>Mount Auburn St</v>
      </c>
      <c r="V3292" t="s">
        <v>199</v>
      </c>
      <c r="W3292" t="str">
        <f t="shared" si="748"/>
        <v>Brattle St</v>
      </c>
      <c r="X3292" t="str">
        <f>IF(ISBLANK(S3292),"Intersection","Non-Intersection")</f>
        <v>Intersection</v>
      </c>
      <c r="Y3292" t="s">
        <v>767</v>
      </c>
      <c r="Z3292" t="str">
        <f t="shared" si="749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36"/>
        <v>40909</v>
      </c>
      <c r="D3293" s="4">
        <f t="shared" si="737"/>
        <v>9.5628415300546443E-2</v>
      </c>
      <c r="E3293" s="3">
        <f t="shared" si="738"/>
        <v>2012</v>
      </c>
      <c r="F3293" s="3">
        <f t="shared" si="739"/>
        <v>2</v>
      </c>
      <c r="G3293" s="3">
        <f t="shared" si="740"/>
        <v>5</v>
      </c>
      <c r="H3293" s="3">
        <f t="shared" si="741"/>
        <v>14</v>
      </c>
      <c r="I3293" s="3">
        <f t="shared" si="742"/>
        <v>0</v>
      </c>
      <c r="J3293" s="3">
        <f t="shared" si="743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44"/>
        <v>YES</v>
      </c>
      <c r="Q3293" t="str">
        <f t="shared" si="745"/>
        <v>NO</v>
      </c>
      <c r="R3293" t="str">
        <f t="shared" si="746"/>
        <v>NO</v>
      </c>
      <c r="S3293">
        <v>220</v>
      </c>
      <c r="T3293" t="s">
        <v>170</v>
      </c>
      <c r="U3293" t="str">
        <f t="shared" si="747"/>
        <v>Alewife Brook Pky</v>
      </c>
      <c r="W3293" t="str">
        <f t="shared" si="748"/>
        <v/>
      </c>
      <c r="X3293" t="str">
        <f>IF(ISBLANK(S3293),"Intersection","Non-Intersection")</f>
        <v>Non-Intersection</v>
      </c>
      <c r="Y3293" t="s">
        <v>1983</v>
      </c>
      <c r="Z3293" t="str">
        <f t="shared" si="749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36"/>
        <v>40909</v>
      </c>
      <c r="D3294" s="4">
        <f t="shared" si="737"/>
        <v>9.8360655737704916E-2</v>
      </c>
      <c r="E3294" s="3">
        <f t="shared" si="738"/>
        <v>2012</v>
      </c>
      <c r="F3294" s="3">
        <f t="shared" si="739"/>
        <v>2</v>
      </c>
      <c r="G3294" s="3">
        <f t="shared" si="740"/>
        <v>6</v>
      </c>
      <c r="H3294" s="3">
        <f t="shared" si="741"/>
        <v>17</v>
      </c>
      <c r="I3294" s="3">
        <f t="shared" si="742"/>
        <v>39</v>
      </c>
      <c r="J3294" s="3">
        <f t="shared" si="743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44"/>
        <v>YES</v>
      </c>
      <c r="Q3294" t="str">
        <f t="shared" si="745"/>
        <v>NO</v>
      </c>
      <c r="R3294" t="str">
        <f t="shared" si="746"/>
        <v>NO</v>
      </c>
      <c r="T3294" t="s">
        <v>185</v>
      </c>
      <c r="U3294" t="str">
        <f t="shared" si="747"/>
        <v>Garden St</v>
      </c>
      <c r="V3294" t="s">
        <v>354</v>
      </c>
      <c r="W3294" t="str">
        <f t="shared" si="748"/>
        <v>Linnaean St</v>
      </c>
      <c r="X3294" t="str">
        <f>IF(ISBLANK(S3294),"Intersection","Non-Intersection")</f>
        <v>Intersection</v>
      </c>
      <c r="Y3294" t="s">
        <v>355</v>
      </c>
      <c r="Z3294" t="str">
        <f t="shared" si="749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36"/>
        <v>40909</v>
      </c>
      <c r="D3295" s="4">
        <f t="shared" si="737"/>
        <v>9.8360655737704916E-2</v>
      </c>
      <c r="E3295" s="3">
        <f t="shared" si="738"/>
        <v>2012</v>
      </c>
      <c r="F3295" s="3">
        <f t="shared" si="739"/>
        <v>2</v>
      </c>
      <c r="G3295" s="3">
        <f t="shared" si="740"/>
        <v>6</v>
      </c>
      <c r="H3295" s="3">
        <f t="shared" si="741"/>
        <v>17</v>
      </c>
      <c r="I3295" s="3">
        <f t="shared" si="742"/>
        <v>0</v>
      </c>
      <c r="J3295" s="3">
        <f t="shared" si="743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44"/>
        <v>YES</v>
      </c>
      <c r="Q3295" t="str">
        <f t="shared" si="745"/>
        <v>NO</v>
      </c>
      <c r="R3295" t="str">
        <f t="shared" si="746"/>
        <v>NO</v>
      </c>
      <c r="T3295" t="s">
        <v>1906</v>
      </c>
      <c r="U3295" t="str">
        <f t="shared" si="747"/>
        <v>Holyoke St</v>
      </c>
      <c r="W3295" t="str">
        <f t="shared" si="748"/>
        <v/>
      </c>
      <c r="X3295" t="str">
        <f>IF(ISBLANK(S3295),"Intersection","Non-Intersection")</f>
        <v>Intersection</v>
      </c>
      <c r="Y3295" t="s">
        <v>3957</v>
      </c>
      <c r="Z3295" t="str">
        <f t="shared" si="749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36"/>
        <v>40909</v>
      </c>
      <c r="D3296" s="4">
        <f t="shared" si="737"/>
        <v>9.8360655737704916E-2</v>
      </c>
      <c r="E3296" s="3">
        <f t="shared" si="738"/>
        <v>2012</v>
      </c>
      <c r="F3296" s="3">
        <f t="shared" si="739"/>
        <v>2</v>
      </c>
      <c r="G3296" s="3">
        <f t="shared" si="740"/>
        <v>6</v>
      </c>
      <c r="H3296" s="3">
        <f t="shared" si="741"/>
        <v>17</v>
      </c>
      <c r="I3296" s="3">
        <f t="shared" si="742"/>
        <v>39</v>
      </c>
      <c r="J3296" s="3">
        <f t="shared" si="743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44"/>
        <v>YES</v>
      </c>
      <c r="Q3296" t="str">
        <f t="shared" si="745"/>
        <v>NO</v>
      </c>
      <c r="R3296" t="str">
        <f t="shared" si="746"/>
        <v>NO</v>
      </c>
      <c r="T3296" t="s">
        <v>185</v>
      </c>
      <c r="U3296" t="str">
        <f t="shared" si="747"/>
        <v>Garden St</v>
      </c>
      <c r="V3296" t="s">
        <v>354</v>
      </c>
      <c r="W3296" t="str">
        <f t="shared" si="748"/>
        <v>Linnaean St</v>
      </c>
      <c r="X3296" t="str">
        <f>IF(ISBLANK(S3296),"Intersection","Non-Intersection")</f>
        <v>Intersection</v>
      </c>
      <c r="Y3296" t="s">
        <v>355</v>
      </c>
      <c r="Z3296" t="str">
        <f t="shared" si="749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36"/>
        <v>40909</v>
      </c>
      <c r="D3297" s="4">
        <f t="shared" si="737"/>
        <v>0.10109289617486339</v>
      </c>
      <c r="E3297" s="3">
        <f t="shared" si="738"/>
        <v>2012</v>
      </c>
      <c r="F3297" s="3">
        <f t="shared" si="739"/>
        <v>2</v>
      </c>
      <c r="G3297" s="3">
        <f t="shared" si="740"/>
        <v>7</v>
      </c>
      <c r="H3297" s="3">
        <f t="shared" si="741"/>
        <v>11</v>
      </c>
      <c r="I3297" s="3">
        <f t="shared" si="742"/>
        <v>29</v>
      </c>
      <c r="J3297" s="3">
        <f t="shared" si="743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44"/>
        <v>YES</v>
      </c>
      <c r="Q3297" t="str">
        <f t="shared" si="745"/>
        <v>NO</v>
      </c>
      <c r="R3297" t="str">
        <f t="shared" si="746"/>
        <v>YES</v>
      </c>
      <c r="T3297" t="s">
        <v>134</v>
      </c>
      <c r="U3297" t="str">
        <f t="shared" si="747"/>
        <v>Quincy St</v>
      </c>
      <c r="V3297" t="s">
        <v>4192</v>
      </c>
      <c r="W3297" t="str">
        <f t="shared" si="748"/>
        <v>Lamson Pl</v>
      </c>
      <c r="X3297" t="str">
        <f>IF(ISBLANK(S3297),"Intersection","Non-Intersection")</f>
        <v>Intersection</v>
      </c>
      <c r="Y3297" t="s">
        <v>4193</v>
      </c>
      <c r="Z3297" t="str">
        <f t="shared" si="749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750">EOMONTH(B3298,MONTH(B3298)*-1)+1</f>
        <v>40909</v>
      </c>
      <c r="D3298" s="4">
        <f t="shared" ref="D3298:D3358" si="751">YEARFRAC(C3298,B3298,1)</f>
        <v>0.10109289617486339</v>
      </c>
      <c r="E3298" s="3">
        <f t="shared" ref="E3298:E3358" si="752">YEAR(B3298)</f>
        <v>2012</v>
      </c>
      <c r="F3298" s="3">
        <f t="shared" ref="F3298:F3358" si="753">MONTH(B3298)</f>
        <v>2</v>
      </c>
      <c r="G3298" s="3">
        <f t="shared" ref="G3298:G3358" si="754">DAY(B3298)</f>
        <v>7</v>
      </c>
      <c r="H3298" s="3">
        <f t="shared" ref="H3298:H3358" si="755">HOUR(B3298)</f>
        <v>13</v>
      </c>
      <c r="I3298" s="3">
        <f t="shared" ref="I3298:I3358" si="756">MINUTE(B3298)</f>
        <v>15</v>
      </c>
      <c r="J3298" s="3">
        <f t="shared" ref="J3298:J3358" si="757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758">IF(OR(N3298="Auto",O3298="Auto"),"YES",IF(OR(N3298="Taxi",O3298="Taxi"),"YES",IF(OR(N3298="Van",O3298="Van"),"YES",IF(OR(N3298="Truck",O3298="Truck"),"YES","NO"))))</f>
        <v>YES</v>
      </c>
      <c r="Q3298" t="str">
        <f t="shared" ref="Q3298:Q3358" si="759">IF(OR(N3298="Bicycle",O3298="Bicycle"),"YES","NO")</f>
        <v>NO</v>
      </c>
      <c r="R3298" t="str">
        <f t="shared" ref="R3298:R3358" si="760">IF(OR(N3298="Pedestrian",O3298="Pedestrian"),"YES","NO")</f>
        <v>NO</v>
      </c>
      <c r="T3298" t="s">
        <v>199</v>
      </c>
      <c r="U3298" t="str">
        <f t="shared" si="747"/>
        <v>Brattle St</v>
      </c>
      <c r="V3298" t="s">
        <v>208</v>
      </c>
      <c r="W3298" t="str">
        <f t="shared" si="748"/>
        <v>Sparks St</v>
      </c>
      <c r="X3298" t="str">
        <f>IF(ISBLANK(S3298),"Intersection","Non-Intersection")</f>
        <v>Intersection</v>
      </c>
      <c r="Y3298" t="s">
        <v>442</v>
      </c>
      <c r="Z3298" t="str">
        <f t="shared" si="749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750"/>
        <v>40909</v>
      </c>
      <c r="D3299" s="4">
        <f t="shared" si="751"/>
        <v>0.10109289617486339</v>
      </c>
      <c r="E3299" s="3">
        <f t="shared" si="752"/>
        <v>2012</v>
      </c>
      <c r="F3299" s="3">
        <f t="shared" si="753"/>
        <v>2</v>
      </c>
      <c r="G3299" s="3">
        <f t="shared" si="754"/>
        <v>7</v>
      </c>
      <c r="H3299" s="3">
        <f t="shared" si="755"/>
        <v>14</v>
      </c>
      <c r="I3299" s="3">
        <f t="shared" si="756"/>
        <v>39</v>
      </c>
      <c r="J3299" s="3">
        <f t="shared" si="757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758"/>
        <v>YES</v>
      </c>
      <c r="Q3299" t="str">
        <f t="shared" si="759"/>
        <v>NO</v>
      </c>
      <c r="R3299" t="str">
        <f t="shared" si="760"/>
        <v>NO</v>
      </c>
      <c r="T3299" t="s">
        <v>142</v>
      </c>
      <c r="U3299" t="str">
        <f t="shared" si="747"/>
        <v>Huron Ave</v>
      </c>
      <c r="V3299" t="s">
        <v>710</v>
      </c>
      <c r="W3299" t="str">
        <f t="shared" si="748"/>
        <v>Fresh Pond Pky</v>
      </c>
      <c r="X3299" t="str">
        <f>IF(ISBLANK(S3299),"Intersection","Non-Intersection")</f>
        <v>Intersection</v>
      </c>
      <c r="Y3299" t="s">
        <v>1897</v>
      </c>
      <c r="Z3299" t="str">
        <f t="shared" si="749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750"/>
        <v>40909</v>
      </c>
      <c r="D3300" s="4">
        <f t="shared" si="751"/>
        <v>0.10109289617486339</v>
      </c>
      <c r="E3300" s="3">
        <f t="shared" si="752"/>
        <v>2012</v>
      </c>
      <c r="F3300" s="3">
        <f t="shared" si="753"/>
        <v>2</v>
      </c>
      <c r="G3300" s="3">
        <f t="shared" si="754"/>
        <v>7</v>
      </c>
      <c r="H3300" s="3">
        <f t="shared" si="755"/>
        <v>15</v>
      </c>
      <c r="I3300" s="3">
        <f t="shared" si="756"/>
        <v>30</v>
      </c>
      <c r="J3300" s="3">
        <f t="shared" si="757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758"/>
        <v>YES</v>
      </c>
      <c r="Q3300" t="str">
        <f t="shared" si="759"/>
        <v>NO</v>
      </c>
      <c r="R3300" t="str">
        <f t="shared" si="760"/>
        <v>NO</v>
      </c>
      <c r="S3300">
        <v>8</v>
      </c>
      <c r="T3300" t="s">
        <v>340</v>
      </c>
      <c r="U3300" t="str">
        <f t="shared" si="747"/>
        <v>Davenport St</v>
      </c>
      <c r="W3300" t="str">
        <f t="shared" si="748"/>
        <v/>
      </c>
      <c r="X3300" t="str">
        <f>IF(ISBLANK(S3300),"Intersection","Non-Intersection")</f>
        <v>Non-Intersection</v>
      </c>
      <c r="Y3300" t="s">
        <v>4194</v>
      </c>
      <c r="Z3300" t="str">
        <f t="shared" si="749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750"/>
        <v>40909</v>
      </c>
      <c r="D3301" s="4">
        <f t="shared" si="751"/>
        <v>0.10109289617486339</v>
      </c>
      <c r="E3301" s="3">
        <f t="shared" si="752"/>
        <v>2012</v>
      </c>
      <c r="F3301" s="3">
        <f t="shared" si="753"/>
        <v>2</v>
      </c>
      <c r="G3301" s="3">
        <f t="shared" si="754"/>
        <v>7</v>
      </c>
      <c r="H3301" s="3">
        <f t="shared" si="755"/>
        <v>20</v>
      </c>
      <c r="I3301" s="3">
        <f t="shared" si="756"/>
        <v>25</v>
      </c>
      <c r="J3301" s="3">
        <f t="shared" si="757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758"/>
        <v>YES</v>
      </c>
      <c r="Q3301" t="str">
        <f t="shared" si="759"/>
        <v>NO</v>
      </c>
      <c r="R3301" t="str">
        <f t="shared" si="760"/>
        <v>NO</v>
      </c>
      <c r="T3301" t="s">
        <v>199</v>
      </c>
      <c r="U3301" t="str">
        <f t="shared" si="747"/>
        <v>Brattle St</v>
      </c>
      <c r="V3301" t="s">
        <v>208</v>
      </c>
      <c r="W3301" t="str">
        <f t="shared" si="748"/>
        <v>Sparks St</v>
      </c>
      <c r="X3301" t="str">
        <f>IF(ISBLANK(S3301),"Intersection","Non-Intersection")</f>
        <v>Intersection</v>
      </c>
      <c r="Y3301" t="s">
        <v>442</v>
      </c>
      <c r="Z3301" t="str">
        <f t="shared" si="749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750"/>
        <v>40909</v>
      </c>
      <c r="D3302" s="4">
        <f t="shared" si="751"/>
        <v>0.10382513661202186</v>
      </c>
      <c r="E3302" s="3">
        <f t="shared" si="752"/>
        <v>2012</v>
      </c>
      <c r="F3302" s="3">
        <f t="shared" si="753"/>
        <v>2</v>
      </c>
      <c r="G3302" s="3">
        <f t="shared" si="754"/>
        <v>8</v>
      </c>
      <c r="H3302" s="3">
        <f t="shared" si="755"/>
        <v>9</v>
      </c>
      <c r="I3302" s="3">
        <f t="shared" si="756"/>
        <v>0</v>
      </c>
      <c r="J3302" s="3">
        <f t="shared" si="757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758"/>
        <v>YES</v>
      </c>
      <c r="Q3302" t="str">
        <f t="shared" si="759"/>
        <v>NO</v>
      </c>
      <c r="R3302" t="str">
        <f t="shared" si="760"/>
        <v>NO</v>
      </c>
      <c r="T3302" t="s">
        <v>14</v>
      </c>
      <c r="U3302" t="str">
        <f t="shared" si="747"/>
        <v>Massachusetts Ave</v>
      </c>
      <c r="W3302" t="str">
        <f t="shared" si="748"/>
        <v/>
      </c>
      <c r="X3302" t="str">
        <f>IF(ISBLANK(S3302),"Intersection","Non-Intersection")</f>
        <v>Intersection</v>
      </c>
      <c r="Y3302" t="s">
        <v>137</v>
      </c>
      <c r="Z3302" t="str">
        <f t="shared" si="749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750"/>
        <v>40909</v>
      </c>
      <c r="D3303" s="4">
        <f t="shared" si="751"/>
        <v>0.10382513661202186</v>
      </c>
      <c r="E3303" s="3">
        <f t="shared" si="752"/>
        <v>2012</v>
      </c>
      <c r="F3303" s="3">
        <f t="shared" si="753"/>
        <v>2</v>
      </c>
      <c r="G3303" s="3">
        <f t="shared" si="754"/>
        <v>8</v>
      </c>
      <c r="H3303" s="3">
        <f t="shared" si="755"/>
        <v>16</v>
      </c>
      <c r="I3303" s="3">
        <f t="shared" si="756"/>
        <v>54</v>
      </c>
      <c r="J3303" s="3">
        <f t="shared" si="757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758"/>
        <v>YES</v>
      </c>
      <c r="Q3303" t="str">
        <f t="shared" si="759"/>
        <v>NO</v>
      </c>
      <c r="R3303" t="str">
        <f t="shared" si="760"/>
        <v>NO</v>
      </c>
      <c r="S3303">
        <v>386</v>
      </c>
      <c r="T3303" t="s">
        <v>101</v>
      </c>
      <c r="U3303" t="str">
        <f t="shared" si="747"/>
        <v>Columbia St</v>
      </c>
      <c r="V3303" t="s">
        <v>4196</v>
      </c>
      <c r="W3303" t="str">
        <f t="shared" si="748"/>
        <v>Harrington Ter</v>
      </c>
      <c r="X3303" t="str">
        <f>IF(ISBLANK(S3303),"Intersection","Non-Intersection")</f>
        <v>Non-Intersection</v>
      </c>
      <c r="Y3303" t="s">
        <v>2043</v>
      </c>
      <c r="Z3303" t="str">
        <f t="shared" si="749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750"/>
        <v>40909</v>
      </c>
      <c r="D3304" s="4">
        <f t="shared" si="751"/>
        <v>0.10382513661202186</v>
      </c>
      <c r="E3304" s="3">
        <f t="shared" si="752"/>
        <v>2012</v>
      </c>
      <c r="F3304" s="3">
        <f t="shared" si="753"/>
        <v>2</v>
      </c>
      <c r="G3304" s="3">
        <f t="shared" si="754"/>
        <v>8</v>
      </c>
      <c r="H3304" s="3">
        <f t="shared" si="755"/>
        <v>17</v>
      </c>
      <c r="I3304" s="3">
        <f t="shared" si="756"/>
        <v>58</v>
      </c>
      <c r="J3304" s="3">
        <f t="shared" si="757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758"/>
        <v>YES</v>
      </c>
      <c r="Q3304" t="str">
        <f t="shared" si="759"/>
        <v>NO</v>
      </c>
      <c r="R3304" t="str">
        <f t="shared" si="760"/>
        <v>NO</v>
      </c>
      <c r="T3304" t="s">
        <v>14</v>
      </c>
      <c r="U3304" t="str">
        <f t="shared" si="747"/>
        <v>Massachusetts Ave</v>
      </c>
      <c r="V3304" t="s">
        <v>315</v>
      </c>
      <c r="W3304" t="str">
        <f t="shared" si="748"/>
        <v>Essex St</v>
      </c>
      <c r="X3304" t="str">
        <f>IF(ISBLANK(S3304),"Intersection","Non-Intersection")</f>
        <v>Intersection</v>
      </c>
      <c r="Y3304" t="s">
        <v>1383</v>
      </c>
      <c r="Z3304" t="str">
        <f t="shared" si="749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750"/>
        <v>40909</v>
      </c>
      <c r="D3305" s="4">
        <f t="shared" si="751"/>
        <v>0.10655737704918032</v>
      </c>
      <c r="E3305" s="3">
        <f t="shared" si="752"/>
        <v>2012</v>
      </c>
      <c r="F3305" s="3">
        <f t="shared" si="753"/>
        <v>2</v>
      </c>
      <c r="G3305" s="3">
        <f t="shared" si="754"/>
        <v>9</v>
      </c>
      <c r="H3305" s="3">
        <f t="shared" si="755"/>
        <v>11</v>
      </c>
      <c r="I3305" s="3">
        <f t="shared" si="756"/>
        <v>0</v>
      </c>
      <c r="J3305" s="3">
        <f t="shared" si="757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758"/>
        <v>YES</v>
      </c>
      <c r="Q3305" t="str">
        <f t="shared" si="759"/>
        <v>NO</v>
      </c>
      <c r="R3305" t="str">
        <f t="shared" si="760"/>
        <v>NO</v>
      </c>
      <c r="T3305" t="s">
        <v>380</v>
      </c>
      <c r="U3305" t="str">
        <f t="shared" si="747"/>
        <v>Charles St</v>
      </c>
      <c r="V3305" t="s">
        <v>260</v>
      </c>
      <c r="W3305" t="str">
        <f t="shared" si="748"/>
        <v>Third St</v>
      </c>
      <c r="X3305" t="str">
        <f>IF(ISBLANK(S3305),"Intersection","Non-Intersection")</f>
        <v>Intersection</v>
      </c>
      <c r="Y3305" t="s">
        <v>4197</v>
      </c>
      <c r="Z3305" t="str">
        <f t="shared" si="749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750"/>
        <v>40909</v>
      </c>
      <c r="D3306" s="4">
        <f t="shared" si="751"/>
        <v>0.10655737704918032</v>
      </c>
      <c r="E3306" s="3">
        <f t="shared" si="752"/>
        <v>2012</v>
      </c>
      <c r="F3306" s="3">
        <f t="shared" si="753"/>
        <v>2</v>
      </c>
      <c r="G3306" s="3">
        <f t="shared" si="754"/>
        <v>9</v>
      </c>
      <c r="H3306" s="3">
        <f t="shared" si="755"/>
        <v>12</v>
      </c>
      <c r="I3306" s="3">
        <f t="shared" si="756"/>
        <v>0</v>
      </c>
      <c r="J3306" s="3">
        <f t="shared" si="757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758"/>
        <v>YES</v>
      </c>
      <c r="Q3306" t="str">
        <f t="shared" si="759"/>
        <v>NO</v>
      </c>
      <c r="R3306" t="str">
        <f t="shared" si="760"/>
        <v>NO</v>
      </c>
      <c r="T3306" t="s">
        <v>209</v>
      </c>
      <c r="U3306" t="str">
        <f t="shared" si="747"/>
        <v>Binney St</v>
      </c>
      <c r="V3306" t="s">
        <v>147</v>
      </c>
      <c r="W3306" t="str">
        <f t="shared" si="748"/>
        <v>Sixth St</v>
      </c>
      <c r="X3306" t="str">
        <f>IF(ISBLANK(S3306),"Intersection","Non-Intersection")</f>
        <v>Intersection</v>
      </c>
      <c r="Y3306" t="s">
        <v>1876</v>
      </c>
      <c r="Z3306" t="str">
        <f t="shared" si="749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750"/>
        <v>40909</v>
      </c>
      <c r="D3307" s="4">
        <f t="shared" si="751"/>
        <v>0.10655737704918032</v>
      </c>
      <c r="E3307" s="3">
        <f t="shared" si="752"/>
        <v>2012</v>
      </c>
      <c r="F3307" s="3">
        <f t="shared" si="753"/>
        <v>2</v>
      </c>
      <c r="G3307" s="3">
        <f t="shared" si="754"/>
        <v>9</v>
      </c>
      <c r="H3307" s="3">
        <f t="shared" si="755"/>
        <v>17</v>
      </c>
      <c r="I3307" s="3">
        <f t="shared" si="756"/>
        <v>10</v>
      </c>
      <c r="J3307" s="3">
        <f t="shared" si="757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758"/>
        <v>YES</v>
      </c>
      <c r="Q3307" t="str">
        <f t="shared" si="759"/>
        <v>YES</v>
      </c>
      <c r="R3307" t="str">
        <f t="shared" si="760"/>
        <v>NO</v>
      </c>
      <c r="S3307">
        <v>1975</v>
      </c>
      <c r="T3307" t="s">
        <v>14</v>
      </c>
      <c r="U3307" t="str">
        <f t="shared" si="747"/>
        <v>Massachusetts Ave</v>
      </c>
      <c r="W3307" t="str">
        <f t="shared" si="748"/>
        <v/>
      </c>
      <c r="X3307" t="str">
        <f>IF(ISBLANK(S3307),"Intersection","Non-Intersection")</f>
        <v>Non-Intersection</v>
      </c>
      <c r="Y3307" t="s">
        <v>4198</v>
      </c>
      <c r="Z3307" t="str">
        <f t="shared" si="749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750"/>
        <v>40909</v>
      </c>
      <c r="D3308" s="4">
        <f t="shared" si="751"/>
        <v>0.10655737704918032</v>
      </c>
      <c r="E3308" s="3">
        <f t="shared" si="752"/>
        <v>2012</v>
      </c>
      <c r="F3308" s="3">
        <f t="shared" si="753"/>
        <v>2</v>
      </c>
      <c r="G3308" s="3">
        <f t="shared" si="754"/>
        <v>9</v>
      </c>
      <c r="H3308" s="3">
        <f t="shared" si="755"/>
        <v>17</v>
      </c>
      <c r="I3308" s="3">
        <f t="shared" si="756"/>
        <v>42</v>
      </c>
      <c r="J3308" s="3">
        <f t="shared" si="757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758"/>
        <v>YES</v>
      </c>
      <c r="Q3308" t="str">
        <f t="shared" si="759"/>
        <v>NO</v>
      </c>
      <c r="R3308" t="str">
        <f t="shared" si="760"/>
        <v>NO</v>
      </c>
      <c r="S3308">
        <v>185</v>
      </c>
      <c r="T3308" t="s">
        <v>192</v>
      </c>
      <c r="U3308" t="str">
        <f t="shared" si="747"/>
        <v>Hancock St</v>
      </c>
      <c r="W3308" t="str">
        <f t="shared" si="748"/>
        <v/>
      </c>
      <c r="X3308" t="str">
        <f>IF(ISBLANK(S3308),"Intersection","Non-Intersection")</f>
        <v>Non-Intersection</v>
      </c>
      <c r="Y3308" t="s">
        <v>4200</v>
      </c>
      <c r="Z3308" t="str">
        <f t="shared" si="749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750"/>
        <v>40909</v>
      </c>
      <c r="D3309" s="4">
        <f t="shared" si="751"/>
        <v>0.10655737704918032</v>
      </c>
      <c r="E3309" s="3">
        <f t="shared" si="752"/>
        <v>2012</v>
      </c>
      <c r="F3309" s="3">
        <f t="shared" si="753"/>
        <v>2</v>
      </c>
      <c r="G3309" s="3">
        <f t="shared" si="754"/>
        <v>9</v>
      </c>
      <c r="H3309" s="3">
        <f t="shared" si="755"/>
        <v>20</v>
      </c>
      <c r="I3309" s="3">
        <f t="shared" si="756"/>
        <v>6</v>
      </c>
      <c r="J3309" s="3">
        <f t="shared" si="757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758"/>
        <v>YES</v>
      </c>
      <c r="Q3309" t="str">
        <f t="shared" si="759"/>
        <v>NO</v>
      </c>
      <c r="R3309" t="str">
        <f t="shared" si="760"/>
        <v>YES</v>
      </c>
      <c r="S3309">
        <v>1</v>
      </c>
      <c r="T3309" t="s">
        <v>105</v>
      </c>
      <c r="U3309" t="str">
        <f t="shared" si="747"/>
        <v>Broadway</v>
      </c>
      <c r="V3309" t="s">
        <v>260</v>
      </c>
      <c r="W3309" t="str">
        <f t="shared" si="748"/>
        <v>Third St</v>
      </c>
      <c r="X3309" t="str">
        <f>IF(ISBLANK(S3309),"Intersection","Non-Intersection")</f>
        <v>Non-Intersection</v>
      </c>
      <c r="Y3309" t="s">
        <v>283</v>
      </c>
      <c r="Z3309" t="str">
        <f t="shared" si="749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750"/>
        <v>40909</v>
      </c>
      <c r="D3310" s="4">
        <f t="shared" si="751"/>
        <v>0.10655737704918032</v>
      </c>
      <c r="E3310" s="3">
        <f t="shared" si="752"/>
        <v>2012</v>
      </c>
      <c r="F3310" s="3">
        <f t="shared" si="753"/>
        <v>2</v>
      </c>
      <c r="G3310" s="3">
        <f t="shared" si="754"/>
        <v>9</v>
      </c>
      <c r="H3310" s="3">
        <f t="shared" si="755"/>
        <v>15</v>
      </c>
      <c r="I3310" s="3">
        <f t="shared" si="756"/>
        <v>53</v>
      </c>
      <c r="J3310" s="3">
        <f t="shared" si="757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758"/>
        <v>YES</v>
      </c>
      <c r="Q3310" t="str">
        <f t="shared" si="759"/>
        <v>NO</v>
      </c>
      <c r="R3310" t="str">
        <f t="shared" si="760"/>
        <v>NO</v>
      </c>
      <c r="S3310">
        <v>1</v>
      </c>
      <c r="T3310" t="s">
        <v>60</v>
      </c>
      <c r="U3310" t="str">
        <f t="shared" si="747"/>
        <v>Rogers St</v>
      </c>
      <c r="V3310" t="s">
        <v>61</v>
      </c>
      <c r="W3310" t="str">
        <f t="shared" si="748"/>
        <v>First St</v>
      </c>
      <c r="X3310" t="str">
        <f>IF(ISBLANK(S3310),"Intersection","Non-Intersection")</f>
        <v>Non-Intersection</v>
      </c>
      <c r="Y3310" t="s">
        <v>4202</v>
      </c>
      <c r="Z3310" t="str">
        <f t="shared" si="749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750"/>
        <v>40909</v>
      </c>
      <c r="D3311" s="4">
        <f t="shared" si="751"/>
        <v>0.10928961748633879</v>
      </c>
      <c r="E3311" s="3">
        <f t="shared" si="752"/>
        <v>2012</v>
      </c>
      <c r="F3311" s="3">
        <f t="shared" si="753"/>
        <v>2</v>
      </c>
      <c r="G3311" s="3">
        <f t="shared" si="754"/>
        <v>10</v>
      </c>
      <c r="H3311" s="3">
        <f t="shared" si="755"/>
        <v>10</v>
      </c>
      <c r="I3311" s="3">
        <f t="shared" si="756"/>
        <v>15</v>
      </c>
      <c r="J3311" s="3">
        <f t="shared" si="757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758"/>
        <v>YES</v>
      </c>
      <c r="Q3311" t="str">
        <f t="shared" si="759"/>
        <v>NO</v>
      </c>
      <c r="R3311" t="str">
        <f t="shared" si="760"/>
        <v>NO</v>
      </c>
      <c r="S3311">
        <v>186</v>
      </c>
      <c r="T3311" t="s">
        <v>170</v>
      </c>
      <c r="U3311" t="str">
        <f t="shared" si="747"/>
        <v>Alewife Brook Pky</v>
      </c>
      <c r="W3311" t="str">
        <f t="shared" si="748"/>
        <v/>
      </c>
      <c r="X3311" t="str">
        <f>IF(ISBLANK(S3311),"Intersection","Non-Intersection")</f>
        <v>Non-Intersection</v>
      </c>
      <c r="Y3311" t="s">
        <v>242</v>
      </c>
      <c r="Z3311" t="str">
        <f t="shared" si="749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750"/>
        <v>40909</v>
      </c>
      <c r="D3312" s="4">
        <f t="shared" si="751"/>
        <v>0.10928961748633879</v>
      </c>
      <c r="E3312" s="3">
        <f t="shared" si="752"/>
        <v>2012</v>
      </c>
      <c r="F3312" s="3">
        <f t="shared" si="753"/>
        <v>2</v>
      </c>
      <c r="G3312" s="3">
        <f t="shared" si="754"/>
        <v>10</v>
      </c>
      <c r="H3312" s="3">
        <f t="shared" si="755"/>
        <v>15</v>
      </c>
      <c r="I3312" s="3">
        <f t="shared" si="756"/>
        <v>17</v>
      </c>
      <c r="J3312" s="3">
        <f t="shared" si="757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758"/>
        <v>YES</v>
      </c>
      <c r="Q3312" t="str">
        <f t="shared" si="759"/>
        <v>NO</v>
      </c>
      <c r="R3312" t="str">
        <f t="shared" si="760"/>
        <v>NO</v>
      </c>
      <c r="T3312" t="s">
        <v>19</v>
      </c>
      <c r="U3312" t="str">
        <f t="shared" si="747"/>
        <v>Cambridge St</v>
      </c>
      <c r="V3312" t="s">
        <v>1520</v>
      </c>
      <c r="W3312" t="str">
        <f t="shared" si="748"/>
        <v>Fayette St</v>
      </c>
      <c r="X3312" t="str">
        <f>IF(ISBLANK(S3312),"Intersection","Non-Intersection")</f>
        <v>Intersection</v>
      </c>
      <c r="Y3312" t="s">
        <v>1521</v>
      </c>
      <c r="Z3312" t="str">
        <f t="shared" si="749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750"/>
        <v>40909</v>
      </c>
      <c r="D3313" s="4">
        <f t="shared" si="751"/>
        <v>0.10928961748633879</v>
      </c>
      <c r="E3313" s="3">
        <f t="shared" si="752"/>
        <v>2012</v>
      </c>
      <c r="F3313" s="3">
        <f t="shared" si="753"/>
        <v>2</v>
      </c>
      <c r="G3313" s="3">
        <f t="shared" si="754"/>
        <v>10</v>
      </c>
      <c r="H3313" s="3">
        <f t="shared" si="755"/>
        <v>15</v>
      </c>
      <c r="I3313" s="3">
        <f t="shared" si="756"/>
        <v>36</v>
      </c>
      <c r="J3313" s="3">
        <f t="shared" si="757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758"/>
        <v>YES</v>
      </c>
      <c r="Q3313" t="str">
        <f t="shared" si="759"/>
        <v>NO</v>
      </c>
      <c r="R3313" t="str">
        <f t="shared" si="760"/>
        <v>NO</v>
      </c>
      <c r="T3313" t="s">
        <v>61</v>
      </c>
      <c r="U3313" t="str">
        <f t="shared" si="747"/>
        <v>First St</v>
      </c>
      <c r="V3313" t="s">
        <v>146</v>
      </c>
      <c r="W3313" t="str">
        <f t="shared" si="748"/>
        <v>Spring St</v>
      </c>
      <c r="X3313" t="str">
        <f>IF(ISBLANK(S3313),"Intersection","Non-Intersection")</f>
        <v>Intersection</v>
      </c>
      <c r="Y3313" t="s">
        <v>4204</v>
      </c>
      <c r="Z3313" t="str">
        <f t="shared" si="749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750"/>
        <v>40909</v>
      </c>
      <c r="D3314" s="4">
        <f t="shared" si="751"/>
        <v>0.10928961748633879</v>
      </c>
      <c r="E3314" s="3">
        <f t="shared" si="752"/>
        <v>2012</v>
      </c>
      <c r="F3314" s="3">
        <f t="shared" si="753"/>
        <v>2</v>
      </c>
      <c r="G3314" s="3">
        <f t="shared" si="754"/>
        <v>10</v>
      </c>
      <c r="H3314" s="3">
        <f t="shared" si="755"/>
        <v>12</v>
      </c>
      <c r="I3314" s="3">
        <f t="shared" si="756"/>
        <v>30</v>
      </c>
      <c r="J3314" s="3">
        <f t="shared" si="757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758"/>
        <v>YES</v>
      </c>
      <c r="Q3314" t="str">
        <f t="shared" si="759"/>
        <v>NO</v>
      </c>
      <c r="R3314" t="str">
        <f t="shared" si="760"/>
        <v>NO</v>
      </c>
      <c r="T3314" t="s">
        <v>27</v>
      </c>
      <c r="U3314" t="str">
        <f t="shared" si="747"/>
        <v>Western Ave</v>
      </c>
      <c r="V3314" t="s">
        <v>2629</v>
      </c>
      <c r="W3314" t="str">
        <f t="shared" si="748"/>
        <v>Soden St</v>
      </c>
      <c r="X3314" t="str">
        <f>IF(ISBLANK(S3314),"Intersection","Non-Intersection")</f>
        <v>Intersection</v>
      </c>
      <c r="Y3314" t="s">
        <v>4206</v>
      </c>
      <c r="Z3314" t="str">
        <f t="shared" si="749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750"/>
        <v>40909</v>
      </c>
      <c r="D3315" s="4">
        <f t="shared" si="751"/>
        <v>0.10928961748633879</v>
      </c>
      <c r="E3315" s="3">
        <f t="shared" si="752"/>
        <v>2012</v>
      </c>
      <c r="F3315" s="3">
        <f t="shared" si="753"/>
        <v>2</v>
      </c>
      <c r="G3315" s="3">
        <f t="shared" si="754"/>
        <v>10</v>
      </c>
      <c r="H3315" s="3">
        <f t="shared" si="755"/>
        <v>12</v>
      </c>
      <c r="I3315" s="3">
        <f t="shared" si="756"/>
        <v>0</v>
      </c>
      <c r="J3315" s="3">
        <f t="shared" si="757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758"/>
        <v>YES</v>
      </c>
      <c r="Q3315" t="str">
        <f t="shared" si="759"/>
        <v>NO</v>
      </c>
      <c r="R3315" t="str">
        <f t="shared" si="760"/>
        <v>NO</v>
      </c>
      <c r="S3315">
        <v>29</v>
      </c>
      <c r="T3315" t="s">
        <v>4208</v>
      </c>
      <c r="U3315" t="str">
        <f t="shared" si="747"/>
        <v>Vineyard St</v>
      </c>
      <c r="W3315" t="str">
        <f t="shared" si="748"/>
        <v/>
      </c>
      <c r="X3315" t="str">
        <f>IF(ISBLANK(S3315),"Intersection","Non-Intersection")</f>
        <v>Non-Intersection</v>
      </c>
      <c r="Y3315" t="s">
        <v>4209</v>
      </c>
      <c r="Z3315" t="str">
        <f t="shared" si="749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750"/>
        <v>40909</v>
      </c>
      <c r="D3316" s="4">
        <f t="shared" si="751"/>
        <v>0.11202185792349727</v>
      </c>
      <c r="E3316" s="3">
        <f t="shared" si="752"/>
        <v>2012</v>
      </c>
      <c r="F3316" s="3">
        <f t="shared" si="753"/>
        <v>2</v>
      </c>
      <c r="G3316" s="3">
        <f t="shared" si="754"/>
        <v>11</v>
      </c>
      <c r="H3316" s="3">
        <f t="shared" si="755"/>
        <v>8</v>
      </c>
      <c r="I3316" s="3">
        <f t="shared" si="756"/>
        <v>55</v>
      </c>
      <c r="J3316" s="3">
        <f t="shared" si="757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758"/>
        <v>YES</v>
      </c>
      <c r="Q3316" t="str">
        <f t="shared" si="759"/>
        <v>NO</v>
      </c>
      <c r="R3316" t="str">
        <f t="shared" si="760"/>
        <v>NO</v>
      </c>
      <c r="T3316" t="s">
        <v>105</v>
      </c>
      <c r="U3316" t="str">
        <f t="shared" si="747"/>
        <v>Broadway</v>
      </c>
      <c r="V3316" t="s">
        <v>667</v>
      </c>
      <c r="W3316" t="str">
        <f t="shared" si="748"/>
        <v>Tremont St</v>
      </c>
      <c r="X3316" t="str">
        <f>IF(ISBLANK(S3316),"Intersection","Non-Intersection")</f>
        <v>Intersection</v>
      </c>
      <c r="Y3316" t="s">
        <v>1721</v>
      </c>
      <c r="Z3316" t="str">
        <f t="shared" si="749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750"/>
        <v>40909</v>
      </c>
      <c r="D3317" s="4">
        <f t="shared" si="751"/>
        <v>0.11202185792349727</v>
      </c>
      <c r="E3317" s="3">
        <f t="shared" si="752"/>
        <v>2012</v>
      </c>
      <c r="F3317" s="3">
        <f t="shared" si="753"/>
        <v>2</v>
      </c>
      <c r="G3317" s="3">
        <f t="shared" si="754"/>
        <v>11</v>
      </c>
      <c r="H3317" s="3">
        <f t="shared" si="755"/>
        <v>21</v>
      </c>
      <c r="I3317" s="3">
        <f t="shared" si="756"/>
        <v>49</v>
      </c>
      <c r="J3317" s="3">
        <f t="shared" si="757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758"/>
        <v>YES</v>
      </c>
      <c r="Q3317" t="str">
        <f t="shared" si="759"/>
        <v>NO</v>
      </c>
      <c r="R3317" t="str">
        <f t="shared" si="760"/>
        <v>NO</v>
      </c>
      <c r="S3317">
        <v>1955</v>
      </c>
      <c r="T3317" t="s">
        <v>14</v>
      </c>
      <c r="U3317" t="str">
        <f t="shared" si="747"/>
        <v>Massachusetts Ave</v>
      </c>
      <c r="W3317" t="str">
        <f t="shared" si="748"/>
        <v/>
      </c>
      <c r="X3317" t="str">
        <f>IF(ISBLANK(S3317),"Intersection","Non-Intersection")</f>
        <v>Non-Intersection</v>
      </c>
      <c r="Y3317" t="s">
        <v>4211</v>
      </c>
      <c r="Z3317" t="str">
        <f t="shared" si="749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750"/>
        <v>40909</v>
      </c>
      <c r="D3318" s="4">
        <f t="shared" si="751"/>
        <v>0.11475409836065574</v>
      </c>
      <c r="E3318" s="3">
        <f t="shared" si="752"/>
        <v>2012</v>
      </c>
      <c r="F3318" s="3">
        <f t="shared" si="753"/>
        <v>2</v>
      </c>
      <c r="G3318" s="3">
        <f t="shared" si="754"/>
        <v>12</v>
      </c>
      <c r="H3318" s="3">
        <f t="shared" si="755"/>
        <v>2</v>
      </c>
      <c r="I3318" s="3">
        <f t="shared" si="756"/>
        <v>6</v>
      </c>
      <c r="J3318" s="3">
        <f t="shared" si="757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758"/>
        <v>YES</v>
      </c>
      <c r="Q3318" t="str">
        <f t="shared" si="759"/>
        <v>NO</v>
      </c>
      <c r="R3318" t="str">
        <f t="shared" si="760"/>
        <v>NO</v>
      </c>
      <c r="S3318">
        <v>353</v>
      </c>
      <c r="T3318" t="s">
        <v>14</v>
      </c>
      <c r="U3318" t="str">
        <f t="shared" si="747"/>
        <v>Massachusetts Ave</v>
      </c>
      <c r="W3318" t="str">
        <f t="shared" si="748"/>
        <v/>
      </c>
      <c r="X3318" t="str">
        <f>IF(ISBLANK(S3318),"Intersection","Non-Intersection")</f>
        <v>Non-Intersection</v>
      </c>
      <c r="Y3318" t="s">
        <v>4213</v>
      </c>
      <c r="Z3318" t="str">
        <f t="shared" si="749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750"/>
        <v>40909</v>
      </c>
      <c r="D3319" s="4">
        <f t="shared" si="751"/>
        <v>0.11475409836065574</v>
      </c>
      <c r="E3319" s="3">
        <f t="shared" si="752"/>
        <v>2012</v>
      </c>
      <c r="F3319" s="3">
        <f t="shared" si="753"/>
        <v>2</v>
      </c>
      <c r="G3319" s="3">
        <f t="shared" si="754"/>
        <v>12</v>
      </c>
      <c r="H3319" s="3">
        <f t="shared" si="755"/>
        <v>14</v>
      </c>
      <c r="I3319" s="3">
        <f t="shared" si="756"/>
        <v>41</v>
      </c>
      <c r="J3319" s="3">
        <f t="shared" si="757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758"/>
        <v>YES</v>
      </c>
      <c r="Q3319" t="str">
        <f t="shared" si="759"/>
        <v>NO</v>
      </c>
      <c r="R3319" t="str">
        <f t="shared" si="760"/>
        <v>NO</v>
      </c>
      <c r="T3319" t="s">
        <v>14</v>
      </c>
      <c r="U3319" t="str">
        <f t="shared" si="747"/>
        <v>Massachusetts Ave</v>
      </c>
      <c r="V3319" t="s">
        <v>195</v>
      </c>
      <c r="W3319" t="str">
        <f t="shared" si="748"/>
        <v>Sidney St</v>
      </c>
      <c r="X3319" t="str">
        <f>IF(ISBLANK(S3319),"Intersection","Non-Intersection")</f>
        <v>Intersection</v>
      </c>
      <c r="Y3319" t="s">
        <v>196</v>
      </c>
      <c r="Z3319" t="str">
        <f t="shared" si="749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750"/>
        <v>40909</v>
      </c>
      <c r="D3320" s="4">
        <f t="shared" si="751"/>
        <v>0.11748633879781421</v>
      </c>
      <c r="E3320" s="3">
        <f t="shared" si="752"/>
        <v>2012</v>
      </c>
      <c r="F3320" s="3">
        <f t="shared" si="753"/>
        <v>2</v>
      </c>
      <c r="G3320" s="3">
        <f t="shared" si="754"/>
        <v>13</v>
      </c>
      <c r="H3320" s="3">
        <f t="shared" si="755"/>
        <v>10</v>
      </c>
      <c r="I3320" s="3">
        <f t="shared" si="756"/>
        <v>12</v>
      </c>
      <c r="J3320" s="3">
        <f t="shared" si="757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758"/>
        <v>YES</v>
      </c>
      <c r="Q3320" t="str">
        <f t="shared" si="759"/>
        <v>NO</v>
      </c>
      <c r="R3320" t="str">
        <f t="shared" si="760"/>
        <v>NO</v>
      </c>
      <c r="T3320" t="s">
        <v>760</v>
      </c>
      <c r="U3320" t="str">
        <f t="shared" si="747"/>
        <v>Fulkerson St</v>
      </c>
      <c r="W3320" t="str">
        <f t="shared" si="748"/>
        <v/>
      </c>
      <c r="X3320" t="str">
        <f>IF(ISBLANK(S3320),"Intersection","Non-Intersection")</f>
        <v>Intersection</v>
      </c>
      <c r="Y3320" t="s">
        <v>4215</v>
      </c>
      <c r="Z3320" t="str">
        <f t="shared" si="749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750"/>
        <v>40909</v>
      </c>
      <c r="D3321" s="4">
        <f t="shared" si="751"/>
        <v>0.11748633879781421</v>
      </c>
      <c r="E3321" s="3">
        <f t="shared" si="752"/>
        <v>2012</v>
      </c>
      <c r="F3321" s="3">
        <f t="shared" si="753"/>
        <v>2</v>
      </c>
      <c r="G3321" s="3">
        <f t="shared" si="754"/>
        <v>13</v>
      </c>
      <c r="H3321" s="3">
        <f t="shared" si="755"/>
        <v>11</v>
      </c>
      <c r="I3321" s="3">
        <f t="shared" si="756"/>
        <v>15</v>
      </c>
      <c r="J3321" s="3">
        <f t="shared" si="757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758"/>
        <v>YES</v>
      </c>
      <c r="Q3321" t="str">
        <f t="shared" si="759"/>
        <v>NO</v>
      </c>
      <c r="R3321" t="str">
        <f t="shared" si="760"/>
        <v>NO</v>
      </c>
      <c r="T3321" t="s">
        <v>14</v>
      </c>
      <c r="U3321" t="str">
        <f t="shared" si="747"/>
        <v>Massachusetts Ave</v>
      </c>
      <c r="V3321" t="s">
        <v>847</v>
      </c>
      <c r="W3321" t="str">
        <f t="shared" si="748"/>
        <v>Martin St</v>
      </c>
      <c r="X3321" t="str">
        <f>IF(ISBLANK(S3321),"Intersection","Non-Intersection")</f>
        <v>Intersection</v>
      </c>
      <c r="Y3321" t="s">
        <v>4216</v>
      </c>
      <c r="Z3321" t="str">
        <f t="shared" si="749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750"/>
        <v>40909</v>
      </c>
      <c r="D3322" s="4">
        <f t="shared" si="751"/>
        <v>0.11748633879781421</v>
      </c>
      <c r="E3322" s="3">
        <f t="shared" si="752"/>
        <v>2012</v>
      </c>
      <c r="F3322" s="3">
        <f t="shared" si="753"/>
        <v>2</v>
      </c>
      <c r="G3322" s="3">
        <f t="shared" si="754"/>
        <v>13</v>
      </c>
      <c r="H3322" s="3">
        <f t="shared" si="755"/>
        <v>15</v>
      </c>
      <c r="I3322" s="3">
        <f t="shared" si="756"/>
        <v>20</v>
      </c>
      <c r="J3322" s="3">
        <f t="shared" si="757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758"/>
        <v>YES</v>
      </c>
      <c r="Q3322" t="str">
        <f t="shared" si="759"/>
        <v>NO</v>
      </c>
      <c r="R3322" t="str">
        <f t="shared" si="760"/>
        <v>NO</v>
      </c>
      <c r="T3322" t="s">
        <v>27</v>
      </c>
      <c r="U3322" t="str">
        <f t="shared" si="747"/>
        <v>Western Ave</v>
      </c>
      <c r="V3322" t="s">
        <v>28</v>
      </c>
      <c r="W3322" t="str">
        <f t="shared" si="748"/>
        <v>Howard St</v>
      </c>
      <c r="X3322" t="str">
        <f>IF(ISBLANK(S3322),"Intersection","Non-Intersection")</f>
        <v>Intersection</v>
      </c>
      <c r="Y3322" t="s">
        <v>29</v>
      </c>
      <c r="Z3322" t="str">
        <f t="shared" si="749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750"/>
        <v>40909</v>
      </c>
      <c r="D3323" s="4">
        <f t="shared" si="751"/>
        <v>0.11748633879781421</v>
      </c>
      <c r="E3323" s="3">
        <f t="shared" si="752"/>
        <v>2012</v>
      </c>
      <c r="F3323" s="3">
        <f t="shared" si="753"/>
        <v>2</v>
      </c>
      <c r="G3323" s="3">
        <f t="shared" si="754"/>
        <v>13</v>
      </c>
      <c r="H3323" s="3">
        <f t="shared" si="755"/>
        <v>20</v>
      </c>
      <c r="I3323" s="3">
        <f t="shared" si="756"/>
        <v>13</v>
      </c>
      <c r="J3323" s="3">
        <f t="shared" si="757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758"/>
        <v>YES</v>
      </c>
      <c r="Q3323" t="str">
        <f t="shared" si="759"/>
        <v>NO</v>
      </c>
      <c r="R3323" t="str">
        <f t="shared" si="760"/>
        <v>YES</v>
      </c>
      <c r="T3323" t="s">
        <v>19</v>
      </c>
      <c r="U3323" t="str">
        <f t="shared" si="747"/>
        <v>Cambridge St</v>
      </c>
      <c r="V3323" t="s">
        <v>61</v>
      </c>
      <c r="W3323" t="str">
        <f t="shared" si="748"/>
        <v>First St</v>
      </c>
      <c r="X3323" t="str">
        <f>IF(ISBLANK(S3323),"Intersection","Non-Intersection")</f>
        <v>Intersection</v>
      </c>
      <c r="Y3323" t="s">
        <v>494</v>
      </c>
      <c r="Z3323" t="str">
        <f t="shared" si="749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750"/>
        <v>40909</v>
      </c>
      <c r="D3324" s="4">
        <f t="shared" si="751"/>
        <v>0.11748633879781421</v>
      </c>
      <c r="E3324" s="3">
        <f t="shared" si="752"/>
        <v>2012</v>
      </c>
      <c r="F3324" s="3">
        <f t="shared" si="753"/>
        <v>2</v>
      </c>
      <c r="G3324" s="3">
        <f t="shared" si="754"/>
        <v>13</v>
      </c>
      <c r="H3324" s="3">
        <f t="shared" si="755"/>
        <v>14</v>
      </c>
      <c r="I3324" s="3">
        <f t="shared" si="756"/>
        <v>55</v>
      </c>
      <c r="J3324" s="3">
        <f t="shared" si="757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758"/>
        <v>YES</v>
      </c>
      <c r="Q3324" t="str">
        <f t="shared" si="759"/>
        <v>NO</v>
      </c>
      <c r="R3324" t="str">
        <f t="shared" si="760"/>
        <v>NO</v>
      </c>
      <c r="T3324" t="s">
        <v>105</v>
      </c>
      <c r="U3324" t="str">
        <f t="shared" si="747"/>
        <v>Broadway</v>
      </c>
      <c r="V3324" t="s">
        <v>796</v>
      </c>
      <c r="W3324" t="str">
        <f t="shared" si="748"/>
        <v>Portland St</v>
      </c>
      <c r="X3324" t="str">
        <f>IF(ISBLANK(S3324),"Intersection","Non-Intersection")</f>
        <v>Intersection</v>
      </c>
      <c r="Y3324" t="s">
        <v>2561</v>
      </c>
      <c r="Z3324" t="str">
        <f t="shared" si="749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750"/>
        <v>40909</v>
      </c>
      <c r="D3325" s="4">
        <f t="shared" si="751"/>
        <v>0.11748633879781421</v>
      </c>
      <c r="E3325" s="3">
        <f t="shared" si="752"/>
        <v>2012</v>
      </c>
      <c r="F3325" s="3">
        <f t="shared" si="753"/>
        <v>2</v>
      </c>
      <c r="G3325" s="3">
        <f t="shared" si="754"/>
        <v>13</v>
      </c>
      <c r="H3325" s="3">
        <f t="shared" si="755"/>
        <v>21</v>
      </c>
      <c r="I3325" s="3">
        <f t="shared" si="756"/>
        <v>4</v>
      </c>
      <c r="J3325" s="3">
        <f t="shared" si="757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758"/>
        <v>YES</v>
      </c>
      <c r="Q3325" t="str">
        <f t="shared" si="759"/>
        <v>NO</v>
      </c>
      <c r="R3325" t="str">
        <f t="shared" si="760"/>
        <v>NO</v>
      </c>
      <c r="S3325">
        <v>49</v>
      </c>
      <c r="T3325" t="s">
        <v>269</v>
      </c>
      <c r="U3325" t="str">
        <f t="shared" si="747"/>
        <v>Porter Sq</v>
      </c>
      <c r="V3325" t="s">
        <v>268</v>
      </c>
      <c r="W3325" t="str">
        <f t="shared" si="748"/>
        <v>White St</v>
      </c>
      <c r="X3325" t="str">
        <f>IF(ISBLANK(S3325),"Intersection","Non-Intersection")</f>
        <v>Non-Intersection</v>
      </c>
      <c r="Y3325" t="s">
        <v>4218</v>
      </c>
      <c r="Z3325" t="str">
        <f t="shared" si="749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750"/>
        <v>40909</v>
      </c>
      <c r="D3326" s="4">
        <f t="shared" si="751"/>
        <v>0.11748633879781421</v>
      </c>
      <c r="E3326" s="3">
        <f t="shared" si="752"/>
        <v>2012</v>
      </c>
      <c r="F3326" s="3">
        <f t="shared" si="753"/>
        <v>2</v>
      </c>
      <c r="G3326" s="3">
        <f t="shared" si="754"/>
        <v>13</v>
      </c>
      <c r="H3326" s="3">
        <f t="shared" si="755"/>
        <v>11</v>
      </c>
      <c r="I3326" s="3">
        <f t="shared" si="756"/>
        <v>15</v>
      </c>
      <c r="J3326" s="3">
        <f t="shared" si="757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758"/>
        <v>YES</v>
      </c>
      <c r="Q3326" t="str">
        <f t="shared" si="759"/>
        <v>NO</v>
      </c>
      <c r="R3326" t="str">
        <f t="shared" si="760"/>
        <v>NO</v>
      </c>
      <c r="T3326" t="s">
        <v>14</v>
      </c>
      <c r="U3326" t="str">
        <f t="shared" si="747"/>
        <v>Massachusetts Ave</v>
      </c>
      <c r="V3326" t="s">
        <v>847</v>
      </c>
      <c r="W3326" t="str">
        <f t="shared" si="748"/>
        <v>Martin St</v>
      </c>
      <c r="X3326" t="str">
        <f>IF(ISBLANK(S3326),"Intersection","Non-Intersection")</f>
        <v>Intersection</v>
      </c>
      <c r="Y3326" t="s">
        <v>4216</v>
      </c>
      <c r="Z3326" t="str">
        <f t="shared" si="749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750"/>
        <v>40909</v>
      </c>
      <c r="D3327" s="4">
        <f t="shared" si="751"/>
        <v>0.12295081967213115</v>
      </c>
      <c r="E3327" s="3">
        <f t="shared" si="752"/>
        <v>2012</v>
      </c>
      <c r="F3327" s="3">
        <f t="shared" si="753"/>
        <v>2</v>
      </c>
      <c r="G3327" s="3">
        <f t="shared" si="754"/>
        <v>15</v>
      </c>
      <c r="H3327" s="3">
        <f t="shared" si="755"/>
        <v>8</v>
      </c>
      <c r="I3327" s="3">
        <f t="shared" si="756"/>
        <v>10</v>
      </c>
      <c r="J3327" s="3">
        <f t="shared" si="757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758"/>
        <v>YES</v>
      </c>
      <c r="Q3327" t="str">
        <f t="shared" si="759"/>
        <v>NO</v>
      </c>
      <c r="R3327" t="str">
        <f t="shared" si="760"/>
        <v>NO</v>
      </c>
      <c r="T3327" t="s">
        <v>198</v>
      </c>
      <c r="U3327" t="str">
        <f t="shared" si="747"/>
        <v>Mount Auburn St</v>
      </c>
      <c r="V3327" t="s">
        <v>24</v>
      </c>
      <c r="W3327" t="str">
        <f t="shared" si="748"/>
        <v>Coolidge Ave</v>
      </c>
      <c r="X3327" t="str">
        <f>IF(ISBLANK(S3327),"Intersection","Non-Intersection")</f>
        <v>Intersection</v>
      </c>
      <c r="Y3327" t="s">
        <v>2019</v>
      </c>
      <c r="Z3327" t="str">
        <f t="shared" si="749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750"/>
        <v>40909</v>
      </c>
      <c r="D3328" s="4">
        <f t="shared" si="751"/>
        <v>0.12295081967213115</v>
      </c>
      <c r="E3328" s="3">
        <f t="shared" si="752"/>
        <v>2012</v>
      </c>
      <c r="F3328" s="3">
        <f t="shared" si="753"/>
        <v>2</v>
      </c>
      <c r="G3328" s="3">
        <f t="shared" si="754"/>
        <v>15</v>
      </c>
      <c r="H3328" s="3">
        <f t="shared" si="755"/>
        <v>9</v>
      </c>
      <c r="I3328" s="3">
        <f t="shared" si="756"/>
        <v>59</v>
      </c>
      <c r="J3328" s="3">
        <f t="shared" si="757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758"/>
        <v>YES</v>
      </c>
      <c r="Q3328" t="str">
        <f t="shared" si="759"/>
        <v>NO</v>
      </c>
      <c r="R3328" t="str">
        <f t="shared" si="760"/>
        <v>NO</v>
      </c>
      <c r="S3328">
        <v>4</v>
      </c>
      <c r="T3328" t="s">
        <v>550</v>
      </c>
      <c r="U3328" t="str">
        <f t="shared" si="747"/>
        <v>Upland Rd</v>
      </c>
      <c r="W3328" t="str">
        <f t="shared" si="748"/>
        <v/>
      </c>
      <c r="X3328" t="str">
        <f>IF(ISBLANK(S3328),"Intersection","Non-Intersection")</f>
        <v>Non-Intersection</v>
      </c>
      <c r="Y3328" t="s">
        <v>4220</v>
      </c>
      <c r="Z3328" t="str">
        <f t="shared" si="749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750"/>
        <v>40909</v>
      </c>
      <c r="D3329" s="4">
        <f t="shared" si="751"/>
        <v>0.12295081967213115</v>
      </c>
      <c r="E3329" s="3">
        <f t="shared" si="752"/>
        <v>2012</v>
      </c>
      <c r="F3329" s="3">
        <f t="shared" si="753"/>
        <v>2</v>
      </c>
      <c r="G3329" s="3">
        <f t="shared" si="754"/>
        <v>15</v>
      </c>
      <c r="H3329" s="3">
        <f t="shared" si="755"/>
        <v>12</v>
      </c>
      <c r="I3329" s="3">
        <f t="shared" si="756"/>
        <v>40</v>
      </c>
      <c r="J3329" s="3">
        <f t="shared" si="757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758"/>
        <v>YES</v>
      </c>
      <c r="Q3329" t="str">
        <f t="shared" si="759"/>
        <v>NO</v>
      </c>
      <c r="R3329" t="str">
        <f t="shared" si="760"/>
        <v>NO</v>
      </c>
      <c r="T3329" t="s">
        <v>14</v>
      </c>
      <c r="U3329" t="str">
        <f t="shared" si="747"/>
        <v>Massachusetts Ave</v>
      </c>
      <c r="V3329" t="s">
        <v>1088</v>
      </c>
      <c r="W3329" t="str">
        <f t="shared" si="748"/>
        <v>Temple St</v>
      </c>
      <c r="X3329" t="str">
        <f>IF(ISBLANK(S3329),"Intersection","Non-Intersection")</f>
        <v>Intersection</v>
      </c>
      <c r="Y3329" t="s">
        <v>1089</v>
      </c>
      <c r="Z3329" t="str">
        <f t="shared" si="749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750"/>
        <v>40909</v>
      </c>
      <c r="D3330" s="4">
        <f t="shared" si="751"/>
        <v>0.12295081967213115</v>
      </c>
      <c r="E3330" s="3">
        <f t="shared" si="752"/>
        <v>2012</v>
      </c>
      <c r="F3330" s="3">
        <f t="shared" si="753"/>
        <v>2</v>
      </c>
      <c r="G3330" s="3">
        <f t="shared" si="754"/>
        <v>15</v>
      </c>
      <c r="H3330" s="3">
        <f t="shared" si="755"/>
        <v>15</v>
      </c>
      <c r="I3330" s="3">
        <f t="shared" si="756"/>
        <v>47</v>
      </c>
      <c r="J3330" s="3">
        <f t="shared" si="757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758"/>
        <v>YES</v>
      </c>
      <c r="Q3330" t="str">
        <f t="shared" si="759"/>
        <v>NO</v>
      </c>
      <c r="R3330" t="str">
        <f t="shared" si="760"/>
        <v>NO</v>
      </c>
      <c r="T3330" t="s">
        <v>105</v>
      </c>
      <c r="U3330" t="str">
        <f t="shared" si="747"/>
        <v>Broadway</v>
      </c>
      <c r="V3330" t="s">
        <v>138</v>
      </c>
      <c r="W3330" t="str">
        <f t="shared" si="748"/>
        <v>Felton St</v>
      </c>
      <c r="X3330" t="str">
        <f>IF(ISBLANK(S3330),"Intersection","Non-Intersection")</f>
        <v>Intersection</v>
      </c>
      <c r="Y3330" t="s">
        <v>139</v>
      </c>
      <c r="Z3330" t="str">
        <f t="shared" si="749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750"/>
        <v>40909</v>
      </c>
      <c r="D3331" s="4">
        <f t="shared" si="751"/>
        <v>0.12295081967213115</v>
      </c>
      <c r="E3331" s="3">
        <f t="shared" si="752"/>
        <v>2012</v>
      </c>
      <c r="F3331" s="3">
        <f t="shared" si="753"/>
        <v>2</v>
      </c>
      <c r="G3331" s="3">
        <f t="shared" si="754"/>
        <v>15</v>
      </c>
      <c r="H3331" s="3">
        <f t="shared" si="755"/>
        <v>16</v>
      </c>
      <c r="I3331" s="3">
        <f t="shared" si="756"/>
        <v>25</v>
      </c>
      <c r="J3331" s="3">
        <f t="shared" si="757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758"/>
        <v>YES</v>
      </c>
      <c r="Q3331" t="str">
        <f t="shared" si="759"/>
        <v>NO</v>
      </c>
      <c r="R3331" t="str">
        <f t="shared" si="760"/>
        <v>YES</v>
      </c>
      <c r="S3331">
        <v>151</v>
      </c>
      <c r="T3331" t="s">
        <v>216</v>
      </c>
      <c r="U3331" t="str">
        <f t="shared" ref="U3331:U3394" si="761">TRIM(PROPER(T3331))</f>
        <v>Washington Ave</v>
      </c>
      <c r="W3331" t="str">
        <f t="shared" ref="W3331:W3394" si="762">TRIM(PROPER(V3331))</f>
        <v/>
      </c>
      <c r="X3331" t="str">
        <f>IF(ISBLANK(S3331),"Intersection","Non-Intersection")</f>
        <v>Non-Intersection</v>
      </c>
      <c r="Y3331" t="s">
        <v>4222</v>
      </c>
      <c r="Z3331" t="str">
        <f t="shared" ref="Z3331:Z3394" si="763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750"/>
        <v>40909</v>
      </c>
      <c r="D3332" s="4">
        <f t="shared" si="751"/>
        <v>0.12295081967213115</v>
      </c>
      <c r="E3332" s="3">
        <f t="shared" si="752"/>
        <v>2012</v>
      </c>
      <c r="F3332" s="3">
        <f t="shared" si="753"/>
        <v>2</v>
      </c>
      <c r="G3332" s="3">
        <f t="shared" si="754"/>
        <v>15</v>
      </c>
      <c r="H3332" s="3">
        <f t="shared" si="755"/>
        <v>18</v>
      </c>
      <c r="I3332" s="3">
        <f t="shared" si="756"/>
        <v>0</v>
      </c>
      <c r="J3332" s="3">
        <f t="shared" si="757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758"/>
        <v>YES</v>
      </c>
      <c r="Q3332" t="str">
        <f t="shared" si="759"/>
        <v>NO</v>
      </c>
      <c r="R3332" t="str">
        <f t="shared" si="760"/>
        <v>NO</v>
      </c>
      <c r="S3332">
        <v>4</v>
      </c>
      <c r="T3332" t="s">
        <v>550</v>
      </c>
      <c r="U3332" t="str">
        <f t="shared" si="761"/>
        <v>Upland Rd</v>
      </c>
      <c r="W3332" t="str">
        <f t="shared" si="762"/>
        <v/>
      </c>
      <c r="X3332" t="str">
        <f>IF(ISBLANK(S3332),"Intersection","Non-Intersection")</f>
        <v>Non-Intersection</v>
      </c>
      <c r="Y3332" t="s">
        <v>4220</v>
      </c>
      <c r="Z3332" t="str">
        <f t="shared" si="763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750"/>
        <v>40909</v>
      </c>
      <c r="D3333" s="4">
        <f t="shared" si="751"/>
        <v>0.12295081967213115</v>
      </c>
      <c r="E3333" s="3">
        <f t="shared" si="752"/>
        <v>2012</v>
      </c>
      <c r="F3333" s="3">
        <f t="shared" si="753"/>
        <v>2</v>
      </c>
      <c r="G3333" s="3">
        <f t="shared" si="754"/>
        <v>15</v>
      </c>
      <c r="H3333" s="3">
        <f t="shared" si="755"/>
        <v>12</v>
      </c>
      <c r="I3333" s="3">
        <f t="shared" si="756"/>
        <v>0</v>
      </c>
      <c r="J3333" s="3">
        <f t="shared" si="757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758"/>
        <v>YES</v>
      </c>
      <c r="Q3333" t="str">
        <f t="shared" si="759"/>
        <v>NO</v>
      </c>
      <c r="R3333" t="str">
        <f t="shared" si="760"/>
        <v>NO</v>
      </c>
      <c r="T3333" t="s">
        <v>326</v>
      </c>
      <c r="U3333" t="str">
        <f t="shared" si="761"/>
        <v>Jfk St</v>
      </c>
      <c r="W3333" t="str">
        <f t="shared" si="762"/>
        <v/>
      </c>
      <c r="X3333" t="str">
        <f>IF(ISBLANK(S3333),"Intersection","Non-Intersection")</f>
        <v>Intersection</v>
      </c>
      <c r="Y3333" t="s">
        <v>2551</v>
      </c>
      <c r="Z3333" t="str">
        <f t="shared" si="763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750"/>
        <v>40909</v>
      </c>
      <c r="D3334" s="4">
        <f t="shared" si="751"/>
        <v>0.12568306010928962</v>
      </c>
      <c r="E3334" s="3">
        <f t="shared" si="752"/>
        <v>2012</v>
      </c>
      <c r="F3334" s="3">
        <f t="shared" si="753"/>
        <v>2</v>
      </c>
      <c r="G3334" s="3">
        <f t="shared" si="754"/>
        <v>16</v>
      </c>
      <c r="H3334" s="3">
        <f t="shared" si="755"/>
        <v>9</v>
      </c>
      <c r="I3334" s="3">
        <f t="shared" si="756"/>
        <v>0</v>
      </c>
      <c r="J3334" s="3">
        <f t="shared" si="757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758"/>
        <v>YES</v>
      </c>
      <c r="Q3334" t="str">
        <f t="shared" si="759"/>
        <v>NO</v>
      </c>
      <c r="R3334" t="str">
        <f t="shared" si="760"/>
        <v>NO</v>
      </c>
      <c r="T3334" t="s">
        <v>203</v>
      </c>
      <c r="U3334" t="str">
        <f t="shared" si="761"/>
        <v>Memorial Dr</v>
      </c>
      <c r="W3334" t="str">
        <f t="shared" si="762"/>
        <v/>
      </c>
      <c r="X3334" t="str">
        <f>IF(ISBLANK(S3334),"Intersection","Non-Intersection")</f>
        <v>Intersection</v>
      </c>
      <c r="Y3334" t="s">
        <v>2085</v>
      </c>
      <c r="Z3334" t="str">
        <f t="shared" si="763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750"/>
        <v>40909</v>
      </c>
      <c r="D3335" s="4">
        <f t="shared" si="751"/>
        <v>0.12568306010928962</v>
      </c>
      <c r="E3335" s="3">
        <f t="shared" si="752"/>
        <v>2012</v>
      </c>
      <c r="F3335" s="3">
        <f t="shared" si="753"/>
        <v>2</v>
      </c>
      <c r="G3335" s="3">
        <f t="shared" si="754"/>
        <v>16</v>
      </c>
      <c r="H3335" s="3">
        <f t="shared" si="755"/>
        <v>11</v>
      </c>
      <c r="I3335" s="3">
        <f t="shared" si="756"/>
        <v>15</v>
      </c>
      <c r="J3335" s="3">
        <f t="shared" si="757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758"/>
        <v>YES</v>
      </c>
      <c r="Q3335" t="str">
        <f t="shared" si="759"/>
        <v>NO</v>
      </c>
      <c r="R3335" t="str">
        <f t="shared" si="760"/>
        <v>YES</v>
      </c>
      <c r="T3335" t="s">
        <v>19</v>
      </c>
      <c r="U3335" t="str">
        <f t="shared" si="761"/>
        <v>Cambridge St</v>
      </c>
      <c r="V3335" t="s">
        <v>189</v>
      </c>
      <c r="W3335" t="str">
        <f t="shared" si="762"/>
        <v>Windsor St</v>
      </c>
      <c r="X3335" t="str">
        <f>IF(ISBLANK(S3335),"Intersection","Non-Intersection")</f>
        <v>Intersection</v>
      </c>
      <c r="Y3335" t="s">
        <v>244</v>
      </c>
      <c r="Z3335" t="str">
        <f t="shared" si="763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750"/>
        <v>40909</v>
      </c>
      <c r="D3336" s="4">
        <f t="shared" si="751"/>
        <v>0.12841530054644809</v>
      </c>
      <c r="E3336" s="3">
        <f t="shared" si="752"/>
        <v>2012</v>
      </c>
      <c r="F3336" s="3">
        <f t="shared" si="753"/>
        <v>2</v>
      </c>
      <c r="G3336" s="3">
        <f t="shared" si="754"/>
        <v>17</v>
      </c>
      <c r="H3336" s="3">
        <f t="shared" si="755"/>
        <v>9</v>
      </c>
      <c r="I3336" s="3">
        <f t="shared" si="756"/>
        <v>0</v>
      </c>
      <c r="J3336" s="3">
        <f t="shared" si="757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758"/>
        <v>YES</v>
      </c>
      <c r="Q3336" t="str">
        <f t="shared" si="759"/>
        <v>NO</v>
      </c>
      <c r="R3336" t="str">
        <f t="shared" si="760"/>
        <v>NO</v>
      </c>
      <c r="T3336" t="s">
        <v>14</v>
      </c>
      <c r="U3336" t="str">
        <f t="shared" si="761"/>
        <v>Massachusetts Ave</v>
      </c>
      <c r="V3336" t="s">
        <v>1830</v>
      </c>
      <c r="W3336" t="str">
        <f t="shared" si="762"/>
        <v>Gladstone St</v>
      </c>
      <c r="X3336" t="str">
        <f>IF(ISBLANK(S3336),"Intersection","Non-Intersection")</f>
        <v>Intersection</v>
      </c>
      <c r="Y3336" t="s">
        <v>1831</v>
      </c>
      <c r="Z3336" t="str">
        <f t="shared" si="763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750"/>
        <v>40909</v>
      </c>
      <c r="D3337" s="4">
        <f t="shared" si="751"/>
        <v>0.12841530054644809</v>
      </c>
      <c r="E3337" s="3">
        <f t="shared" si="752"/>
        <v>2012</v>
      </c>
      <c r="F3337" s="3">
        <f t="shared" si="753"/>
        <v>2</v>
      </c>
      <c r="G3337" s="3">
        <f t="shared" si="754"/>
        <v>17</v>
      </c>
      <c r="H3337" s="3">
        <f t="shared" si="755"/>
        <v>15</v>
      </c>
      <c r="I3337" s="3">
        <f t="shared" si="756"/>
        <v>0</v>
      </c>
      <c r="J3337" s="3">
        <f t="shared" si="757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758"/>
        <v>YES</v>
      </c>
      <c r="Q3337" t="str">
        <f t="shared" si="759"/>
        <v>YES</v>
      </c>
      <c r="R3337" t="str">
        <f t="shared" si="760"/>
        <v>NO</v>
      </c>
      <c r="S3337">
        <v>2274</v>
      </c>
      <c r="T3337" t="s">
        <v>14</v>
      </c>
      <c r="U3337" t="str">
        <f t="shared" si="761"/>
        <v>Massachusetts Ave</v>
      </c>
      <c r="W3337" t="str">
        <f t="shared" si="762"/>
        <v/>
      </c>
      <c r="X3337" t="str">
        <f>IF(ISBLANK(S3337),"Intersection","Non-Intersection")</f>
        <v>Non-Intersection</v>
      </c>
      <c r="Y3337" t="s">
        <v>4224</v>
      </c>
      <c r="Z3337" t="str">
        <f t="shared" si="763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750"/>
        <v>40909</v>
      </c>
      <c r="D3338" s="4">
        <f t="shared" si="751"/>
        <v>0.12841530054644809</v>
      </c>
      <c r="E3338" s="3">
        <f t="shared" si="752"/>
        <v>2012</v>
      </c>
      <c r="F3338" s="3">
        <f t="shared" si="753"/>
        <v>2</v>
      </c>
      <c r="G3338" s="3">
        <f t="shared" si="754"/>
        <v>17</v>
      </c>
      <c r="H3338" s="3">
        <f t="shared" si="755"/>
        <v>15</v>
      </c>
      <c r="I3338" s="3">
        <f t="shared" si="756"/>
        <v>10</v>
      </c>
      <c r="J3338" s="3">
        <f t="shared" si="757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758"/>
        <v>YES</v>
      </c>
      <c r="Q3338" t="str">
        <f t="shared" si="759"/>
        <v>NO</v>
      </c>
      <c r="R3338" t="str">
        <f t="shared" si="760"/>
        <v>YES</v>
      </c>
      <c r="T3338" t="s">
        <v>45</v>
      </c>
      <c r="U3338" t="str">
        <f t="shared" si="761"/>
        <v>Sherman St</v>
      </c>
      <c r="W3338" t="str">
        <f t="shared" si="762"/>
        <v/>
      </c>
      <c r="X3338" t="str">
        <f>IF(ISBLANK(S3338),"Intersection","Non-Intersection")</f>
        <v>Intersection</v>
      </c>
      <c r="Y3338" t="s">
        <v>4225</v>
      </c>
      <c r="Z3338" t="str">
        <f t="shared" si="763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750"/>
        <v>40909</v>
      </c>
      <c r="D3339" s="4">
        <f t="shared" si="751"/>
        <v>0.12841530054644809</v>
      </c>
      <c r="E3339" s="3">
        <f t="shared" si="752"/>
        <v>2012</v>
      </c>
      <c r="F3339" s="3">
        <f t="shared" si="753"/>
        <v>2</v>
      </c>
      <c r="G3339" s="3">
        <f t="shared" si="754"/>
        <v>17</v>
      </c>
      <c r="H3339" s="3">
        <f t="shared" si="755"/>
        <v>15</v>
      </c>
      <c r="I3339" s="3">
        <f t="shared" si="756"/>
        <v>53</v>
      </c>
      <c r="J3339" s="3">
        <f t="shared" si="757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758"/>
        <v>YES</v>
      </c>
      <c r="Q3339" t="str">
        <f t="shared" si="759"/>
        <v>NO</v>
      </c>
      <c r="R3339" t="str">
        <f t="shared" si="760"/>
        <v>YES</v>
      </c>
      <c r="S3339">
        <v>13</v>
      </c>
      <c r="T3339" t="s">
        <v>667</v>
      </c>
      <c r="U3339" t="str">
        <f t="shared" si="761"/>
        <v>Tremont St</v>
      </c>
      <c r="W3339" t="str">
        <f t="shared" si="762"/>
        <v/>
      </c>
      <c r="X3339" t="str">
        <f>IF(ISBLANK(S3339),"Intersection","Non-Intersection")</f>
        <v>Non-Intersection</v>
      </c>
      <c r="Y3339" t="s">
        <v>4226</v>
      </c>
      <c r="Z3339" t="str">
        <f t="shared" si="763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750"/>
        <v>40909</v>
      </c>
      <c r="D3340" s="4">
        <f t="shared" si="751"/>
        <v>0.12841530054644809</v>
      </c>
      <c r="E3340" s="3">
        <f t="shared" si="752"/>
        <v>2012</v>
      </c>
      <c r="F3340" s="3">
        <f t="shared" si="753"/>
        <v>2</v>
      </c>
      <c r="G3340" s="3">
        <f t="shared" si="754"/>
        <v>17</v>
      </c>
      <c r="H3340" s="3">
        <f t="shared" si="755"/>
        <v>18</v>
      </c>
      <c r="I3340" s="3">
        <f t="shared" si="756"/>
        <v>59</v>
      </c>
      <c r="J3340" s="3">
        <f t="shared" si="757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758"/>
        <v>YES</v>
      </c>
      <c r="Q3340" t="str">
        <f t="shared" si="759"/>
        <v>NO</v>
      </c>
      <c r="R3340" t="str">
        <f t="shared" si="760"/>
        <v>NO</v>
      </c>
      <c r="S3340">
        <v>100</v>
      </c>
      <c r="T3340" t="s">
        <v>1062</v>
      </c>
      <c r="U3340" t="str">
        <f t="shared" si="761"/>
        <v>Cambridgeside Pl</v>
      </c>
      <c r="W3340" t="str">
        <f t="shared" si="762"/>
        <v/>
      </c>
      <c r="X3340" t="str">
        <f>IF(ISBLANK(S3340),"Intersection","Non-Intersection")</f>
        <v>Non-Intersection</v>
      </c>
      <c r="Y3340" t="s">
        <v>1143</v>
      </c>
      <c r="Z3340" t="str">
        <f t="shared" si="763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750"/>
        <v>40909</v>
      </c>
      <c r="D3341" s="4">
        <f t="shared" si="751"/>
        <v>0.13114754098360656</v>
      </c>
      <c r="E3341" s="3">
        <f t="shared" si="752"/>
        <v>2012</v>
      </c>
      <c r="F3341" s="3">
        <f t="shared" si="753"/>
        <v>2</v>
      </c>
      <c r="G3341" s="3">
        <f t="shared" si="754"/>
        <v>18</v>
      </c>
      <c r="H3341" s="3">
        <f t="shared" si="755"/>
        <v>2</v>
      </c>
      <c r="I3341" s="3">
        <f t="shared" si="756"/>
        <v>15</v>
      </c>
      <c r="J3341" s="3">
        <f t="shared" si="757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758"/>
        <v>YES</v>
      </c>
      <c r="Q3341" t="str">
        <f t="shared" si="759"/>
        <v>NO</v>
      </c>
      <c r="R3341" t="str">
        <f t="shared" si="760"/>
        <v>NO</v>
      </c>
      <c r="T3341" t="s">
        <v>342</v>
      </c>
      <c r="U3341" t="str">
        <f t="shared" si="761"/>
        <v>Prospect St</v>
      </c>
      <c r="V3341" t="s">
        <v>133</v>
      </c>
      <c r="W3341" t="str">
        <f t="shared" si="762"/>
        <v>Harvard St</v>
      </c>
      <c r="X3341" t="str">
        <f>IF(ISBLANK(S3341),"Intersection","Non-Intersection")</f>
        <v>Intersection</v>
      </c>
      <c r="Y3341" t="s">
        <v>884</v>
      </c>
      <c r="Z3341" t="str">
        <f t="shared" si="763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750"/>
        <v>40909</v>
      </c>
      <c r="D3342" s="4">
        <f t="shared" si="751"/>
        <v>0.13114754098360656</v>
      </c>
      <c r="E3342" s="3">
        <f t="shared" si="752"/>
        <v>2012</v>
      </c>
      <c r="F3342" s="3">
        <f t="shared" si="753"/>
        <v>2</v>
      </c>
      <c r="G3342" s="3">
        <f t="shared" si="754"/>
        <v>18</v>
      </c>
      <c r="H3342" s="3">
        <f t="shared" si="755"/>
        <v>7</v>
      </c>
      <c r="I3342" s="3">
        <f t="shared" si="756"/>
        <v>40</v>
      </c>
      <c r="J3342" s="3">
        <f t="shared" si="757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758"/>
        <v>YES</v>
      </c>
      <c r="Q3342" t="str">
        <f t="shared" si="759"/>
        <v>NO</v>
      </c>
      <c r="R3342" t="str">
        <f t="shared" si="760"/>
        <v>NO</v>
      </c>
      <c r="T3342" t="s">
        <v>108</v>
      </c>
      <c r="U3342" t="str">
        <f t="shared" si="761"/>
        <v>Franklin St</v>
      </c>
      <c r="V3342" t="s">
        <v>37</v>
      </c>
      <c r="W3342" t="str">
        <f t="shared" si="762"/>
        <v>Magazine St</v>
      </c>
      <c r="X3342" t="str">
        <f>IF(ISBLANK(S3342),"Intersection","Non-Intersection")</f>
        <v>Intersection</v>
      </c>
      <c r="Y3342" t="s">
        <v>4228</v>
      </c>
      <c r="Z3342" t="str">
        <f t="shared" si="763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750"/>
        <v>40909</v>
      </c>
      <c r="D3343" s="4">
        <f t="shared" si="751"/>
        <v>0.13114754098360656</v>
      </c>
      <c r="E3343" s="3">
        <f t="shared" si="752"/>
        <v>2012</v>
      </c>
      <c r="F3343" s="3">
        <f t="shared" si="753"/>
        <v>2</v>
      </c>
      <c r="G3343" s="3">
        <f t="shared" si="754"/>
        <v>18</v>
      </c>
      <c r="H3343" s="3">
        <f t="shared" si="755"/>
        <v>16</v>
      </c>
      <c r="I3343" s="3">
        <f t="shared" si="756"/>
        <v>47</v>
      </c>
      <c r="J3343" s="3">
        <f t="shared" si="757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758"/>
        <v>YES</v>
      </c>
      <c r="Q3343" t="str">
        <f t="shared" si="759"/>
        <v>NO</v>
      </c>
      <c r="R3343" t="str">
        <f t="shared" si="760"/>
        <v>NO</v>
      </c>
      <c r="S3343">
        <v>58</v>
      </c>
      <c r="T3343" t="s">
        <v>993</v>
      </c>
      <c r="U3343" t="str">
        <f t="shared" si="761"/>
        <v>Fifth St</v>
      </c>
      <c r="W3343" t="str">
        <f t="shared" si="762"/>
        <v/>
      </c>
      <c r="X3343" t="str">
        <f>IF(ISBLANK(S3343),"Intersection","Non-Intersection")</f>
        <v>Non-Intersection</v>
      </c>
      <c r="Y3343" t="s">
        <v>4230</v>
      </c>
      <c r="Z3343" t="str">
        <f t="shared" si="763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750"/>
        <v>40909</v>
      </c>
      <c r="D3344" s="4">
        <f t="shared" si="751"/>
        <v>0.13114754098360656</v>
      </c>
      <c r="E3344" s="3">
        <f t="shared" si="752"/>
        <v>2012</v>
      </c>
      <c r="F3344" s="3">
        <f t="shared" si="753"/>
        <v>2</v>
      </c>
      <c r="G3344" s="3">
        <f t="shared" si="754"/>
        <v>18</v>
      </c>
      <c r="H3344" s="3">
        <f t="shared" si="755"/>
        <v>21</v>
      </c>
      <c r="I3344" s="3">
        <f t="shared" si="756"/>
        <v>59</v>
      </c>
      <c r="J3344" s="3">
        <f t="shared" si="757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758"/>
        <v>YES</v>
      </c>
      <c r="Q3344" t="str">
        <f t="shared" si="759"/>
        <v>NO</v>
      </c>
      <c r="R3344" t="str">
        <f t="shared" si="760"/>
        <v>NO</v>
      </c>
      <c r="S3344">
        <v>123</v>
      </c>
      <c r="T3344" t="s">
        <v>1158</v>
      </c>
      <c r="U3344" t="str">
        <f t="shared" si="761"/>
        <v>Clifton St</v>
      </c>
      <c r="W3344" t="str">
        <f t="shared" si="762"/>
        <v/>
      </c>
      <c r="X3344" t="str">
        <f>IF(ISBLANK(S3344),"Intersection","Non-Intersection")</f>
        <v>Non-Intersection</v>
      </c>
      <c r="Y3344" t="s">
        <v>4232</v>
      </c>
      <c r="Z3344" t="str">
        <f t="shared" si="763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750"/>
        <v>40909</v>
      </c>
      <c r="D3345" s="4">
        <f t="shared" si="751"/>
        <v>0.13114754098360656</v>
      </c>
      <c r="E3345" s="3">
        <f t="shared" si="752"/>
        <v>2012</v>
      </c>
      <c r="F3345" s="3">
        <f t="shared" si="753"/>
        <v>2</v>
      </c>
      <c r="G3345" s="3">
        <f t="shared" si="754"/>
        <v>18</v>
      </c>
      <c r="H3345" s="3">
        <f t="shared" si="755"/>
        <v>8</v>
      </c>
      <c r="I3345" s="3">
        <f t="shared" si="756"/>
        <v>42</v>
      </c>
      <c r="J3345" s="3">
        <f t="shared" si="757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758"/>
        <v>YES</v>
      </c>
      <c r="Q3345" t="str">
        <f t="shared" si="759"/>
        <v>NO</v>
      </c>
      <c r="R3345" t="str">
        <f t="shared" si="760"/>
        <v>YES</v>
      </c>
      <c r="T3345" t="s">
        <v>198</v>
      </c>
      <c r="U3345" t="str">
        <f t="shared" si="761"/>
        <v>Mount Auburn St</v>
      </c>
      <c r="V3345" t="s">
        <v>208</v>
      </c>
      <c r="W3345" t="str">
        <f t="shared" si="762"/>
        <v>Sparks St</v>
      </c>
      <c r="X3345" t="str">
        <f>IF(ISBLANK(S3345),"Intersection","Non-Intersection")</f>
        <v>Intersection</v>
      </c>
      <c r="Y3345" t="s">
        <v>770</v>
      </c>
      <c r="Z3345" t="str">
        <f t="shared" si="763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750"/>
        <v>40909</v>
      </c>
      <c r="D3346" s="4">
        <f t="shared" si="751"/>
        <v>0.13114754098360656</v>
      </c>
      <c r="E3346" s="3">
        <f t="shared" si="752"/>
        <v>2012</v>
      </c>
      <c r="F3346" s="3">
        <f t="shared" si="753"/>
        <v>2</v>
      </c>
      <c r="G3346" s="3">
        <f t="shared" si="754"/>
        <v>18</v>
      </c>
      <c r="H3346" s="3">
        <f t="shared" si="755"/>
        <v>8</v>
      </c>
      <c r="I3346" s="3">
        <f t="shared" si="756"/>
        <v>42</v>
      </c>
      <c r="J3346" s="3">
        <f t="shared" si="757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758"/>
        <v>YES</v>
      </c>
      <c r="Q3346" t="str">
        <f t="shared" si="759"/>
        <v>NO</v>
      </c>
      <c r="R3346" t="str">
        <f t="shared" si="760"/>
        <v>YES</v>
      </c>
      <c r="T3346" t="s">
        <v>198</v>
      </c>
      <c r="U3346" t="str">
        <f t="shared" si="761"/>
        <v>Mount Auburn St</v>
      </c>
      <c r="V3346" t="s">
        <v>208</v>
      </c>
      <c r="W3346" t="str">
        <f t="shared" si="762"/>
        <v>Sparks St</v>
      </c>
      <c r="X3346" t="str">
        <f>IF(ISBLANK(S3346),"Intersection","Non-Intersection")</f>
        <v>Intersection</v>
      </c>
      <c r="Y3346" t="s">
        <v>770</v>
      </c>
      <c r="Z3346" t="str">
        <f t="shared" si="763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750"/>
        <v>40909</v>
      </c>
      <c r="D3347" s="4">
        <f t="shared" si="751"/>
        <v>0.13387978142076504</v>
      </c>
      <c r="E3347" s="3">
        <f t="shared" si="752"/>
        <v>2012</v>
      </c>
      <c r="F3347" s="3">
        <f t="shared" si="753"/>
        <v>2</v>
      </c>
      <c r="G3347" s="3">
        <f t="shared" si="754"/>
        <v>19</v>
      </c>
      <c r="H3347" s="3">
        <f t="shared" si="755"/>
        <v>14</v>
      </c>
      <c r="I3347" s="3">
        <f t="shared" si="756"/>
        <v>29</v>
      </c>
      <c r="J3347" s="3">
        <f t="shared" si="757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758"/>
        <v>YES</v>
      </c>
      <c r="Q3347" t="str">
        <f t="shared" si="759"/>
        <v>NO</v>
      </c>
      <c r="R3347" t="str">
        <f t="shared" si="760"/>
        <v>NO</v>
      </c>
      <c r="S3347">
        <v>186</v>
      </c>
      <c r="T3347" t="s">
        <v>170</v>
      </c>
      <c r="U3347" t="str">
        <f t="shared" si="761"/>
        <v>Alewife Brook Pky</v>
      </c>
      <c r="W3347" t="str">
        <f t="shared" si="762"/>
        <v/>
      </c>
      <c r="X3347" t="str">
        <f>IF(ISBLANK(S3347),"Intersection","Non-Intersection")</f>
        <v>Non-Intersection</v>
      </c>
      <c r="Y3347" t="s">
        <v>242</v>
      </c>
      <c r="Z3347" t="str">
        <f t="shared" si="763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750"/>
        <v>40909</v>
      </c>
      <c r="D3348" s="4">
        <f t="shared" si="751"/>
        <v>0.13387978142076504</v>
      </c>
      <c r="E3348" s="3">
        <f t="shared" si="752"/>
        <v>2012</v>
      </c>
      <c r="F3348" s="3">
        <f t="shared" si="753"/>
        <v>2</v>
      </c>
      <c r="G3348" s="3">
        <f t="shared" si="754"/>
        <v>19</v>
      </c>
      <c r="H3348" s="3">
        <f t="shared" si="755"/>
        <v>13</v>
      </c>
      <c r="I3348" s="3">
        <f t="shared" si="756"/>
        <v>14</v>
      </c>
      <c r="J3348" s="3">
        <f t="shared" si="757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758"/>
        <v>YES</v>
      </c>
      <c r="Q3348" t="str">
        <f t="shared" si="759"/>
        <v>NO</v>
      </c>
      <c r="R3348" t="str">
        <f t="shared" si="760"/>
        <v>YES</v>
      </c>
      <c r="T3348" t="s">
        <v>14</v>
      </c>
      <c r="U3348" t="str">
        <f t="shared" si="761"/>
        <v>Massachusetts Ave</v>
      </c>
      <c r="V3348" t="s">
        <v>805</v>
      </c>
      <c r="W3348" t="str">
        <f t="shared" si="762"/>
        <v>Trowbridge St</v>
      </c>
      <c r="X3348" t="str">
        <f>IF(ISBLANK(S3348),"Intersection","Non-Intersection")</f>
        <v>Intersection</v>
      </c>
      <c r="Y3348" t="s">
        <v>4234</v>
      </c>
      <c r="Z3348" t="str">
        <f t="shared" si="763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750"/>
        <v>40909</v>
      </c>
      <c r="D3349" s="4">
        <f t="shared" si="751"/>
        <v>0.13661202185792351</v>
      </c>
      <c r="E3349" s="3">
        <f t="shared" si="752"/>
        <v>2012</v>
      </c>
      <c r="F3349" s="3">
        <f t="shared" si="753"/>
        <v>2</v>
      </c>
      <c r="G3349" s="3">
        <f t="shared" si="754"/>
        <v>20</v>
      </c>
      <c r="H3349" s="3">
        <f t="shared" si="755"/>
        <v>15</v>
      </c>
      <c r="I3349" s="3">
        <f t="shared" si="756"/>
        <v>10</v>
      </c>
      <c r="J3349" s="3">
        <f t="shared" si="757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758"/>
        <v>YES</v>
      </c>
      <c r="Q3349" t="str">
        <f t="shared" si="759"/>
        <v>NO</v>
      </c>
      <c r="R3349" t="str">
        <f t="shared" si="760"/>
        <v>NO</v>
      </c>
      <c r="T3349" t="s">
        <v>958</v>
      </c>
      <c r="U3349" t="str">
        <f t="shared" si="761"/>
        <v>Pacific St</v>
      </c>
      <c r="V3349" t="s">
        <v>195</v>
      </c>
      <c r="W3349" t="str">
        <f t="shared" si="762"/>
        <v>Sidney St</v>
      </c>
      <c r="X3349" t="str">
        <f>IF(ISBLANK(S3349),"Intersection","Non-Intersection")</f>
        <v>Intersection</v>
      </c>
      <c r="Y3349" t="s">
        <v>4237</v>
      </c>
      <c r="Z3349" t="str">
        <f t="shared" si="763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750"/>
        <v>40909</v>
      </c>
      <c r="D3350" s="4">
        <f t="shared" si="751"/>
        <v>0.13934426229508196</v>
      </c>
      <c r="E3350" s="3">
        <f t="shared" si="752"/>
        <v>2012</v>
      </c>
      <c r="F3350" s="3">
        <f t="shared" si="753"/>
        <v>2</v>
      </c>
      <c r="G3350" s="3">
        <f t="shared" si="754"/>
        <v>21</v>
      </c>
      <c r="H3350" s="3">
        <f t="shared" si="755"/>
        <v>8</v>
      </c>
      <c r="I3350" s="3">
        <f t="shared" si="756"/>
        <v>10</v>
      </c>
      <c r="J3350" s="3">
        <f t="shared" si="757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758"/>
        <v>YES</v>
      </c>
      <c r="Q3350" t="str">
        <f t="shared" si="759"/>
        <v>NO</v>
      </c>
      <c r="R3350" t="str">
        <f t="shared" si="760"/>
        <v>NO</v>
      </c>
      <c r="T3350" t="s">
        <v>198</v>
      </c>
      <c r="U3350" t="str">
        <f t="shared" si="761"/>
        <v>Mount Auburn St</v>
      </c>
      <c r="V3350" t="s">
        <v>464</v>
      </c>
      <c r="W3350" t="str">
        <f t="shared" si="762"/>
        <v>Aberdeen Way</v>
      </c>
      <c r="X3350" t="str">
        <f>IF(ISBLANK(S3350),"Intersection","Non-Intersection")</f>
        <v>Intersection</v>
      </c>
      <c r="Y3350" t="s">
        <v>1666</v>
      </c>
      <c r="Z3350" t="str">
        <f t="shared" si="763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750"/>
        <v>40909</v>
      </c>
      <c r="D3351" s="4">
        <f t="shared" si="751"/>
        <v>0.13934426229508196</v>
      </c>
      <c r="E3351" s="3">
        <f t="shared" si="752"/>
        <v>2012</v>
      </c>
      <c r="F3351" s="3">
        <f t="shared" si="753"/>
        <v>2</v>
      </c>
      <c r="G3351" s="3">
        <f t="shared" si="754"/>
        <v>21</v>
      </c>
      <c r="H3351" s="3">
        <f t="shared" si="755"/>
        <v>9</v>
      </c>
      <c r="I3351" s="3">
        <f t="shared" si="756"/>
        <v>0</v>
      </c>
      <c r="J3351" s="3">
        <f t="shared" si="757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758"/>
        <v>YES</v>
      </c>
      <c r="Q3351" t="str">
        <f t="shared" si="759"/>
        <v>NO</v>
      </c>
      <c r="R3351" t="str">
        <f t="shared" si="760"/>
        <v>NO</v>
      </c>
      <c r="T3351" t="s">
        <v>14</v>
      </c>
      <c r="U3351" t="str">
        <f t="shared" si="761"/>
        <v>Massachusetts Ave</v>
      </c>
      <c r="V3351" t="s">
        <v>342</v>
      </c>
      <c r="W3351" t="str">
        <f t="shared" si="762"/>
        <v>Prospect St</v>
      </c>
      <c r="X3351" t="str">
        <f>IF(ISBLANK(S3351),"Intersection","Non-Intersection")</f>
        <v>Intersection</v>
      </c>
      <c r="Y3351" t="s">
        <v>2590</v>
      </c>
      <c r="Z3351" t="str">
        <f t="shared" si="763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750"/>
        <v>40909</v>
      </c>
      <c r="D3352" s="4">
        <f t="shared" si="751"/>
        <v>0.13934426229508196</v>
      </c>
      <c r="E3352" s="3">
        <f t="shared" si="752"/>
        <v>2012</v>
      </c>
      <c r="F3352" s="3">
        <f t="shared" si="753"/>
        <v>2</v>
      </c>
      <c r="G3352" s="3">
        <f t="shared" si="754"/>
        <v>21</v>
      </c>
      <c r="H3352" s="3">
        <f t="shared" si="755"/>
        <v>9</v>
      </c>
      <c r="I3352" s="3">
        <f t="shared" si="756"/>
        <v>43</v>
      </c>
      <c r="J3352" s="3">
        <f t="shared" si="757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758"/>
        <v>YES</v>
      </c>
      <c r="Q3352" t="str">
        <f t="shared" si="759"/>
        <v>NO</v>
      </c>
      <c r="R3352" t="str">
        <f t="shared" si="760"/>
        <v>NO</v>
      </c>
      <c r="T3352" t="s">
        <v>37</v>
      </c>
      <c r="U3352" t="str">
        <f t="shared" si="761"/>
        <v>Magazine St</v>
      </c>
      <c r="V3352" t="s">
        <v>312</v>
      </c>
      <c r="W3352" t="str">
        <f t="shared" si="762"/>
        <v>Auburn St</v>
      </c>
      <c r="X3352" t="str">
        <f>IF(ISBLANK(S3352),"Intersection","Non-Intersection")</f>
        <v>Intersection</v>
      </c>
      <c r="Y3352" t="s">
        <v>313</v>
      </c>
      <c r="Z3352" t="str">
        <f t="shared" si="763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750"/>
        <v>40909</v>
      </c>
      <c r="D3353" s="4">
        <f t="shared" si="751"/>
        <v>0.13934426229508196</v>
      </c>
      <c r="E3353" s="3">
        <f t="shared" si="752"/>
        <v>2012</v>
      </c>
      <c r="F3353" s="3">
        <f t="shared" si="753"/>
        <v>2</v>
      </c>
      <c r="G3353" s="3">
        <f t="shared" si="754"/>
        <v>21</v>
      </c>
      <c r="H3353" s="3">
        <f t="shared" si="755"/>
        <v>12</v>
      </c>
      <c r="I3353" s="3">
        <f t="shared" si="756"/>
        <v>10</v>
      </c>
      <c r="J3353" s="3">
        <f t="shared" si="757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758"/>
        <v>YES</v>
      </c>
      <c r="Q3353" t="str">
        <f t="shared" si="759"/>
        <v>NO</v>
      </c>
      <c r="R3353" t="str">
        <f t="shared" si="760"/>
        <v>NO</v>
      </c>
      <c r="S3353">
        <v>140</v>
      </c>
      <c r="T3353" t="s">
        <v>133</v>
      </c>
      <c r="U3353" t="str">
        <f t="shared" si="761"/>
        <v>Harvard St</v>
      </c>
      <c r="W3353" t="str">
        <f t="shared" si="762"/>
        <v/>
      </c>
      <c r="X3353" t="str">
        <f>IF(ISBLANK(S3353),"Intersection","Non-Intersection")</f>
        <v>Non-Intersection</v>
      </c>
      <c r="Y3353" t="s">
        <v>4238</v>
      </c>
      <c r="Z3353" t="str">
        <f t="shared" si="763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750"/>
        <v>40909</v>
      </c>
      <c r="D3354" s="4">
        <f t="shared" si="751"/>
        <v>0.14207650273224043</v>
      </c>
      <c r="E3354" s="3">
        <f t="shared" si="752"/>
        <v>2012</v>
      </c>
      <c r="F3354" s="3">
        <f t="shared" si="753"/>
        <v>2</v>
      </c>
      <c r="G3354" s="3">
        <f t="shared" si="754"/>
        <v>22</v>
      </c>
      <c r="H3354" s="3">
        <f t="shared" si="755"/>
        <v>17</v>
      </c>
      <c r="I3354" s="3">
        <f t="shared" si="756"/>
        <v>49</v>
      </c>
      <c r="J3354" s="3">
        <f t="shared" si="757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758"/>
        <v>YES</v>
      </c>
      <c r="Q3354" t="str">
        <f t="shared" si="759"/>
        <v>YES</v>
      </c>
      <c r="R3354" t="str">
        <f t="shared" si="760"/>
        <v>NO</v>
      </c>
      <c r="T3354" t="s">
        <v>105</v>
      </c>
      <c r="U3354" t="str">
        <f t="shared" si="761"/>
        <v>Broadway</v>
      </c>
      <c r="V3354" t="s">
        <v>942</v>
      </c>
      <c r="W3354" t="str">
        <f t="shared" si="762"/>
        <v>Amory St</v>
      </c>
      <c r="X3354" t="str">
        <f>IF(ISBLANK(S3354),"Intersection","Non-Intersection")</f>
        <v>Intersection</v>
      </c>
      <c r="Y3354" t="s">
        <v>4240</v>
      </c>
      <c r="Z3354" t="str">
        <f t="shared" si="763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750"/>
        <v>40909</v>
      </c>
      <c r="D3355" s="4">
        <f t="shared" si="751"/>
        <v>0.14207650273224043</v>
      </c>
      <c r="E3355" s="3">
        <f t="shared" si="752"/>
        <v>2012</v>
      </c>
      <c r="F3355" s="3">
        <f t="shared" si="753"/>
        <v>2</v>
      </c>
      <c r="G3355" s="3">
        <f t="shared" si="754"/>
        <v>22</v>
      </c>
      <c r="H3355" s="3">
        <f t="shared" si="755"/>
        <v>18</v>
      </c>
      <c r="I3355" s="3">
        <f t="shared" si="756"/>
        <v>10</v>
      </c>
      <c r="J3355" s="3">
        <f t="shared" si="757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758"/>
        <v>YES</v>
      </c>
      <c r="Q3355" t="str">
        <f t="shared" si="759"/>
        <v>NO</v>
      </c>
      <c r="R3355" t="str">
        <f t="shared" si="760"/>
        <v>NO</v>
      </c>
      <c r="T3355" t="s">
        <v>19</v>
      </c>
      <c r="U3355" t="str">
        <f t="shared" si="761"/>
        <v>Cambridge St</v>
      </c>
      <c r="V3355" t="s">
        <v>1520</v>
      </c>
      <c r="W3355" t="str">
        <f t="shared" si="762"/>
        <v>Fayette St</v>
      </c>
      <c r="X3355" t="str">
        <f>IF(ISBLANK(S3355),"Intersection","Non-Intersection")</f>
        <v>Intersection</v>
      </c>
      <c r="Y3355" t="s">
        <v>1521</v>
      </c>
      <c r="Z3355" t="str">
        <f t="shared" si="763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750"/>
        <v>40909</v>
      </c>
      <c r="D3356" s="4">
        <f t="shared" si="751"/>
        <v>0.14207650273224043</v>
      </c>
      <c r="E3356" s="3">
        <f t="shared" si="752"/>
        <v>2012</v>
      </c>
      <c r="F3356" s="3">
        <f t="shared" si="753"/>
        <v>2</v>
      </c>
      <c r="G3356" s="3">
        <f t="shared" si="754"/>
        <v>22</v>
      </c>
      <c r="H3356" s="3">
        <f t="shared" si="755"/>
        <v>19</v>
      </c>
      <c r="I3356" s="3">
        <f t="shared" si="756"/>
        <v>30</v>
      </c>
      <c r="J3356" s="3">
        <f t="shared" si="757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758"/>
        <v>YES</v>
      </c>
      <c r="Q3356" t="str">
        <f t="shared" si="759"/>
        <v>NO</v>
      </c>
      <c r="R3356" t="str">
        <f t="shared" si="760"/>
        <v>YES</v>
      </c>
      <c r="T3356" t="s">
        <v>19</v>
      </c>
      <c r="U3356" t="str">
        <f t="shared" si="761"/>
        <v>Cambridge St</v>
      </c>
      <c r="V3356" t="s">
        <v>498</v>
      </c>
      <c r="W3356" t="str">
        <f t="shared" si="762"/>
        <v>Ellery St</v>
      </c>
      <c r="X3356" t="str">
        <f>IF(ISBLANK(S3356),"Intersection","Non-Intersection")</f>
        <v>Intersection</v>
      </c>
      <c r="Y3356" t="s">
        <v>2297</v>
      </c>
      <c r="Z3356" t="str">
        <f t="shared" si="763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750"/>
        <v>40909</v>
      </c>
      <c r="D3357" s="4">
        <f t="shared" si="751"/>
        <v>0.14207650273224043</v>
      </c>
      <c r="E3357" s="3">
        <f t="shared" si="752"/>
        <v>2012</v>
      </c>
      <c r="F3357" s="3">
        <f t="shared" si="753"/>
        <v>2</v>
      </c>
      <c r="G3357" s="3">
        <f t="shared" si="754"/>
        <v>22</v>
      </c>
      <c r="H3357" s="3">
        <f t="shared" si="755"/>
        <v>3</v>
      </c>
      <c r="I3357" s="3">
        <f t="shared" si="756"/>
        <v>0</v>
      </c>
      <c r="J3357" s="3">
        <f t="shared" si="757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758"/>
        <v>YES</v>
      </c>
      <c r="Q3357" t="str">
        <f t="shared" si="759"/>
        <v>NO</v>
      </c>
      <c r="R3357" t="str">
        <f t="shared" si="760"/>
        <v>NO</v>
      </c>
      <c r="S3357">
        <v>89</v>
      </c>
      <c r="T3357" t="s">
        <v>75</v>
      </c>
      <c r="U3357" t="str">
        <f t="shared" si="761"/>
        <v>Elm St</v>
      </c>
      <c r="W3357" t="str">
        <f t="shared" si="762"/>
        <v/>
      </c>
      <c r="X3357" t="str">
        <f>IF(ISBLANK(S3357),"Intersection","Non-Intersection")</f>
        <v>Non-Intersection</v>
      </c>
      <c r="Y3357" t="s">
        <v>3767</v>
      </c>
      <c r="Z3357" t="str">
        <f t="shared" si="763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750"/>
        <v>40909</v>
      </c>
      <c r="D3358" s="4">
        <f t="shared" si="751"/>
        <v>0.14207650273224043</v>
      </c>
      <c r="E3358" s="3">
        <f t="shared" si="752"/>
        <v>2012</v>
      </c>
      <c r="F3358" s="3">
        <f t="shared" si="753"/>
        <v>2</v>
      </c>
      <c r="G3358" s="3">
        <f t="shared" si="754"/>
        <v>22</v>
      </c>
      <c r="H3358" s="3">
        <f t="shared" si="755"/>
        <v>7</v>
      </c>
      <c r="I3358" s="3">
        <f t="shared" si="756"/>
        <v>30</v>
      </c>
      <c r="J3358" s="3">
        <f t="shared" si="757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758"/>
        <v>YES</v>
      </c>
      <c r="Q3358" t="str">
        <f t="shared" si="759"/>
        <v>NO</v>
      </c>
      <c r="R3358" t="str">
        <f t="shared" si="760"/>
        <v>NO</v>
      </c>
      <c r="S3358">
        <v>1</v>
      </c>
      <c r="T3358" t="s">
        <v>2995</v>
      </c>
      <c r="U3358" t="str">
        <f t="shared" si="761"/>
        <v>Hancock Park</v>
      </c>
      <c r="W3358" t="str">
        <f t="shared" si="762"/>
        <v/>
      </c>
      <c r="X3358" t="str">
        <f>IF(ISBLANK(S3358),"Intersection","Non-Intersection")</f>
        <v>Non-Intersection</v>
      </c>
      <c r="Y3358" t="s">
        <v>2996</v>
      </c>
      <c r="Z3358" t="str">
        <f t="shared" si="763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764">EOMONTH(B3359,MONTH(B3359)*-1)+1</f>
        <v>40909</v>
      </c>
      <c r="D3359" s="4">
        <f t="shared" ref="D3359:D3421" si="765">YEARFRAC(C3359,B3359,1)</f>
        <v>0.14207650273224043</v>
      </c>
      <c r="E3359" s="3">
        <f t="shared" ref="E3359:E3421" si="766">YEAR(B3359)</f>
        <v>2012</v>
      </c>
      <c r="F3359" s="3">
        <f t="shared" ref="F3359:F3421" si="767">MONTH(B3359)</f>
        <v>2</v>
      </c>
      <c r="G3359" s="3">
        <f t="shared" ref="G3359:G3421" si="768">DAY(B3359)</f>
        <v>22</v>
      </c>
      <c r="H3359" s="3">
        <f t="shared" ref="H3359:H3421" si="769">HOUR(B3359)</f>
        <v>13</v>
      </c>
      <c r="I3359" s="3">
        <f t="shared" ref="I3359:I3421" si="770">MINUTE(B3359)</f>
        <v>54</v>
      </c>
      <c r="J3359" s="3">
        <f t="shared" ref="J3359:J3421" si="771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772">IF(OR(N3359="Auto",O3359="Auto"),"YES",IF(OR(N3359="Taxi",O3359="Taxi"),"YES",IF(OR(N3359="Van",O3359="Van"),"YES",IF(OR(N3359="Truck",O3359="Truck"),"YES","NO"))))</f>
        <v>YES</v>
      </c>
      <c r="Q3359" t="str">
        <f t="shared" ref="Q3359:Q3421" si="773">IF(OR(N3359="Bicycle",O3359="Bicycle"),"YES","NO")</f>
        <v>NO</v>
      </c>
      <c r="R3359" t="str">
        <f t="shared" ref="R3359:R3421" si="774">IF(OR(N3359="Pedestrian",O3359="Pedestrian"),"YES","NO")</f>
        <v>NO</v>
      </c>
      <c r="T3359" t="s">
        <v>14</v>
      </c>
      <c r="U3359" t="str">
        <f t="shared" si="761"/>
        <v>Massachusetts Ave</v>
      </c>
      <c r="V3359" t="s">
        <v>524</v>
      </c>
      <c r="W3359" t="str">
        <f t="shared" si="762"/>
        <v>Blake St</v>
      </c>
      <c r="X3359" t="str">
        <f>IF(ISBLANK(S3359),"Intersection","Non-Intersection")</f>
        <v>Intersection</v>
      </c>
      <c r="Y3359" t="s">
        <v>3291</v>
      </c>
      <c r="Z3359" t="str">
        <f t="shared" si="763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764"/>
        <v>40909</v>
      </c>
      <c r="D3360" s="4">
        <f t="shared" si="765"/>
        <v>0.1448087431693989</v>
      </c>
      <c r="E3360" s="3">
        <f t="shared" si="766"/>
        <v>2012</v>
      </c>
      <c r="F3360" s="3">
        <f t="shared" si="767"/>
        <v>2</v>
      </c>
      <c r="G3360" s="3">
        <f t="shared" si="768"/>
        <v>23</v>
      </c>
      <c r="H3360" s="3">
        <f t="shared" si="769"/>
        <v>14</v>
      </c>
      <c r="I3360" s="3">
        <f t="shared" si="770"/>
        <v>0</v>
      </c>
      <c r="J3360" s="3">
        <f t="shared" si="771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772"/>
        <v>YES</v>
      </c>
      <c r="Q3360" t="str">
        <f t="shared" si="773"/>
        <v>YES</v>
      </c>
      <c r="R3360" t="str">
        <f t="shared" si="774"/>
        <v>NO</v>
      </c>
      <c r="T3360" t="s">
        <v>27</v>
      </c>
      <c r="U3360" t="str">
        <f t="shared" si="761"/>
        <v>Western Ave</v>
      </c>
      <c r="V3360" t="s">
        <v>42</v>
      </c>
      <c r="W3360" t="str">
        <f t="shared" si="762"/>
        <v>Putnam Ave</v>
      </c>
      <c r="X3360" t="str">
        <f>IF(ISBLANK(S3360),"Intersection","Non-Intersection")</f>
        <v>Intersection</v>
      </c>
      <c r="Y3360" t="s">
        <v>1022</v>
      </c>
      <c r="Z3360" t="str">
        <f t="shared" si="763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764"/>
        <v>40909</v>
      </c>
      <c r="D3361" s="4">
        <f t="shared" si="765"/>
        <v>0.1448087431693989</v>
      </c>
      <c r="E3361" s="3">
        <f t="shared" si="766"/>
        <v>2012</v>
      </c>
      <c r="F3361" s="3">
        <f t="shared" si="767"/>
        <v>2</v>
      </c>
      <c r="G3361" s="3">
        <f t="shared" si="768"/>
        <v>23</v>
      </c>
      <c r="H3361" s="3">
        <f t="shared" si="769"/>
        <v>9</v>
      </c>
      <c r="I3361" s="3">
        <f t="shared" si="770"/>
        <v>2</v>
      </c>
      <c r="J3361" s="3">
        <f t="shared" si="771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772"/>
        <v>YES</v>
      </c>
      <c r="Q3361" t="str">
        <f t="shared" si="773"/>
        <v>NO</v>
      </c>
      <c r="R3361" t="str">
        <f t="shared" si="774"/>
        <v>YES</v>
      </c>
      <c r="S3361">
        <v>125</v>
      </c>
      <c r="T3361" t="s">
        <v>202</v>
      </c>
      <c r="U3361" t="str">
        <f t="shared" si="761"/>
        <v>Vassar St</v>
      </c>
      <c r="W3361" t="str">
        <f t="shared" si="762"/>
        <v/>
      </c>
      <c r="X3361" t="str">
        <f>IF(ISBLANK(S3361),"Intersection","Non-Intersection")</f>
        <v>Non-Intersection</v>
      </c>
      <c r="Y3361" t="s">
        <v>4242</v>
      </c>
      <c r="Z3361" t="str">
        <f t="shared" si="763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764"/>
        <v>40909</v>
      </c>
      <c r="D3362" s="4">
        <f t="shared" si="765"/>
        <v>0.1448087431693989</v>
      </c>
      <c r="E3362" s="3">
        <f t="shared" si="766"/>
        <v>2012</v>
      </c>
      <c r="F3362" s="3">
        <f t="shared" si="767"/>
        <v>2</v>
      </c>
      <c r="G3362" s="3">
        <f t="shared" si="768"/>
        <v>23</v>
      </c>
      <c r="H3362" s="3">
        <f t="shared" si="769"/>
        <v>10</v>
      </c>
      <c r="I3362" s="3">
        <f t="shared" si="770"/>
        <v>34</v>
      </c>
      <c r="J3362" s="3">
        <f t="shared" si="771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772"/>
        <v>YES</v>
      </c>
      <c r="Q3362" t="str">
        <f t="shared" si="773"/>
        <v>NO</v>
      </c>
      <c r="R3362" t="str">
        <f t="shared" si="774"/>
        <v>NO</v>
      </c>
      <c r="T3362" t="s">
        <v>178</v>
      </c>
      <c r="U3362" t="str">
        <f t="shared" si="761"/>
        <v>Pleasant St</v>
      </c>
      <c r="V3362" t="s">
        <v>108</v>
      </c>
      <c r="W3362" t="str">
        <f t="shared" si="762"/>
        <v>Franklin St</v>
      </c>
      <c r="X3362" t="str">
        <f>IF(ISBLANK(S3362),"Intersection","Non-Intersection")</f>
        <v>Intersection</v>
      </c>
      <c r="Y3362" t="s">
        <v>4244</v>
      </c>
      <c r="Z3362" t="str">
        <f t="shared" si="763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764"/>
        <v>40909</v>
      </c>
      <c r="D3363" s="4">
        <f t="shared" si="765"/>
        <v>0.1448087431693989</v>
      </c>
      <c r="E3363" s="3">
        <f t="shared" si="766"/>
        <v>2012</v>
      </c>
      <c r="F3363" s="3">
        <f t="shared" si="767"/>
        <v>2</v>
      </c>
      <c r="G3363" s="3">
        <f t="shared" si="768"/>
        <v>23</v>
      </c>
      <c r="H3363" s="3">
        <f t="shared" si="769"/>
        <v>14</v>
      </c>
      <c r="I3363" s="3">
        <f t="shared" si="770"/>
        <v>25</v>
      </c>
      <c r="J3363" s="3">
        <f t="shared" si="771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772"/>
        <v>YES</v>
      </c>
      <c r="Q3363" t="str">
        <f t="shared" si="773"/>
        <v>NO</v>
      </c>
      <c r="R3363" t="str">
        <f t="shared" si="774"/>
        <v>NO</v>
      </c>
      <c r="S3363">
        <v>777</v>
      </c>
      <c r="T3363" t="s">
        <v>186</v>
      </c>
      <c r="U3363" t="str">
        <f t="shared" si="761"/>
        <v>Concord Ave</v>
      </c>
      <c r="W3363" t="str">
        <f t="shared" si="762"/>
        <v/>
      </c>
      <c r="X3363" t="str">
        <f>IF(ISBLANK(S3363),"Intersection","Non-Intersection")</f>
        <v>Non-Intersection</v>
      </c>
      <c r="Y3363" t="s">
        <v>3100</v>
      </c>
      <c r="Z3363" t="str">
        <f t="shared" si="763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764"/>
        <v>40909</v>
      </c>
      <c r="D3364" s="4">
        <f t="shared" si="765"/>
        <v>0.1448087431693989</v>
      </c>
      <c r="E3364" s="3">
        <f t="shared" si="766"/>
        <v>2012</v>
      </c>
      <c r="F3364" s="3">
        <f t="shared" si="767"/>
        <v>2</v>
      </c>
      <c r="G3364" s="3">
        <f t="shared" si="768"/>
        <v>23</v>
      </c>
      <c r="H3364" s="3">
        <f t="shared" si="769"/>
        <v>7</v>
      </c>
      <c r="I3364" s="3">
        <f t="shared" si="770"/>
        <v>44</v>
      </c>
      <c r="J3364" s="3">
        <f t="shared" si="771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772"/>
        <v>YES</v>
      </c>
      <c r="Q3364" t="str">
        <f t="shared" si="773"/>
        <v>YES</v>
      </c>
      <c r="R3364" t="str">
        <f t="shared" si="774"/>
        <v>NO</v>
      </c>
      <c r="T3364" t="s">
        <v>340</v>
      </c>
      <c r="U3364" t="str">
        <f t="shared" si="761"/>
        <v>Davenport St</v>
      </c>
      <c r="V3364" t="s">
        <v>14</v>
      </c>
      <c r="W3364" t="str">
        <f t="shared" si="762"/>
        <v>Massachusetts Ave</v>
      </c>
      <c r="X3364" t="str">
        <f>IF(ISBLANK(S3364),"Intersection","Non-Intersection")</f>
        <v>Intersection</v>
      </c>
      <c r="Y3364" t="s">
        <v>752</v>
      </c>
      <c r="Z3364" t="str">
        <f t="shared" si="763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764"/>
        <v>40909</v>
      </c>
      <c r="D3365" s="4">
        <f t="shared" si="765"/>
        <v>0.1448087431693989</v>
      </c>
      <c r="E3365" s="3">
        <f t="shared" si="766"/>
        <v>2012</v>
      </c>
      <c r="F3365" s="3">
        <f t="shared" si="767"/>
        <v>2</v>
      </c>
      <c r="G3365" s="3">
        <f t="shared" si="768"/>
        <v>23</v>
      </c>
      <c r="H3365" s="3">
        <f t="shared" si="769"/>
        <v>15</v>
      </c>
      <c r="I3365" s="3">
        <f t="shared" si="770"/>
        <v>11</v>
      </c>
      <c r="J3365" s="3">
        <f t="shared" si="771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772"/>
        <v>YES</v>
      </c>
      <c r="Q3365" t="str">
        <f t="shared" si="773"/>
        <v>NO</v>
      </c>
      <c r="R3365" t="str">
        <f t="shared" si="774"/>
        <v>NO</v>
      </c>
      <c r="T3365" t="s">
        <v>195</v>
      </c>
      <c r="U3365" t="str">
        <f t="shared" si="761"/>
        <v>Sidney St</v>
      </c>
      <c r="V3365" t="s">
        <v>835</v>
      </c>
      <c r="W3365" t="str">
        <f t="shared" si="762"/>
        <v>Erie St</v>
      </c>
      <c r="X3365" t="str">
        <f>IF(ISBLANK(S3365),"Intersection","Non-Intersection")</f>
        <v>Intersection</v>
      </c>
      <c r="Y3365" t="s">
        <v>836</v>
      </c>
      <c r="Z3365" t="str">
        <f t="shared" si="763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764"/>
        <v>40909</v>
      </c>
      <c r="D3366" s="4">
        <f t="shared" si="765"/>
        <v>0.1448087431693989</v>
      </c>
      <c r="E3366" s="3">
        <f t="shared" si="766"/>
        <v>2012</v>
      </c>
      <c r="F3366" s="3">
        <f t="shared" si="767"/>
        <v>2</v>
      </c>
      <c r="G3366" s="3">
        <f t="shared" si="768"/>
        <v>23</v>
      </c>
      <c r="H3366" s="3">
        <f t="shared" si="769"/>
        <v>17</v>
      </c>
      <c r="I3366" s="3">
        <f t="shared" si="770"/>
        <v>13</v>
      </c>
      <c r="J3366" s="3">
        <f t="shared" si="771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772"/>
        <v>YES</v>
      </c>
      <c r="Q3366" t="str">
        <f t="shared" si="773"/>
        <v>NO</v>
      </c>
      <c r="R3366" t="str">
        <f t="shared" si="774"/>
        <v>NO</v>
      </c>
      <c r="T3366" t="s">
        <v>74</v>
      </c>
      <c r="U3366" t="str">
        <f t="shared" si="761"/>
        <v>Hampshire St</v>
      </c>
      <c r="W3366" t="str">
        <f t="shared" si="762"/>
        <v/>
      </c>
      <c r="X3366" t="str">
        <f>IF(ISBLANK(S3366),"Intersection","Non-Intersection")</f>
        <v>Intersection</v>
      </c>
      <c r="Y3366" t="s">
        <v>1519</v>
      </c>
      <c r="Z3366" t="str">
        <f t="shared" si="763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764"/>
        <v>40909</v>
      </c>
      <c r="D3367" s="4">
        <f t="shared" si="765"/>
        <v>0.1448087431693989</v>
      </c>
      <c r="E3367" s="3">
        <f t="shared" si="766"/>
        <v>2012</v>
      </c>
      <c r="F3367" s="3">
        <f t="shared" si="767"/>
        <v>2</v>
      </c>
      <c r="G3367" s="3">
        <f t="shared" si="768"/>
        <v>23</v>
      </c>
      <c r="H3367" s="3">
        <f t="shared" si="769"/>
        <v>16</v>
      </c>
      <c r="I3367" s="3">
        <f t="shared" si="770"/>
        <v>9</v>
      </c>
      <c r="J3367" s="3">
        <f t="shared" si="771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772"/>
        <v>YES</v>
      </c>
      <c r="Q3367" t="str">
        <f t="shared" si="773"/>
        <v>NO</v>
      </c>
      <c r="R3367" t="str">
        <f t="shared" si="774"/>
        <v>NO</v>
      </c>
      <c r="T3367" t="s">
        <v>2754</v>
      </c>
      <c r="U3367" t="str">
        <f t="shared" si="761"/>
        <v>Fawcett St</v>
      </c>
      <c r="V3367" t="s">
        <v>186</v>
      </c>
      <c r="W3367" t="str">
        <f t="shared" si="762"/>
        <v>Concord Ave</v>
      </c>
      <c r="X3367" t="str">
        <f>IF(ISBLANK(S3367),"Intersection","Non-Intersection")</f>
        <v>Intersection</v>
      </c>
      <c r="Y3367" t="s">
        <v>4246</v>
      </c>
      <c r="Z3367" t="str">
        <f t="shared" si="763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764"/>
        <v>40909</v>
      </c>
      <c r="D3368" s="4">
        <f t="shared" si="765"/>
        <v>0.14754098360655737</v>
      </c>
      <c r="E3368" s="3">
        <f t="shared" si="766"/>
        <v>2012</v>
      </c>
      <c r="F3368" s="3">
        <f t="shared" si="767"/>
        <v>2</v>
      </c>
      <c r="G3368" s="3">
        <f t="shared" si="768"/>
        <v>24</v>
      </c>
      <c r="H3368" s="3">
        <f t="shared" si="769"/>
        <v>21</v>
      </c>
      <c r="I3368" s="3">
        <f t="shared" si="770"/>
        <v>14</v>
      </c>
      <c r="J3368" s="3">
        <f t="shared" si="771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772"/>
        <v>YES</v>
      </c>
      <c r="Q3368" t="str">
        <f t="shared" si="773"/>
        <v>NO</v>
      </c>
      <c r="R3368" t="str">
        <f t="shared" si="774"/>
        <v>NO</v>
      </c>
      <c r="S3368">
        <v>144</v>
      </c>
      <c r="T3368" t="s">
        <v>198</v>
      </c>
      <c r="U3368" t="str">
        <f t="shared" si="761"/>
        <v>Mount Auburn St</v>
      </c>
      <c r="W3368" t="str">
        <f t="shared" si="762"/>
        <v/>
      </c>
      <c r="X3368" t="str">
        <f>IF(ISBLANK(S3368),"Intersection","Non-Intersection")</f>
        <v>Non-Intersection</v>
      </c>
      <c r="Y3368" t="s">
        <v>4247</v>
      </c>
      <c r="Z3368" t="str">
        <f t="shared" si="763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764"/>
        <v>40909</v>
      </c>
      <c r="D3369" s="4">
        <f t="shared" si="765"/>
        <v>0.14754098360655737</v>
      </c>
      <c r="E3369" s="3">
        <f t="shared" si="766"/>
        <v>2012</v>
      </c>
      <c r="F3369" s="3">
        <f t="shared" si="767"/>
        <v>2</v>
      </c>
      <c r="G3369" s="3">
        <f t="shared" si="768"/>
        <v>24</v>
      </c>
      <c r="H3369" s="3">
        <f t="shared" si="769"/>
        <v>17</v>
      </c>
      <c r="I3369" s="3">
        <f t="shared" si="770"/>
        <v>0</v>
      </c>
      <c r="J3369" s="3">
        <f t="shared" si="771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772"/>
        <v>YES</v>
      </c>
      <c r="Q3369" t="str">
        <f t="shared" si="773"/>
        <v>NO</v>
      </c>
      <c r="R3369" t="str">
        <f t="shared" si="774"/>
        <v>NO</v>
      </c>
      <c r="S3369">
        <v>100</v>
      </c>
      <c r="T3369" t="s">
        <v>1062</v>
      </c>
      <c r="U3369" t="str">
        <f t="shared" si="761"/>
        <v>Cambridgeside Pl</v>
      </c>
      <c r="W3369" t="str">
        <f t="shared" si="762"/>
        <v/>
      </c>
      <c r="X3369" t="str">
        <f>IF(ISBLANK(S3369),"Intersection","Non-Intersection")</f>
        <v>Non-Intersection</v>
      </c>
      <c r="Y3369" t="s">
        <v>1143</v>
      </c>
      <c r="Z3369" t="str">
        <f t="shared" si="763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764"/>
        <v>40909</v>
      </c>
      <c r="D3370" s="4">
        <f t="shared" si="765"/>
        <v>0.14754098360655737</v>
      </c>
      <c r="E3370" s="3">
        <f t="shared" si="766"/>
        <v>2012</v>
      </c>
      <c r="F3370" s="3">
        <f t="shared" si="767"/>
        <v>2</v>
      </c>
      <c r="G3370" s="3">
        <f t="shared" si="768"/>
        <v>24</v>
      </c>
      <c r="H3370" s="3">
        <f t="shared" si="769"/>
        <v>19</v>
      </c>
      <c r="I3370" s="3">
        <f t="shared" si="770"/>
        <v>9</v>
      </c>
      <c r="J3370" s="3">
        <f t="shared" si="771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772"/>
        <v>YES</v>
      </c>
      <c r="Q3370" t="str">
        <f t="shared" si="773"/>
        <v>NO</v>
      </c>
      <c r="R3370" t="str">
        <f t="shared" si="774"/>
        <v>YES</v>
      </c>
      <c r="S3370">
        <v>615</v>
      </c>
      <c r="T3370" t="s">
        <v>186</v>
      </c>
      <c r="U3370" t="str">
        <f t="shared" si="761"/>
        <v>Concord Ave</v>
      </c>
      <c r="W3370" t="str">
        <f t="shared" si="762"/>
        <v/>
      </c>
      <c r="X3370" t="str">
        <f>IF(ISBLANK(S3370),"Intersection","Non-Intersection")</f>
        <v>Non-Intersection</v>
      </c>
      <c r="Y3370" t="s">
        <v>2303</v>
      </c>
      <c r="Z3370" t="str">
        <f t="shared" si="763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764"/>
        <v>40909</v>
      </c>
      <c r="D3371" s="4">
        <f t="shared" si="765"/>
        <v>0.14754098360655737</v>
      </c>
      <c r="E3371" s="3">
        <f t="shared" si="766"/>
        <v>2012</v>
      </c>
      <c r="F3371" s="3">
        <f t="shared" si="767"/>
        <v>2</v>
      </c>
      <c r="G3371" s="3">
        <f t="shared" si="768"/>
        <v>24</v>
      </c>
      <c r="H3371" s="3">
        <f t="shared" si="769"/>
        <v>19</v>
      </c>
      <c r="I3371" s="3">
        <f t="shared" si="770"/>
        <v>27</v>
      </c>
      <c r="J3371" s="3">
        <f t="shared" si="771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772"/>
        <v>YES</v>
      </c>
      <c r="Q3371" t="str">
        <f t="shared" si="773"/>
        <v>NO</v>
      </c>
      <c r="R3371" t="str">
        <f t="shared" si="774"/>
        <v>NO</v>
      </c>
      <c r="T3371" t="s">
        <v>105</v>
      </c>
      <c r="U3371" t="str">
        <f t="shared" si="761"/>
        <v>Broadway</v>
      </c>
      <c r="V3371" t="s">
        <v>288</v>
      </c>
      <c r="W3371" t="str">
        <f t="shared" si="762"/>
        <v>Galileo Galilei Way</v>
      </c>
      <c r="X3371" t="str">
        <f>IF(ISBLANK(S3371),"Intersection","Non-Intersection")</f>
        <v>Intersection</v>
      </c>
      <c r="Y3371" t="s">
        <v>289</v>
      </c>
      <c r="Z3371" t="str">
        <f t="shared" si="763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764"/>
        <v>40909</v>
      </c>
      <c r="D3372" s="4">
        <f t="shared" si="765"/>
        <v>0.15027322404371585</v>
      </c>
      <c r="E3372" s="3">
        <f t="shared" si="766"/>
        <v>2012</v>
      </c>
      <c r="F3372" s="3">
        <f t="shared" si="767"/>
        <v>2</v>
      </c>
      <c r="G3372" s="3">
        <f t="shared" si="768"/>
        <v>25</v>
      </c>
      <c r="H3372" s="3">
        <f t="shared" si="769"/>
        <v>12</v>
      </c>
      <c r="I3372" s="3">
        <f t="shared" si="770"/>
        <v>59</v>
      </c>
      <c r="J3372" s="3">
        <f t="shared" si="771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772"/>
        <v>YES</v>
      </c>
      <c r="Q3372" t="str">
        <f t="shared" si="773"/>
        <v>NO</v>
      </c>
      <c r="R3372" t="str">
        <f t="shared" si="774"/>
        <v>NO</v>
      </c>
      <c r="S3372">
        <v>1</v>
      </c>
      <c r="T3372" t="s">
        <v>1958</v>
      </c>
      <c r="U3372" t="str">
        <f t="shared" si="761"/>
        <v>Porter Cir</v>
      </c>
      <c r="W3372" t="str">
        <f t="shared" si="762"/>
        <v/>
      </c>
      <c r="X3372" t="str">
        <f>IF(ISBLANK(S3372),"Intersection","Non-Intersection")</f>
        <v>Non-Intersection</v>
      </c>
      <c r="Y3372" t="s">
        <v>3652</v>
      </c>
      <c r="Z3372" t="str">
        <f t="shared" si="763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764"/>
        <v>40909</v>
      </c>
      <c r="D3373" s="4">
        <f t="shared" si="765"/>
        <v>0.15300546448087432</v>
      </c>
      <c r="E3373" s="3">
        <f t="shared" si="766"/>
        <v>2012</v>
      </c>
      <c r="F3373" s="3">
        <f t="shared" si="767"/>
        <v>2</v>
      </c>
      <c r="G3373" s="3">
        <f t="shared" si="768"/>
        <v>26</v>
      </c>
      <c r="H3373" s="3">
        <f t="shared" si="769"/>
        <v>12</v>
      </c>
      <c r="I3373" s="3">
        <f t="shared" si="770"/>
        <v>59</v>
      </c>
      <c r="J3373" s="3">
        <f t="shared" si="771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772"/>
        <v>YES</v>
      </c>
      <c r="Q3373" t="str">
        <f t="shared" si="773"/>
        <v>NO</v>
      </c>
      <c r="R3373" t="str">
        <f t="shared" si="774"/>
        <v>NO</v>
      </c>
      <c r="S3373">
        <v>41</v>
      </c>
      <c r="T3373" t="s">
        <v>1701</v>
      </c>
      <c r="U3373" t="str">
        <f t="shared" si="761"/>
        <v>Prentiss St</v>
      </c>
      <c r="W3373" t="str">
        <f t="shared" si="762"/>
        <v/>
      </c>
      <c r="X3373" t="str">
        <f>IF(ISBLANK(S3373),"Intersection","Non-Intersection")</f>
        <v>Non-Intersection</v>
      </c>
      <c r="Y3373" t="s">
        <v>4249</v>
      </c>
      <c r="Z3373" t="str">
        <f t="shared" si="763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764"/>
        <v>40909</v>
      </c>
      <c r="D3374" s="4">
        <f t="shared" si="765"/>
        <v>0.15573770491803279</v>
      </c>
      <c r="E3374" s="3">
        <f t="shared" si="766"/>
        <v>2012</v>
      </c>
      <c r="F3374" s="3">
        <f t="shared" si="767"/>
        <v>2</v>
      </c>
      <c r="G3374" s="3">
        <f t="shared" si="768"/>
        <v>27</v>
      </c>
      <c r="H3374" s="3">
        <f t="shared" si="769"/>
        <v>8</v>
      </c>
      <c r="I3374" s="3">
        <f t="shared" si="770"/>
        <v>0</v>
      </c>
      <c r="J3374" s="3">
        <f t="shared" si="771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772"/>
        <v>YES</v>
      </c>
      <c r="Q3374" t="str">
        <f t="shared" si="773"/>
        <v>NO</v>
      </c>
      <c r="R3374" t="str">
        <f t="shared" si="774"/>
        <v>NO</v>
      </c>
      <c r="T3374" t="s">
        <v>3188</v>
      </c>
      <c r="U3374" t="str">
        <f t="shared" si="761"/>
        <v>Montgomery St</v>
      </c>
      <c r="V3374" t="s">
        <v>66</v>
      </c>
      <c r="W3374" t="str">
        <f t="shared" si="762"/>
        <v>Dudley St</v>
      </c>
      <c r="X3374" t="str">
        <f>IF(ISBLANK(S3374),"Intersection","Non-Intersection")</f>
        <v>Intersection</v>
      </c>
      <c r="Y3374" t="s">
        <v>3189</v>
      </c>
      <c r="Z3374" t="str">
        <f t="shared" si="763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764"/>
        <v>40909</v>
      </c>
      <c r="D3375" s="4">
        <f t="shared" si="765"/>
        <v>0.15573770491803279</v>
      </c>
      <c r="E3375" s="3">
        <f t="shared" si="766"/>
        <v>2012</v>
      </c>
      <c r="F3375" s="3">
        <f t="shared" si="767"/>
        <v>2</v>
      </c>
      <c r="G3375" s="3">
        <f t="shared" si="768"/>
        <v>27</v>
      </c>
      <c r="H3375" s="3">
        <f t="shared" si="769"/>
        <v>13</v>
      </c>
      <c r="I3375" s="3">
        <f t="shared" si="770"/>
        <v>44</v>
      </c>
      <c r="J3375" s="3">
        <f t="shared" si="771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772"/>
        <v>YES</v>
      </c>
      <c r="Q3375" t="str">
        <f t="shared" si="773"/>
        <v>NO</v>
      </c>
      <c r="R3375" t="str">
        <f t="shared" si="774"/>
        <v>NO</v>
      </c>
      <c r="T3375" t="s">
        <v>198</v>
      </c>
      <c r="U3375" t="str">
        <f t="shared" si="761"/>
        <v>Mount Auburn St</v>
      </c>
      <c r="V3375" t="s">
        <v>2285</v>
      </c>
      <c r="W3375" t="str">
        <f t="shared" si="762"/>
        <v>Homer Ave</v>
      </c>
      <c r="X3375" t="str">
        <f>IF(ISBLANK(S3375),"Intersection","Non-Intersection")</f>
        <v>Intersection</v>
      </c>
      <c r="Y3375" t="s">
        <v>3334</v>
      </c>
      <c r="Z3375" t="str">
        <f t="shared" si="763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764"/>
        <v>40909</v>
      </c>
      <c r="D3376" s="4">
        <f t="shared" si="765"/>
        <v>0.15846994535519127</v>
      </c>
      <c r="E3376" s="3">
        <f t="shared" si="766"/>
        <v>2012</v>
      </c>
      <c r="F3376" s="3">
        <f t="shared" si="767"/>
        <v>2</v>
      </c>
      <c r="G3376" s="3">
        <f t="shared" si="768"/>
        <v>28</v>
      </c>
      <c r="H3376" s="3">
        <f t="shared" si="769"/>
        <v>9</v>
      </c>
      <c r="I3376" s="3">
        <f t="shared" si="770"/>
        <v>14</v>
      </c>
      <c r="J3376" s="3">
        <f t="shared" si="771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772"/>
        <v>YES</v>
      </c>
      <c r="Q3376" t="str">
        <f t="shared" si="773"/>
        <v>YES</v>
      </c>
      <c r="R3376" t="str">
        <f t="shared" si="774"/>
        <v>NO</v>
      </c>
      <c r="T3376" t="s">
        <v>14</v>
      </c>
      <c r="U3376" t="str">
        <f t="shared" si="761"/>
        <v>Massachusetts Ave</v>
      </c>
      <c r="V3376" t="s">
        <v>252</v>
      </c>
      <c r="W3376" t="str">
        <f t="shared" si="762"/>
        <v>Walden St</v>
      </c>
      <c r="X3376" t="str">
        <f>IF(ISBLANK(S3376),"Intersection","Non-Intersection")</f>
        <v>Intersection</v>
      </c>
      <c r="Y3376" t="s">
        <v>2600</v>
      </c>
      <c r="Z3376" t="str">
        <f t="shared" si="763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764"/>
        <v>40909</v>
      </c>
      <c r="D3377" s="4">
        <f t="shared" si="765"/>
        <v>0.15846994535519127</v>
      </c>
      <c r="E3377" s="3">
        <f t="shared" si="766"/>
        <v>2012</v>
      </c>
      <c r="F3377" s="3">
        <f t="shared" si="767"/>
        <v>2</v>
      </c>
      <c r="G3377" s="3">
        <f t="shared" si="768"/>
        <v>28</v>
      </c>
      <c r="H3377" s="3">
        <f t="shared" si="769"/>
        <v>9</v>
      </c>
      <c r="I3377" s="3">
        <f t="shared" si="770"/>
        <v>59</v>
      </c>
      <c r="J3377" s="3">
        <f t="shared" si="771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772"/>
        <v>YES</v>
      </c>
      <c r="Q3377" t="str">
        <f t="shared" si="773"/>
        <v>NO</v>
      </c>
      <c r="R3377" t="str">
        <f t="shared" si="774"/>
        <v>NO</v>
      </c>
      <c r="T3377" t="s">
        <v>19</v>
      </c>
      <c r="U3377" t="str">
        <f t="shared" si="761"/>
        <v>Cambridge St</v>
      </c>
      <c r="V3377" t="s">
        <v>1174</v>
      </c>
      <c r="W3377" t="str">
        <f t="shared" si="762"/>
        <v>Roberts Rd</v>
      </c>
      <c r="X3377" t="str">
        <f>IF(ISBLANK(S3377),"Intersection","Non-Intersection")</f>
        <v>Intersection</v>
      </c>
      <c r="Y3377" t="s">
        <v>1175</v>
      </c>
      <c r="Z3377" t="str">
        <f t="shared" si="763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764"/>
        <v>40909</v>
      </c>
      <c r="D3378" s="4">
        <f t="shared" si="765"/>
        <v>0.15846994535519127</v>
      </c>
      <c r="E3378" s="3">
        <f t="shared" si="766"/>
        <v>2012</v>
      </c>
      <c r="F3378" s="3">
        <f t="shared" si="767"/>
        <v>2</v>
      </c>
      <c r="G3378" s="3">
        <f t="shared" si="768"/>
        <v>28</v>
      </c>
      <c r="H3378" s="3">
        <f t="shared" si="769"/>
        <v>13</v>
      </c>
      <c r="I3378" s="3">
        <f t="shared" si="770"/>
        <v>30</v>
      </c>
      <c r="J3378" s="3">
        <f t="shared" si="771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772"/>
        <v>YES</v>
      </c>
      <c r="Q3378" t="str">
        <f t="shared" si="773"/>
        <v>NO</v>
      </c>
      <c r="R3378" t="str">
        <f t="shared" si="774"/>
        <v>NO</v>
      </c>
      <c r="T3378" t="s">
        <v>260</v>
      </c>
      <c r="U3378" t="str">
        <f t="shared" si="761"/>
        <v>Third St</v>
      </c>
      <c r="V3378" t="s">
        <v>4251</v>
      </c>
      <c r="W3378" t="str">
        <f t="shared" si="762"/>
        <v>Munroe St</v>
      </c>
      <c r="X3378" t="str">
        <f>IF(ISBLANK(S3378),"Intersection","Non-Intersection")</f>
        <v>Intersection</v>
      </c>
      <c r="Y3378" t="s">
        <v>4252</v>
      </c>
      <c r="Z3378" t="str">
        <f t="shared" si="763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764"/>
        <v>40909</v>
      </c>
      <c r="D3379" s="4">
        <f t="shared" si="765"/>
        <v>0.15846994535519127</v>
      </c>
      <c r="E3379" s="3">
        <f t="shared" si="766"/>
        <v>2012</v>
      </c>
      <c r="F3379" s="3">
        <f t="shared" si="767"/>
        <v>2</v>
      </c>
      <c r="G3379" s="3">
        <f t="shared" si="768"/>
        <v>28</v>
      </c>
      <c r="H3379" s="3">
        <f t="shared" si="769"/>
        <v>17</v>
      </c>
      <c r="I3379" s="3">
        <f t="shared" si="770"/>
        <v>10</v>
      </c>
      <c r="J3379" s="3">
        <f t="shared" si="771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772"/>
        <v>YES</v>
      </c>
      <c r="Q3379" t="str">
        <f t="shared" si="773"/>
        <v>NO</v>
      </c>
      <c r="R3379" t="str">
        <f t="shared" si="774"/>
        <v>NO</v>
      </c>
      <c r="S3379">
        <v>771</v>
      </c>
      <c r="T3379" t="s">
        <v>19</v>
      </c>
      <c r="U3379" t="str">
        <f t="shared" si="761"/>
        <v>Cambridge St</v>
      </c>
      <c r="W3379" t="str">
        <f t="shared" si="762"/>
        <v/>
      </c>
      <c r="X3379" t="str">
        <f>IF(ISBLANK(S3379),"Intersection","Non-Intersection")</f>
        <v>Non-Intersection</v>
      </c>
      <c r="Y3379" t="s">
        <v>4254</v>
      </c>
      <c r="Z3379" t="str">
        <f t="shared" si="763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764"/>
        <v>40909</v>
      </c>
      <c r="D3380" s="4">
        <f t="shared" si="765"/>
        <v>0.15846994535519127</v>
      </c>
      <c r="E3380" s="3">
        <f t="shared" si="766"/>
        <v>2012</v>
      </c>
      <c r="F3380" s="3">
        <f t="shared" si="767"/>
        <v>2</v>
      </c>
      <c r="G3380" s="3">
        <f t="shared" si="768"/>
        <v>28</v>
      </c>
      <c r="H3380" s="3">
        <f t="shared" si="769"/>
        <v>18</v>
      </c>
      <c r="I3380" s="3">
        <f t="shared" si="770"/>
        <v>23</v>
      </c>
      <c r="J3380" s="3">
        <f t="shared" si="771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772"/>
        <v>YES</v>
      </c>
      <c r="Q3380" t="str">
        <f t="shared" si="773"/>
        <v>NO</v>
      </c>
      <c r="R3380" t="str">
        <f t="shared" si="774"/>
        <v>NO</v>
      </c>
      <c r="T3380" t="s">
        <v>74</v>
      </c>
      <c r="U3380" t="str">
        <f t="shared" si="761"/>
        <v>Hampshire St</v>
      </c>
      <c r="V3380" t="s">
        <v>667</v>
      </c>
      <c r="W3380" t="str">
        <f t="shared" si="762"/>
        <v>Tremont St</v>
      </c>
      <c r="X3380" t="str">
        <f>IF(ISBLANK(S3380),"Intersection","Non-Intersection")</f>
        <v>Intersection</v>
      </c>
      <c r="Y3380" t="s">
        <v>668</v>
      </c>
      <c r="Z3380" t="str">
        <f t="shared" si="763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764"/>
        <v>40909</v>
      </c>
      <c r="D3381" s="4">
        <f t="shared" si="765"/>
        <v>0.15846994535519127</v>
      </c>
      <c r="E3381" s="3">
        <f t="shared" si="766"/>
        <v>2012</v>
      </c>
      <c r="F3381" s="3">
        <f t="shared" si="767"/>
        <v>2</v>
      </c>
      <c r="G3381" s="3">
        <f t="shared" si="768"/>
        <v>28</v>
      </c>
      <c r="H3381" s="3">
        <f t="shared" si="769"/>
        <v>18</v>
      </c>
      <c r="I3381" s="3">
        <f t="shared" si="770"/>
        <v>45</v>
      </c>
      <c r="J3381" s="3">
        <f t="shared" si="771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772"/>
        <v>NO</v>
      </c>
      <c r="Q3381" t="str">
        <f t="shared" si="773"/>
        <v>YES</v>
      </c>
      <c r="R3381" t="str">
        <f t="shared" si="774"/>
        <v>NO</v>
      </c>
      <c r="T3381" t="s">
        <v>105</v>
      </c>
      <c r="U3381" t="str">
        <f t="shared" si="761"/>
        <v>Broadway</v>
      </c>
      <c r="V3381" t="s">
        <v>74</v>
      </c>
      <c r="W3381" t="str">
        <f t="shared" si="762"/>
        <v>Hampshire St</v>
      </c>
      <c r="X3381" t="str">
        <f>IF(ISBLANK(S3381),"Intersection","Non-Intersection")</f>
        <v>Intersection</v>
      </c>
      <c r="Y3381" t="s">
        <v>878</v>
      </c>
      <c r="Z3381" t="str">
        <f t="shared" si="763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764"/>
        <v>40909</v>
      </c>
      <c r="D3382" s="4">
        <f t="shared" si="765"/>
        <v>0.15846994535519127</v>
      </c>
      <c r="E3382" s="3">
        <f t="shared" si="766"/>
        <v>2012</v>
      </c>
      <c r="F3382" s="3">
        <f t="shared" si="767"/>
        <v>2</v>
      </c>
      <c r="G3382" s="3">
        <f t="shared" si="768"/>
        <v>28</v>
      </c>
      <c r="H3382" s="3">
        <f t="shared" si="769"/>
        <v>14</v>
      </c>
      <c r="I3382" s="3">
        <f t="shared" si="770"/>
        <v>29</v>
      </c>
      <c r="J3382" s="3">
        <f t="shared" si="771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772"/>
        <v>YES</v>
      </c>
      <c r="Q3382" t="str">
        <f t="shared" si="773"/>
        <v>NO</v>
      </c>
      <c r="R3382" t="str">
        <f t="shared" si="774"/>
        <v>NO</v>
      </c>
      <c r="S3382">
        <v>2480</v>
      </c>
      <c r="T3382" t="s">
        <v>14</v>
      </c>
      <c r="U3382" t="str">
        <f t="shared" si="761"/>
        <v>Massachusetts Ave</v>
      </c>
      <c r="W3382" t="str">
        <f t="shared" si="762"/>
        <v/>
      </c>
      <c r="X3382" t="str">
        <f>IF(ISBLANK(S3382),"Intersection","Non-Intersection")</f>
        <v>Non-Intersection</v>
      </c>
      <c r="Y3382" t="s">
        <v>4256</v>
      </c>
      <c r="Z3382" t="str">
        <f t="shared" si="763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764"/>
        <v>40909</v>
      </c>
      <c r="D3383" s="4">
        <f t="shared" si="765"/>
        <v>0.16120218579234974</v>
      </c>
      <c r="E3383" s="3">
        <f t="shared" si="766"/>
        <v>2012</v>
      </c>
      <c r="F3383" s="3">
        <f t="shared" si="767"/>
        <v>2</v>
      </c>
      <c r="G3383" s="3">
        <f t="shared" si="768"/>
        <v>29</v>
      </c>
      <c r="H3383" s="3">
        <f t="shared" si="769"/>
        <v>8</v>
      </c>
      <c r="I3383" s="3">
        <f t="shared" si="770"/>
        <v>39</v>
      </c>
      <c r="J3383" s="3">
        <f t="shared" si="771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772"/>
        <v>YES</v>
      </c>
      <c r="Q3383" t="str">
        <f t="shared" si="773"/>
        <v>NO</v>
      </c>
      <c r="R3383" t="str">
        <f t="shared" si="774"/>
        <v>NO</v>
      </c>
      <c r="T3383" t="s">
        <v>198</v>
      </c>
      <c r="U3383" t="str">
        <f t="shared" si="761"/>
        <v>Mount Auburn St</v>
      </c>
      <c r="V3383" t="s">
        <v>464</v>
      </c>
      <c r="W3383" t="str">
        <f t="shared" si="762"/>
        <v>Aberdeen Way</v>
      </c>
      <c r="X3383" t="str">
        <f>IF(ISBLANK(S3383),"Intersection","Non-Intersection")</f>
        <v>Intersection</v>
      </c>
      <c r="Y3383" t="s">
        <v>1666</v>
      </c>
      <c r="Z3383" t="str">
        <f t="shared" si="763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764"/>
        <v>40909</v>
      </c>
      <c r="D3384" s="4">
        <f t="shared" si="765"/>
        <v>0.16120218579234974</v>
      </c>
      <c r="E3384" s="3">
        <f t="shared" si="766"/>
        <v>2012</v>
      </c>
      <c r="F3384" s="3">
        <f t="shared" si="767"/>
        <v>2</v>
      </c>
      <c r="G3384" s="3">
        <f t="shared" si="768"/>
        <v>29</v>
      </c>
      <c r="H3384" s="3">
        <f t="shared" si="769"/>
        <v>10</v>
      </c>
      <c r="I3384" s="3">
        <f t="shared" si="770"/>
        <v>2</v>
      </c>
      <c r="J3384" s="3">
        <f t="shared" si="771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772"/>
        <v>YES</v>
      </c>
      <c r="Q3384" t="str">
        <f t="shared" si="773"/>
        <v>NO</v>
      </c>
      <c r="R3384" t="str">
        <f t="shared" si="774"/>
        <v>NO</v>
      </c>
      <c r="T3384" t="s">
        <v>316</v>
      </c>
      <c r="U3384" t="str">
        <f t="shared" si="761"/>
        <v>Bishop Allen Dr</v>
      </c>
      <c r="V3384" t="s">
        <v>32</v>
      </c>
      <c r="W3384" t="str">
        <f t="shared" si="762"/>
        <v>Main St</v>
      </c>
      <c r="X3384" t="str">
        <f>IF(ISBLANK(S3384),"Intersection","Non-Intersection")</f>
        <v>Intersection</v>
      </c>
      <c r="Y3384" t="s">
        <v>4258</v>
      </c>
      <c r="Z3384" t="str">
        <f t="shared" si="763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764"/>
        <v>40909</v>
      </c>
      <c r="D3385" s="4">
        <f t="shared" si="765"/>
        <v>0.16120218579234974</v>
      </c>
      <c r="E3385" s="3">
        <f t="shared" si="766"/>
        <v>2012</v>
      </c>
      <c r="F3385" s="3">
        <f t="shared" si="767"/>
        <v>2</v>
      </c>
      <c r="G3385" s="3">
        <f t="shared" si="768"/>
        <v>29</v>
      </c>
      <c r="H3385" s="3">
        <f t="shared" si="769"/>
        <v>14</v>
      </c>
      <c r="I3385" s="3">
        <f t="shared" si="770"/>
        <v>49</v>
      </c>
      <c r="J3385" s="3">
        <f t="shared" si="771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772"/>
        <v>YES</v>
      </c>
      <c r="Q3385" t="str">
        <f t="shared" si="773"/>
        <v>NO</v>
      </c>
      <c r="R3385" t="str">
        <f t="shared" si="774"/>
        <v>NO</v>
      </c>
      <c r="T3385" t="s">
        <v>19</v>
      </c>
      <c r="U3385" t="str">
        <f t="shared" si="761"/>
        <v>Cambridge St</v>
      </c>
      <c r="V3385" t="s">
        <v>74</v>
      </c>
      <c r="W3385" t="str">
        <f t="shared" si="762"/>
        <v>Hampshire St</v>
      </c>
      <c r="X3385" t="str">
        <f>IF(ISBLANK(S3385),"Intersection","Non-Intersection")</f>
        <v>Intersection</v>
      </c>
      <c r="Y3385" t="s">
        <v>111</v>
      </c>
      <c r="Z3385" t="str">
        <f t="shared" si="763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764"/>
        <v>40909</v>
      </c>
      <c r="D3386" s="4">
        <f t="shared" si="765"/>
        <v>0.16120218579234974</v>
      </c>
      <c r="E3386" s="3">
        <f t="shared" si="766"/>
        <v>2012</v>
      </c>
      <c r="F3386" s="3">
        <f t="shared" si="767"/>
        <v>2</v>
      </c>
      <c r="G3386" s="3">
        <f t="shared" si="768"/>
        <v>29</v>
      </c>
      <c r="H3386" s="3">
        <f t="shared" si="769"/>
        <v>15</v>
      </c>
      <c r="I3386" s="3">
        <f t="shared" si="770"/>
        <v>2</v>
      </c>
      <c r="J3386" s="3">
        <f t="shared" si="771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772"/>
        <v>YES</v>
      </c>
      <c r="Q3386" t="str">
        <f t="shared" si="773"/>
        <v>NO</v>
      </c>
      <c r="R3386" t="str">
        <f t="shared" si="774"/>
        <v>NO</v>
      </c>
      <c r="T3386" t="s">
        <v>958</v>
      </c>
      <c r="U3386" t="str">
        <f t="shared" si="761"/>
        <v>Pacific St</v>
      </c>
      <c r="V3386" t="s">
        <v>249</v>
      </c>
      <c r="W3386" t="str">
        <f t="shared" si="762"/>
        <v>Landsdowne St</v>
      </c>
      <c r="X3386" t="str">
        <f>IF(ISBLANK(S3386),"Intersection","Non-Intersection")</f>
        <v>Intersection</v>
      </c>
      <c r="Y3386" t="s">
        <v>2699</v>
      </c>
      <c r="Z3386" t="str">
        <f t="shared" si="763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764"/>
        <v>40909</v>
      </c>
      <c r="D3387" s="4">
        <f t="shared" si="765"/>
        <v>0.16120218579234974</v>
      </c>
      <c r="E3387" s="3">
        <f t="shared" si="766"/>
        <v>2012</v>
      </c>
      <c r="F3387" s="3">
        <f t="shared" si="767"/>
        <v>2</v>
      </c>
      <c r="G3387" s="3">
        <f t="shared" si="768"/>
        <v>29</v>
      </c>
      <c r="H3387" s="3">
        <f t="shared" si="769"/>
        <v>21</v>
      </c>
      <c r="I3387" s="3">
        <f t="shared" si="770"/>
        <v>45</v>
      </c>
      <c r="J3387" s="3">
        <f t="shared" si="771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772"/>
        <v>YES</v>
      </c>
      <c r="Q3387" t="str">
        <f t="shared" si="773"/>
        <v>YES</v>
      </c>
      <c r="R3387" t="str">
        <f t="shared" si="774"/>
        <v>NO</v>
      </c>
      <c r="T3387" t="s">
        <v>75</v>
      </c>
      <c r="U3387" t="str">
        <f t="shared" si="761"/>
        <v>Elm St</v>
      </c>
      <c r="V3387" t="s">
        <v>105</v>
      </c>
      <c r="W3387" t="str">
        <f t="shared" si="762"/>
        <v>Broadway</v>
      </c>
      <c r="X3387" t="str">
        <f>IF(ISBLANK(S3387),"Intersection","Non-Intersection")</f>
        <v>Intersection</v>
      </c>
      <c r="Y3387" t="s">
        <v>4259</v>
      </c>
      <c r="Z3387" t="str">
        <f t="shared" si="763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764"/>
        <v>40909</v>
      </c>
      <c r="D3388" s="4">
        <f t="shared" si="765"/>
        <v>0.16393442622950818</v>
      </c>
      <c r="E3388" s="3">
        <f t="shared" si="766"/>
        <v>2012</v>
      </c>
      <c r="F3388" s="3">
        <f t="shared" si="767"/>
        <v>3</v>
      </c>
      <c r="G3388" s="3">
        <f t="shared" si="768"/>
        <v>1</v>
      </c>
      <c r="H3388" s="3">
        <f t="shared" si="769"/>
        <v>21</v>
      </c>
      <c r="I3388" s="3">
        <f t="shared" si="770"/>
        <v>55</v>
      </c>
      <c r="J3388" s="3">
        <f t="shared" si="771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772"/>
        <v>YES</v>
      </c>
      <c r="Q3388" t="str">
        <f t="shared" si="773"/>
        <v>NO</v>
      </c>
      <c r="R3388" t="str">
        <f t="shared" si="774"/>
        <v>NO</v>
      </c>
      <c r="S3388">
        <v>168</v>
      </c>
      <c r="T3388" t="s">
        <v>170</v>
      </c>
      <c r="U3388" t="str">
        <f t="shared" si="761"/>
        <v>Alewife Brook Pky</v>
      </c>
      <c r="W3388" t="str">
        <f t="shared" si="762"/>
        <v/>
      </c>
      <c r="X3388" t="str">
        <f>IF(ISBLANK(S3388),"Intersection","Non-Intersection")</f>
        <v>Non-Intersection</v>
      </c>
      <c r="Y3388" t="s">
        <v>2921</v>
      </c>
      <c r="Z3388" t="str">
        <f t="shared" si="763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764"/>
        <v>40909</v>
      </c>
      <c r="D3389" s="4">
        <f t="shared" si="765"/>
        <v>0.16393442622950818</v>
      </c>
      <c r="E3389" s="3">
        <f t="shared" si="766"/>
        <v>2012</v>
      </c>
      <c r="F3389" s="3">
        <f t="shared" si="767"/>
        <v>3</v>
      </c>
      <c r="G3389" s="3">
        <f t="shared" si="768"/>
        <v>1</v>
      </c>
      <c r="H3389" s="3">
        <f t="shared" si="769"/>
        <v>20</v>
      </c>
      <c r="I3389" s="3">
        <f t="shared" si="770"/>
        <v>19</v>
      </c>
      <c r="J3389" s="3">
        <f t="shared" si="771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772"/>
        <v>YES</v>
      </c>
      <c r="Q3389" t="str">
        <f t="shared" si="773"/>
        <v>NO</v>
      </c>
      <c r="R3389" t="str">
        <f t="shared" si="774"/>
        <v>NO</v>
      </c>
      <c r="T3389" t="s">
        <v>19</v>
      </c>
      <c r="U3389" t="str">
        <f t="shared" si="761"/>
        <v>Cambridge St</v>
      </c>
      <c r="V3389" t="s">
        <v>61</v>
      </c>
      <c r="W3389" t="str">
        <f t="shared" si="762"/>
        <v>First St</v>
      </c>
      <c r="X3389" t="str">
        <f>IF(ISBLANK(S3389),"Intersection","Non-Intersection")</f>
        <v>Intersection</v>
      </c>
      <c r="Y3389" t="s">
        <v>494</v>
      </c>
      <c r="Z3389" t="str">
        <f t="shared" si="763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764"/>
        <v>40909</v>
      </c>
      <c r="D3390" s="4">
        <f t="shared" si="765"/>
        <v>0.16393442622950818</v>
      </c>
      <c r="E3390" s="3">
        <f t="shared" si="766"/>
        <v>2012</v>
      </c>
      <c r="F3390" s="3">
        <f t="shared" si="767"/>
        <v>3</v>
      </c>
      <c r="G3390" s="3">
        <f t="shared" si="768"/>
        <v>1</v>
      </c>
      <c r="H3390" s="3">
        <f t="shared" si="769"/>
        <v>20</v>
      </c>
      <c r="I3390" s="3">
        <f t="shared" si="770"/>
        <v>22</v>
      </c>
      <c r="J3390" s="3">
        <f t="shared" si="771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772"/>
        <v>YES</v>
      </c>
      <c r="Q3390" t="str">
        <f t="shared" si="773"/>
        <v>NO</v>
      </c>
      <c r="R3390" t="str">
        <f t="shared" si="774"/>
        <v>NO</v>
      </c>
      <c r="S3390">
        <v>319</v>
      </c>
      <c r="T3390" t="s">
        <v>186</v>
      </c>
      <c r="U3390" t="str">
        <f t="shared" si="761"/>
        <v>Concord Ave</v>
      </c>
      <c r="W3390" t="str">
        <f t="shared" si="762"/>
        <v/>
      </c>
      <c r="X3390" t="str">
        <f>IF(ISBLANK(S3390),"Intersection","Non-Intersection")</f>
        <v>Non-Intersection</v>
      </c>
      <c r="Y3390" t="s">
        <v>4261</v>
      </c>
      <c r="Z3390" t="str">
        <f t="shared" si="763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764"/>
        <v>40909</v>
      </c>
      <c r="D3391" s="4">
        <f t="shared" si="765"/>
        <v>0.16393442622950818</v>
      </c>
      <c r="E3391" s="3">
        <f t="shared" si="766"/>
        <v>2012</v>
      </c>
      <c r="F3391" s="3">
        <f t="shared" si="767"/>
        <v>3</v>
      </c>
      <c r="G3391" s="3">
        <f t="shared" si="768"/>
        <v>1</v>
      </c>
      <c r="H3391" s="3">
        <f t="shared" si="769"/>
        <v>21</v>
      </c>
      <c r="I3391" s="3">
        <f t="shared" si="770"/>
        <v>0</v>
      </c>
      <c r="J3391" s="3">
        <f t="shared" si="771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772"/>
        <v>YES</v>
      </c>
      <c r="Q3391" t="str">
        <f t="shared" si="773"/>
        <v>NO</v>
      </c>
      <c r="R3391" t="str">
        <f t="shared" si="774"/>
        <v>NO</v>
      </c>
      <c r="T3391" t="s">
        <v>45</v>
      </c>
      <c r="U3391" t="str">
        <f t="shared" si="761"/>
        <v>Sherman St</v>
      </c>
      <c r="V3391" t="s">
        <v>4263</v>
      </c>
      <c r="W3391" t="str">
        <f t="shared" si="762"/>
        <v>Walden Mews</v>
      </c>
      <c r="X3391" t="str">
        <f>IF(ISBLANK(S3391),"Intersection","Non-Intersection")</f>
        <v>Intersection</v>
      </c>
      <c r="Y3391" t="s">
        <v>4264</v>
      </c>
      <c r="Z3391" t="str">
        <f t="shared" si="763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764"/>
        <v>40909</v>
      </c>
      <c r="D3392" s="4">
        <f t="shared" si="765"/>
        <v>0.16393442622950818</v>
      </c>
      <c r="E3392" s="3">
        <f t="shared" si="766"/>
        <v>2012</v>
      </c>
      <c r="F3392" s="3">
        <f t="shared" si="767"/>
        <v>3</v>
      </c>
      <c r="G3392" s="3">
        <f t="shared" si="768"/>
        <v>1</v>
      </c>
      <c r="H3392" s="3">
        <f t="shared" si="769"/>
        <v>21</v>
      </c>
      <c r="I3392" s="3">
        <f t="shared" si="770"/>
        <v>20</v>
      </c>
      <c r="J3392" s="3">
        <f t="shared" si="771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772"/>
        <v>YES</v>
      </c>
      <c r="Q3392" t="str">
        <f t="shared" si="773"/>
        <v>NO</v>
      </c>
      <c r="R3392" t="str">
        <f t="shared" si="774"/>
        <v>NO</v>
      </c>
      <c r="S3392">
        <v>40</v>
      </c>
      <c r="T3392" t="s">
        <v>15</v>
      </c>
      <c r="U3392" t="str">
        <f t="shared" si="761"/>
        <v>Rindge Ave</v>
      </c>
      <c r="W3392" t="str">
        <f t="shared" si="762"/>
        <v/>
      </c>
      <c r="X3392" t="str">
        <f>IF(ISBLANK(S3392),"Intersection","Non-Intersection")</f>
        <v>Non-Intersection</v>
      </c>
      <c r="Y3392" t="s">
        <v>4265</v>
      </c>
      <c r="Z3392" t="str">
        <f t="shared" si="763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764"/>
        <v>40909</v>
      </c>
      <c r="D3393" s="4">
        <f t="shared" si="765"/>
        <v>0.16393442622950818</v>
      </c>
      <c r="E3393" s="3">
        <f t="shared" si="766"/>
        <v>2012</v>
      </c>
      <c r="F3393" s="3">
        <f t="shared" si="767"/>
        <v>3</v>
      </c>
      <c r="G3393" s="3">
        <f t="shared" si="768"/>
        <v>1</v>
      </c>
      <c r="H3393" s="3">
        <f t="shared" si="769"/>
        <v>21</v>
      </c>
      <c r="I3393" s="3">
        <f t="shared" si="770"/>
        <v>45</v>
      </c>
      <c r="J3393" s="3">
        <f t="shared" si="771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772"/>
        <v>YES</v>
      </c>
      <c r="Q3393" t="str">
        <f t="shared" si="773"/>
        <v>NO</v>
      </c>
      <c r="R3393" t="str">
        <f t="shared" si="774"/>
        <v>NO</v>
      </c>
      <c r="T3393" t="s">
        <v>119</v>
      </c>
      <c r="U3393" t="str">
        <f t="shared" si="761"/>
        <v>Albany St</v>
      </c>
      <c r="V3393" t="s">
        <v>14</v>
      </c>
      <c r="W3393" t="str">
        <f t="shared" si="762"/>
        <v>Massachusetts Ave</v>
      </c>
      <c r="X3393" t="str">
        <f>IF(ISBLANK(S3393),"Intersection","Non-Intersection")</f>
        <v>Intersection</v>
      </c>
      <c r="Y3393" t="s">
        <v>1000</v>
      </c>
      <c r="Z3393" t="str">
        <f t="shared" si="763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764"/>
        <v>40909</v>
      </c>
      <c r="D3394" s="4">
        <f t="shared" si="765"/>
        <v>0.16393442622950818</v>
      </c>
      <c r="E3394" s="3">
        <f t="shared" si="766"/>
        <v>2012</v>
      </c>
      <c r="F3394" s="3">
        <f t="shared" si="767"/>
        <v>3</v>
      </c>
      <c r="G3394" s="3">
        <f t="shared" si="768"/>
        <v>1</v>
      </c>
      <c r="H3394" s="3">
        <f t="shared" si="769"/>
        <v>0</v>
      </c>
      <c r="I3394" s="3">
        <f t="shared" si="770"/>
        <v>4</v>
      </c>
      <c r="J3394" s="3">
        <f t="shared" si="771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772"/>
        <v>YES</v>
      </c>
      <c r="Q3394" t="str">
        <f t="shared" si="773"/>
        <v>NO</v>
      </c>
      <c r="R3394" t="str">
        <f t="shared" si="774"/>
        <v>NO</v>
      </c>
      <c r="S3394">
        <v>91</v>
      </c>
      <c r="T3394" t="s">
        <v>45</v>
      </c>
      <c r="U3394" t="str">
        <f t="shared" si="761"/>
        <v>Sherman St</v>
      </c>
      <c r="W3394" t="str">
        <f t="shared" si="762"/>
        <v/>
      </c>
      <c r="X3394" t="str">
        <f>IF(ISBLANK(S3394),"Intersection","Non-Intersection")</f>
        <v>Non-Intersection</v>
      </c>
      <c r="Y3394" t="s">
        <v>46</v>
      </c>
      <c r="Z3394" t="str">
        <f t="shared" si="763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764"/>
        <v>40909</v>
      </c>
      <c r="D3395" s="4">
        <f t="shared" si="765"/>
        <v>0.16666666666666666</v>
      </c>
      <c r="E3395" s="3">
        <f t="shared" si="766"/>
        <v>2012</v>
      </c>
      <c r="F3395" s="3">
        <f t="shared" si="767"/>
        <v>3</v>
      </c>
      <c r="G3395" s="3">
        <f t="shared" si="768"/>
        <v>2</v>
      </c>
      <c r="H3395" s="3">
        <f t="shared" si="769"/>
        <v>9</v>
      </c>
      <c r="I3395" s="3">
        <f t="shared" si="770"/>
        <v>0</v>
      </c>
      <c r="J3395" s="3">
        <f t="shared" si="771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772"/>
        <v>YES</v>
      </c>
      <c r="Q3395" t="str">
        <f t="shared" si="773"/>
        <v>NO</v>
      </c>
      <c r="R3395" t="str">
        <f t="shared" si="774"/>
        <v>NO</v>
      </c>
      <c r="T3395" t="s">
        <v>133</v>
      </c>
      <c r="U3395" t="str">
        <f t="shared" ref="U3395:U3458" si="775">TRIM(PROPER(T3395))</f>
        <v>Harvard St</v>
      </c>
      <c r="V3395" t="s">
        <v>2995</v>
      </c>
      <c r="W3395" t="str">
        <f t="shared" ref="W3395:W3458" si="776">TRIM(PROPER(V3395))</f>
        <v>Hancock Park</v>
      </c>
      <c r="X3395" t="str">
        <f>IF(ISBLANK(S3395),"Intersection","Non-Intersection")</f>
        <v>Intersection</v>
      </c>
      <c r="Y3395" t="s">
        <v>4267</v>
      </c>
      <c r="Z3395" t="str">
        <f t="shared" ref="Z3395:Z3458" si="777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764"/>
        <v>40909</v>
      </c>
      <c r="D3396" s="4">
        <f t="shared" si="765"/>
        <v>0.16666666666666666</v>
      </c>
      <c r="E3396" s="3">
        <f t="shared" si="766"/>
        <v>2012</v>
      </c>
      <c r="F3396" s="3">
        <f t="shared" si="767"/>
        <v>3</v>
      </c>
      <c r="G3396" s="3">
        <f t="shared" si="768"/>
        <v>2</v>
      </c>
      <c r="H3396" s="3">
        <f t="shared" si="769"/>
        <v>18</v>
      </c>
      <c r="I3396" s="3">
        <f t="shared" si="770"/>
        <v>21</v>
      </c>
      <c r="J3396" s="3">
        <f t="shared" si="771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772"/>
        <v>YES</v>
      </c>
      <c r="Q3396" t="str">
        <f t="shared" si="773"/>
        <v>NO</v>
      </c>
      <c r="R3396" t="str">
        <f t="shared" si="774"/>
        <v>NO</v>
      </c>
      <c r="T3396" t="s">
        <v>1752</v>
      </c>
      <c r="U3396" t="str">
        <f t="shared" si="775"/>
        <v>Cambridgepark Dr</v>
      </c>
      <c r="V3396" t="s">
        <v>170</v>
      </c>
      <c r="W3396" t="str">
        <f t="shared" si="776"/>
        <v>Alewife Brook Pky</v>
      </c>
      <c r="X3396" t="str">
        <f>IF(ISBLANK(S3396),"Intersection","Non-Intersection")</f>
        <v>Intersection</v>
      </c>
      <c r="Y3396" t="s">
        <v>2944</v>
      </c>
      <c r="Z3396" t="str">
        <f t="shared" si="777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764"/>
        <v>40909</v>
      </c>
      <c r="D3397" s="4">
        <f t="shared" si="765"/>
        <v>0.16939890710382513</v>
      </c>
      <c r="E3397" s="3">
        <f t="shared" si="766"/>
        <v>2012</v>
      </c>
      <c r="F3397" s="3">
        <f t="shared" si="767"/>
        <v>3</v>
      </c>
      <c r="G3397" s="3">
        <f t="shared" si="768"/>
        <v>3</v>
      </c>
      <c r="H3397" s="3">
        <f t="shared" si="769"/>
        <v>13</v>
      </c>
      <c r="I3397" s="3">
        <f t="shared" si="770"/>
        <v>31</v>
      </c>
      <c r="J3397" s="3">
        <f t="shared" si="771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772"/>
        <v>YES</v>
      </c>
      <c r="Q3397" t="str">
        <f t="shared" si="773"/>
        <v>NO</v>
      </c>
      <c r="R3397" t="str">
        <f t="shared" si="774"/>
        <v>NO</v>
      </c>
      <c r="S3397">
        <v>4</v>
      </c>
      <c r="T3397" t="s">
        <v>4156</v>
      </c>
      <c r="U3397" t="str">
        <f t="shared" si="775"/>
        <v>University Pl</v>
      </c>
      <c r="W3397" t="str">
        <f t="shared" si="776"/>
        <v/>
      </c>
      <c r="X3397" t="str">
        <f>IF(ISBLANK(S3397),"Intersection","Non-Intersection")</f>
        <v>Non-Intersection</v>
      </c>
      <c r="Y3397" t="s">
        <v>4268</v>
      </c>
      <c r="Z3397" t="str">
        <f t="shared" si="777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764"/>
        <v>40909</v>
      </c>
      <c r="D3398" s="4">
        <f t="shared" si="765"/>
        <v>0.16939890710382513</v>
      </c>
      <c r="E3398" s="3">
        <f t="shared" si="766"/>
        <v>2012</v>
      </c>
      <c r="F3398" s="3">
        <f t="shared" si="767"/>
        <v>3</v>
      </c>
      <c r="G3398" s="3">
        <f t="shared" si="768"/>
        <v>3</v>
      </c>
      <c r="H3398" s="3">
        <f t="shared" si="769"/>
        <v>18</v>
      </c>
      <c r="I3398" s="3">
        <f t="shared" si="770"/>
        <v>0</v>
      </c>
      <c r="J3398" s="3">
        <f t="shared" si="771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772"/>
        <v>YES</v>
      </c>
      <c r="Q3398" t="str">
        <f t="shared" si="773"/>
        <v>NO</v>
      </c>
      <c r="R3398" t="str">
        <f t="shared" si="774"/>
        <v>NO</v>
      </c>
      <c r="T3398" t="s">
        <v>326</v>
      </c>
      <c r="U3398" t="str">
        <f t="shared" si="775"/>
        <v>Jfk St</v>
      </c>
      <c r="V3398" t="s">
        <v>203</v>
      </c>
      <c r="W3398" t="str">
        <f t="shared" si="776"/>
        <v>Memorial Dr</v>
      </c>
      <c r="X3398" t="str">
        <f>IF(ISBLANK(S3398),"Intersection","Non-Intersection")</f>
        <v>Intersection</v>
      </c>
      <c r="Y3398" t="s">
        <v>2827</v>
      </c>
      <c r="Z3398" t="str">
        <f t="shared" si="777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764"/>
        <v>40909</v>
      </c>
      <c r="D3399" s="4">
        <f t="shared" si="765"/>
        <v>0.16939890710382513</v>
      </c>
      <c r="E3399" s="3">
        <f t="shared" si="766"/>
        <v>2012</v>
      </c>
      <c r="F3399" s="3">
        <f t="shared" si="767"/>
        <v>3</v>
      </c>
      <c r="G3399" s="3">
        <f t="shared" si="768"/>
        <v>3</v>
      </c>
      <c r="H3399" s="3">
        <f t="shared" si="769"/>
        <v>23</v>
      </c>
      <c r="I3399" s="3">
        <f t="shared" si="770"/>
        <v>19</v>
      </c>
      <c r="J3399" s="3">
        <f t="shared" si="771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772"/>
        <v>YES</v>
      </c>
      <c r="Q3399" t="str">
        <f t="shared" si="773"/>
        <v>NO</v>
      </c>
      <c r="R3399" t="str">
        <f t="shared" si="774"/>
        <v>NO</v>
      </c>
      <c r="T3399" t="s">
        <v>14</v>
      </c>
      <c r="U3399" t="str">
        <f t="shared" si="775"/>
        <v>Massachusetts Ave</v>
      </c>
      <c r="V3399" t="s">
        <v>202</v>
      </c>
      <c r="W3399" t="str">
        <f t="shared" si="776"/>
        <v>Vassar St</v>
      </c>
      <c r="X3399" t="str">
        <f>IF(ISBLANK(S3399),"Intersection","Non-Intersection")</f>
        <v>Intersection</v>
      </c>
      <c r="Y3399" t="s">
        <v>361</v>
      </c>
      <c r="Z3399" t="str">
        <f t="shared" si="777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764"/>
        <v>40909</v>
      </c>
      <c r="D3400" s="4">
        <f t="shared" si="765"/>
        <v>0.16939890710382513</v>
      </c>
      <c r="E3400" s="3">
        <f t="shared" si="766"/>
        <v>2012</v>
      </c>
      <c r="F3400" s="3">
        <f t="shared" si="767"/>
        <v>3</v>
      </c>
      <c r="G3400" s="3">
        <f t="shared" si="768"/>
        <v>3</v>
      </c>
      <c r="H3400" s="3">
        <f t="shared" si="769"/>
        <v>12</v>
      </c>
      <c r="I3400" s="3">
        <f t="shared" si="770"/>
        <v>0</v>
      </c>
      <c r="J3400" s="3">
        <f t="shared" si="771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772"/>
        <v>YES</v>
      </c>
      <c r="Q3400" t="str">
        <f t="shared" si="773"/>
        <v>NO</v>
      </c>
      <c r="R3400" t="str">
        <f t="shared" si="774"/>
        <v>NO</v>
      </c>
      <c r="T3400" t="s">
        <v>4270</v>
      </c>
      <c r="U3400" t="str">
        <f t="shared" si="775"/>
        <v>Carver St</v>
      </c>
      <c r="W3400" t="str">
        <f t="shared" si="776"/>
        <v/>
      </c>
      <c r="X3400" t="str">
        <f>IF(ISBLANK(S3400),"Intersection","Non-Intersection")</f>
        <v>Intersection</v>
      </c>
      <c r="Y3400" t="s">
        <v>4271</v>
      </c>
      <c r="Z3400" t="str">
        <f t="shared" si="777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764"/>
        <v>40909</v>
      </c>
      <c r="D3401" s="4">
        <f t="shared" si="765"/>
        <v>0.1721311475409836</v>
      </c>
      <c r="E3401" s="3">
        <f t="shared" si="766"/>
        <v>2012</v>
      </c>
      <c r="F3401" s="3">
        <f t="shared" si="767"/>
        <v>3</v>
      </c>
      <c r="G3401" s="3">
        <f t="shared" si="768"/>
        <v>4</v>
      </c>
      <c r="H3401" s="3">
        <f t="shared" si="769"/>
        <v>14</v>
      </c>
      <c r="I3401" s="3">
        <f t="shared" si="770"/>
        <v>3</v>
      </c>
      <c r="J3401" s="3">
        <f t="shared" si="771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772"/>
        <v>YES</v>
      </c>
      <c r="Q3401" t="str">
        <f t="shared" si="773"/>
        <v>NO</v>
      </c>
      <c r="R3401" t="str">
        <f t="shared" si="774"/>
        <v>NO</v>
      </c>
      <c r="T3401" t="s">
        <v>556</v>
      </c>
      <c r="U3401" t="str">
        <f t="shared" si="775"/>
        <v>Bent St</v>
      </c>
      <c r="V3401" t="s">
        <v>760</v>
      </c>
      <c r="W3401" t="str">
        <f t="shared" si="776"/>
        <v>Fulkerson St</v>
      </c>
      <c r="X3401" t="str">
        <f>IF(ISBLANK(S3401),"Intersection","Non-Intersection")</f>
        <v>Intersection</v>
      </c>
      <c r="Y3401" t="s">
        <v>3391</v>
      </c>
      <c r="Z3401" t="str">
        <f t="shared" si="777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764"/>
        <v>40909</v>
      </c>
      <c r="D3402" s="4">
        <f t="shared" si="765"/>
        <v>0.1721311475409836</v>
      </c>
      <c r="E3402" s="3">
        <f t="shared" si="766"/>
        <v>2012</v>
      </c>
      <c r="F3402" s="3">
        <f t="shared" si="767"/>
        <v>3</v>
      </c>
      <c r="G3402" s="3">
        <f t="shared" si="768"/>
        <v>4</v>
      </c>
      <c r="H3402" s="3">
        <f t="shared" si="769"/>
        <v>16</v>
      </c>
      <c r="I3402" s="3">
        <f t="shared" si="770"/>
        <v>5</v>
      </c>
      <c r="J3402" s="3">
        <f t="shared" si="771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772"/>
        <v>YES</v>
      </c>
      <c r="Q3402" t="str">
        <f t="shared" si="773"/>
        <v>NO</v>
      </c>
      <c r="R3402" t="str">
        <f t="shared" si="774"/>
        <v>NO</v>
      </c>
      <c r="S3402">
        <v>781</v>
      </c>
      <c r="T3402" t="s">
        <v>32</v>
      </c>
      <c r="U3402" t="str">
        <f t="shared" si="775"/>
        <v>Main St</v>
      </c>
      <c r="V3402" t="s">
        <v>515</v>
      </c>
      <c r="W3402" t="str">
        <f t="shared" si="776"/>
        <v>Newtowne Ct</v>
      </c>
      <c r="X3402" t="str">
        <f>IF(ISBLANK(S3402),"Intersection","Non-Intersection")</f>
        <v>Non-Intersection</v>
      </c>
      <c r="Y3402" t="s">
        <v>4272</v>
      </c>
      <c r="Z3402" t="str">
        <f t="shared" si="777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764"/>
        <v>40909</v>
      </c>
      <c r="D3403" s="4">
        <f t="shared" si="765"/>
        <v>0.1721311475409836</v>
      </c>
      <c r="E3403" s="3">
        <f t="shared" si="766"/>
        <v>2012</v>
      </c>
      <c r="F3403" s="3">
        <f t="shared" si="767"/>
        <v>3</v>
      </c>
      <c r="G3403" s="3">
        <f t="shared" si="768"/>
        <v>4</v>
      </c>
      <c r="H3403" s="3">
        <f t="shared" si="769"/>
        <v>18</v>
      </c>
      <c r="I3403" s="3">
        <f t="shared" si="770"/>
        <v>46</v>
      </c>
      <c r="J3403" s="3">
        <f t="shared" si="771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772"/>
        <v>YES</v>
      </c>
      <c r="Q3403" t="str">
        <f t="shared" si="773"/>
        <v>NO</v>
      </c>
      <c r="R3403" t="str">
        <f t="shared" si="774"/>
        <v>NO</v>
      </c>
      <c r="S3403">
        <v>14</v>
      </c>
      <c r="T3403" t="s">
        <v>985</v>
      </c>
      <c r="U3403" t="str">
        <f t="shared" si="775"/>
        <v>Plymouth St</v>
      </c>
      <c r="W3403" t="str">
        <f t="shared" si="776"/>
        <v/>
      </c>
      <c r="X3403" t="str">
        <f>IF(ISBLANK(S3403),"Intersection","Non-Intersection")</f>
        <v>Non-Intersection</v>
      </c>
      <c r="Y3403" t="s">
        <v>4274</v>
      </c>
      <c r="Z3403" t="str">
        <f t="shared" si="777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764"/>
        <v>40909</v>
      </c>
      <c r="D3404" s="4">
        <f t="shared" si="765"/>
        <v>0.1721311475409836</v>
      </c>
      <c r="E3404" s="3">
        <f t="shared" si="766"/>
        <v>2012</v>
      </c>
      <c r="F3404" s="3">
        <f t="shared" si="767"/>
        <v>3</v>
      </c>
      <c r="G3404" s="3">
        <f t="shared" si="768"/>
        <v>4</v>
      </c>
      <c r="H3404" s="3">
        <f t="shared" si="769"/>
        <v>13</v>
      </c>
      <c r="I3404" s="3">
        <f t="shared" si="770"/>
        <v>9</v>
      </c>
      <c r="J3404" s="3">
        <f t="shared" si="771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772"/>
        <v>YES</v>
      </c>
      <c r="Q3404" t="str">
        <f t="shared" si="773"/>
        <v>NO</v>
      </c>
      <c r="R3404" t="str">
        <f t="shared" si="774"/>
        <v>NO</v>
      </c>
      <c r="T3404" t="s">
        <v>14</v>
      </c>
      <c r="U3404" t="str">
        <f t="shared" si="775"/>
        <v>Massachusetts Ave</v>
      </c>
      <c r="V3404" t="s">
        <v>524</v>
      </c>
      <c r="W3404" t="str">
        <f t="shared" si="776"/>
        <v>Blake St</v>
      </c>
      <c r="X3404" t="str">
        <f>IF(ISBLANK(S3404),"Intersection","Non-Intersection")</f>
        <v>Intersection</v>
      </c>
      <c r="Y3404" t="s">
        <v>3291</v>
      </c>
      <c r="Z3404" t="str">
        <f t="shared" si="777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764"/>
        <v>40909</v>
      </c>
      <c r="D3405" s="4">
        <f t="shared" si="765"/>
        <v>0.1721311475409836</v>
      </c>
      <c r="E3405" s="3">
        <f t="shared" si="766"/>
        <v>2012</v>
      </c>
      <c r="F3405" s="3">
        <f t="shared" si="767"/>
        <v>3</v>
      </c>
      <c r="G3405" s="3">
        <f t="shared" si="768"/>
        <v>4</v>
      </c>
      <c r="H3405" s="3">
        <f t="shared" si="769"/>
        <v>13</v>
      </c>
      <c r="I3405" s="3">
        <f t="shared" si="770"/>
        <v>19</v>
      </c>
      <c r="J3405" s="3">
        <f t="shared" si="771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772"/>
        <v>YES</v>
      </c>
      <c r="Q3405" t="str">
        <f t="shared" si="773"/>
        <v>NO</v>
      </c>
      <c r="R3405" t="str">
        <f t="shared" si="774"/>
        <v>NO</v>
      </c>
      <c r="T3405" t="s">
        <v>74</v>
      </c>
      <c r="U3405" t="str">
        <f t="shared" si="775"/>
        <v>Hampshire St</v>
      </c>
      <c r="V3405" t="s">
        <v>745</v>
      </c>
      <c r="W3405" t="str">
        <f t="shared" si="776"/>
        <v>Norfolk St</v>
      </c>
      <c r="X3405" t="str">
        <f>IF(ISBLANK(S3405),"Intersection","Non-Intersection")</f>
        <v>Intersection</v>
      </c>
      <c r="Y3405" t="s">
        <v>2006</v>
      </c>
      <c r="Z3405" t="str">
        <f t="shared" si="777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764"/>
        <v>40909</v>
      </c>
      <c r="D3406" s="4">
        <f t="shared" si="765"/>
        <v>0.1721311475409836</v>
      </c>
      <c r="E3406" s="3">
        <f t="shared" si="766"/>
        <v>2012</v>
      </c>
      <c r="F3406" s="3">
        <f t="shared" si="767"/>
        <v>3</v>
      </c>
      <c r="G3406" s="3">
        <f t="shared" si="768"/>
        <v>4</v>
      </c>
      <c r="H3406" s="3">
        <f t="shared" si="769"/>
        <v>13</v>
      </c>
      <c r="I3406" s="3">
        <f t="shared" si="770"/>
        <v>50</v>
      </c>
      <c r="J3406" s="3">
        <f t="shared" si="771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772"/>
        <v>YES</v>
      </c>
      <c r="Q3406" t="str">
        <f t="shared" si="773"/>
        <v>NO</v>
      </c>
      <c r="R3406" t="str">
        <f t="shared" si="774"/>
        <v>NO</v>
      </c>
      <c r="S3406">
        <v>0</v>
      </c>
      <c r="T3406" t="s">
        <v>185</v>
      </c>
      <c r="U3406" t="str">
        <f t="shared" si="775"/>
        <v>Garden St</v>
      </c>
      <c r="W3406" t="str">
        <f t="shared" si="776"/>
        <v/>
      </c>
      <c r="X3406" t="str">
        <f>IF(ISBLANK(S3406),"Intersection","Non-Intersection")</f>
        <v>Non-Intersection</v>
      </c>
      <c r="Y3406" t="s">
        <v>3901</v>
      </c>
      <c r="Z3406" t="str">
        <f t="shared" si="777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764"/>
        <v>40909</v>
      </c>
      <c r="D3407" s="4">
        <f t="shared" si="765"/>
        <v>0.1721311475409836</v>
      </c>
      <c r="E3407" s="3">
        <f t="shared" si="766"/>
        <v>2012</v>
      </c>
      <c r="F3407" s="3">
        <f t="shared" si="767"/>
        <v>3</v>
      </c>
      <c r="G3407" s="3">
        <f t="shared" si="768"/>
        <v>4</v>
      </c>
      <c r="H3407" s="3">
        <f t="shared" si="769"/>
        <v>18</v>
      </c>
      <c r="I3407" s="3">
        <f t="shared" si="770"/>
        <v>59</v>
      </c>
      <c r="J3407" s="3">
        <f t="shared" si="771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772"/>
        <v>YES</v>
      </c>
      <c r="Q3407" t="str">
        <f t="shared" si="773"/>
        <v>NO</v>
      </c>
      <c r="R3407" t="str">
        <f t="shared" si="774"/>
        <v>NO</v>
      </c>
      <c r="T3407" t="s">
        <v>37</v>
      </c>
      <c r="U3407" t="str">
        <f t="shared" si="775"/>
        <v>Magazine St</v>
      </c>
      <c r="V3407" t="s">
        <v>116</v>
      </c>
      <c r="W3407" t="str">
        <f t="shared" si="776"/>
        <v>Chestnut St</v>
      </c>
      <c r="X3407" t="str">
        <f>IF(ISBLANK(S3407),"Intersection","Non-Intersection")</f>
        <v>Intersection</v>
      </c>
      <c r="Y3407" t="s">
        <v>1246</v>
      </c>
      <c r="Z3407" t="str">
        <f t="shared" si="777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764"/>
        <v>40909</v>
      </c>
      <c r="D3408" s="4">
        <f t="shared" si="765"/>
        <v>0.1721311475409836</v>
      </c>
      <c r="E3408" s="3">
        <f t="shared" si="766"/>
        <v>2012</v>
      </c>
      <c r="F3408" s="3">
        <f t="shared" si="767"/>
        <v>3</v>
      </c>
      <c r="G3408" s="3">
        <f t="shared" si="768"/>
        <v>4</v>
      </c>
      <c r="H3408" s="3">
        <f t="shared" si="769"/>
        <v>18</v>
      </c>
      <c r="I3408" s="3">
        <f t="shared" si="770"/>
        <v>33</v>
      </c>
      <c r="J3408" s="3">
        <f t="shared" si="771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772"/>
        <v>YES</v>
      </c>
      <c r="Q3408" t="str">
        <f t="shared" si="773"/>
        <v>NO</v>
      </c>
      <c r="R3408" t="str">
        <f t="shared" si="774"/>
        <v>NO</v>
      </c>
      <c r="S3408">
        <v>2000</v>
      </c>
      <c r="T3408" t="s">
        <v>14</v>
      </c>
      <c r="U3408" t="str">
        <f t="shared" si="775"/>
        <v>Massachusetts Ave</v>
      </c>
      <c r="W3408" t="str">
        <f t="shared" si="776"/>
        <v/>
      </c>
      <c r="X3408" t="str">
        <f>IF(ISBLANK(S3408),"Intersection","Non-Intersection")</f>
        <v>Non-Intersection</v>
      </c>
      <c r="Y3408" t="s">
        <v>1773</v>
      </c>
      <c r="Z3408" t="str">
        <f t="shared" si="777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764"/>
        <v>40909</v>
      </c>
      <c r="D3409" s="4">
        <f t="shared" si="765"/>
        <v>0.17486338797814208</v>
      </c>
      <c r="E3409" s="3">
        <f t="shared" si="766"/>
        <v>2012</v>
      </c>
      <c r="F3409" s="3">
        <f t="shared" si="767"/>
        <v>3</v>
      </c>
      <c r="G3409" s="3">
        <f t="shared" si="768"/>
        <v>5</v>
      </c>
      <c r="H3409" s="3">
        <f t="shared" si="769"/>
        <v>8</v>
      </c>
      <c r="I3409" s="3">
        <f t="shared" si="770"/>
        <v>0</v>
      </c>
      <c r="J3409" s="3">
        <f t="shared" si="771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772"/>
        <v>YES</v>
      </c>
      <c r="Q3409" t="str">
        <f t="shared" si="773"/>
        <v>NO</v>
      </c>
      <c r="R3409" t="str">
        <f t="shared" si="774"/>
        <v>NO</v>
      </c>
      <c r="T3409" t="s">
        <v>14</v>
      </c>
      <c r="U3409" t="str">
        <f t="shared" si="775"/>
        <v>Massachusetts Ave</v>
      </c>
      <c r="V3409" t="s">
        <v>1275</v>
      </c>
      <c r="W3409" t="str">
        <f t="shared" si="776"/>
        <v>Richard Ave</v>
      </c>
      <c r="X3409" t="str">
        <f>IF(ISBLANK(S3409),"Intersection","Non-Intersection")</f>
        <v>Intersection</v>
      </c>
      <c r="Y3409" t="s">
        <v>2495</v>
      </c>
      <c r="Z3409" t="str">
        <f t="shared" si="777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764"/>
        <v>40909</v>
      </c>
      <c r="D3410" s="4">
        <f t="shared" si="765"/>
        <v>0.17759562841530055</v>
      </c>
      <c r="E3410" s="3">
        <f t="shared" si="766"/>
        <v>2012</v>
      </c>
      <c r="F3410" s="3">
        <f t="shared" si="767"/>
        <v>3</v>
      </c>
      <c r="G3410" s="3">
        <f t="shared" si="768"/>
        <v>6</v>
      </c>
      <c r="H3410" s="3">
        <f t="shared" si="769"/>
        <v>10</v>
      </c>
      <c r="I3410" s="3">
        <f t="shared" si="770"/>
        <v>5</v>
      </c>
      <c r="J3410" s="3">
        <f t="shared" si="771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772"/>
        <v>YES</v>
      </c>
      <c r="Q3410" t="str">
        <f t="shared" si="773"/>
        <v>NO</v>
      </c>
      <c r="R3410" t="str">
        <f t="shared" si="774"/>
        <v>NO</v>
      </c>
      <c r="T3410" t="s">
        <v>14</v>
      </c>
      <c r="U3410" t="str">
        <f t="shared" si="775"/>
        <v>Massachusetts Ave</v>
      </c>
      <c r="V3410" t="s">
        <v>1316</v>
      </c>
      <c r="W3410" t="str">
        <f t="shared" si="776"/>
        <v>State St</v>
      </c>
      <c r="X3410" t="str">
        <f>IF(ISBLANK(S3410),"Intersection","Non-Intersection")</f>
        <v>Intersection</v>
      </c>
      <c r="Y3410" t="s">
        <v>1317</v>
      </c>
      <c r="Z3410" t="str">
        <f t="shared" si="777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764"/>
        <v>40909</v>
      </c>
      <c r="D3411" s="4">
        <f t="shared" si="765"/>
        <v>0.17759562841530055</v>
      </c>
      <c r="E3411" s="3">
        <f t="shared" si="766"/>
        <v>2012</v>
      </c>
      <c r="F3411" s="3">
        <f t="shared" si="767"/>
        <v>3</v>
      </c>
      <c r="G3411" s="3">
        <f t="shared" si="768"/>
        <v>6</v>
      </c>
      <c r="H3411" s="3">
        <f t="shared" si="769"/>
        <v>15</v>
      </c>
      <c r="I3411" s="3">
        <f t="shared" si="770"/>
        <v>10</v>
      </c>
      <c r="J3411" s="3">
        <f t="shared" si="771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772"/>
        <v>YES</v>
      </c>
      <c r="Q3411" t="str">
        <f t="shared" si="773"/>
        <v>NO</v>
      </c>
      <c r="R3411" t="str">
        <f t="shared" si="774"/>
        <v>NO</v>
      </c>
      <c r="T3411" t="s">
        <v>710</v>
      </c>
      <c r="U3411" t="str">
        <f t="shared" si="775"/>
        <v>Fresh Pond Pky</v>
      </c>
      <c r="W3411" t="str">
        <f t="shared" si="776"/>
        <v/>
      </c>
      <c r="X3411" t="str">
        <f>IF(ISBLANK(S3411),"Intersection","Non-Intersection")</f>
        <v>Intersection</v>
      </c>
      <c r="Y3411" t="s">
        <v>726</v>
      </c>
      <c r="Z3411" t="str">
        <f t="shared" si="777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764"/>
        <v>40909</v>
      </c>
      <c r="D3412" s="4">
        <f t="shared" si="765"/>
        <v>0.18032786885245902</v>
      </c>
      <c r="E3412" s="3">
        <f t="shared" si="766"/>
        <v>2012</v>
      </c>
      <c r="F3412" s="3">
        <f t="shared" si="767"/>
        <v>3</v>
      </c>
      <c r="G3412" s="3">
        <f t="shared" si="768"/>
        <v>7</v>
      </c>
      <c r="H3412" s="3">
        <f t="shared" si="769"/>
        <v>10</v>
      </c>
      <c r="I3412" s="3">
        <f t="shared" si="770"/>
        <v>15</v>
      </c>
      <c r="J3412" s="3">
        <f t="shared" si="771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772"/>
        <v>YES</v>
      </c>
      <c r="Q3412" t="str">
        <f t="shared" si="773"/>
        <v>NO</v>
      </c>
      <c r="R3412" t="str">
        <f t="shared" si="774"/>
        <v>NO</v>
      </c>
      <c r="T3412" t="s">
        <v>37</v>
      </c>
      <c r="U3412" t="str">
        <f t="shared" si="775"/>
        <v>Magazine St</v>
      </c>
      <c r="V3412" t="s">
        <v>116</v>
      </c>
      <c r="W3412" t="str">
        <f t="shared" si="776"/>
        <v>Chestnut St</v>
      </c>
      <c r="X3412" t="str">
        <f>IF(ISBLANK(S3412),"Intersection","Non-Intersection")</f>
        <v>Intersection</v>
      </c>
      <c r="Y3412" t="s">
        <v>1246</v>
      </c>
      <c r="Z3412" t="str">
        <f t="shared" si="777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764"/>
        <v>40909</v>
      </c>
      <c r="D3413" s="4">
        <f t="shared" si="765"/>
        <v>0.18032786885245902</v>
      </c>
      <c r="E3413" s="3">
        <f t="shared" si="766"/>
        <v>2012</v>
      </c>
      <c r="F3413" s="3">
        <f t="shared" si="767"/>
        <v>3</v>
      </c>
      <c r="G3413" s="3">
        <f t="shared" si="768"/>
        <v>7</v>
      </c>
      <c r="H3413" s="3">
        <f t="shared" si="769"/>
        <v>19</v>
      </c>
      <c r="I3413" s="3">
        <f t="shared" si="770"/>
        <v>57</v>
      </c>
      <c r="J3413" s="3">
        <f t="shared" si="771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772"/>
        <v>YES</v>
      </c>
      <c r="Q3413" t="str">
        <f t="shared" si="773"/>
        <v>YES</v>
      </c>
      <c r="R3413" t="str">
        <f t="shared" si="774"/>
        <v>NO</v>
      </c>
      <c r="S3413">
        <v>1</v>
      </c>
      <c r="T3413" t="s">
        <v>74</v>
      </c>
      <c r="U3413" t="str">
        <f t="shared" si="775"/>
        <v>Hampshire St</v>
      </c>
      <c r="W3413" t="str">
        <f t="shared" si="776"/>
        <v/>
      </c>
      <c r="X3413" t="str">
        <f>IF(ISBLANK(S3413),"Intersection","Non-Intersection")</f>
        <v>Non-Intersection</v>
      </c>
      <c r="Y3413" t="s">
        <v>240</v>
      </c>
      <c r="Z3413" t="str">
        <f t="shared" si="777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764"/>
        <v>40909</v>
      </c>
      <c r="D3414" s="4">
        <f t="shared" si="765"/>
        <v>0.18032786885245902</v>
      </c>
      <c r="E3414" s="3">
        <f t="shared" si="766"/>
        <v>2012</v>
      </c>
      <c r="F3414" s="3">
        <f t="shared" si="767"/>
        <v>3</v>
      </c>
      <c r="G3414" s="3">
        <f t="shared" si="768"/>
        <v>7</v>
      </c>
      <c r="H3414" s="3">
        <f t="shared" si="769"/>
        <v>8</v>
      </c>
      <c r="I3414" s="3">
        <f t="shared" si="770"/>
        <v>29</v>
      </c>
      <c r="J3414" s="3">
        <f t="shared" si="771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772"/>
        <v>YES</v>
      </c>
      <c r="Q3414" t="str">
        <f t="shared" si="773"/>
        <v>NO</v>
      </c>
      <c r="R3414" t="str">
        <f t="shared" si="774"/>
        <v>NO</v>
      </c>
      <c r="T3414" t="s">
        <v>162</v>
      </c>
      <c r="U3414" t="str">
        <f t="shared" si="775"/>
        <v>Bennett St</v>
      </c>
      <c r="V3414" t="s">
        <v>1813</v>
      </c>
      <c r="W3414" t="str">
        <f t="shared" si="776"/>
        <v>University Rd</v>
      </c>
      <c r="X3414" t="str">
        <f>IF(ISBLANK(S3414),"Intersection","Non-Intersection")</f>
        <v>Intersection</v>
      </c>
      <c r="Y3414" t="s">
        <v>4276</v>
      </c>
      <c r="Z3414" t="str">
        <f t="shared" si="777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764"/>
        <v>40909</v>
      </c>
      <c r="D3415" s="4">
        <f t="shared" si="765"/>
        <v>0.1830601092896175</v>
      </c>
      <c r="E3415" s="3">
        <f t="shared" si="766"/>
        <v>2012</v>
      </c>
      <c r="F3415" s="3">
        <f t="shared" si="767"/>
        <v>3</v>
      </c>
      <c r="G3415" s="3">
        <f t="shared" si="768"/>
        <v>8</v>
      </c>
      <c r="H3415" s="3">
        <f t="shared" si="769"/>
        <v>10</v>
      </c>
      <c r="I3415" s="3">
        <f t="shared" si="770"/>
        <v>30</v>
      </c>
      <c r="J3415" s="3">
        <f t="shared" si="771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772"/>
        <v>YES</v>
      </c>
      <c r="Q3415" t="str">
        <f t="shared" si="773"/>
        <v>NO</v>
      </c>
      <c r="R3415" t="str">
        <f t="shared" si="774"/>
        <v>NO</v>
      </c>
      <c r="S3415">
        <v>32</v>
      </c>
      <c r="T3415" t="s">
        <v>202</v>
      </c>
      <c r="U3415" t="str">
        <f t="shared" si="775"/>
        <v>Vassar St</v>
      </c>
      <c r="W3415" t="str">
        <f t="shared" si="776"/>
        <v/>
      </c>
      <c r="X3415" t="str">
        <f>IF(ISBLANK(S3415),"Intersection","Non-Intersection")</f>
        <v>Non-Intersection</v>
      </c>
      <c r="Y3415" t="s">
        <v>3759</v>
      </c>
      <c r="Z3415" t="str">
        <f t="shared" si="777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764"/>
        <v>40909</v>
      </c>
      <c r="D3416" s="4">
        <f t="shared" si="765"/>
        <v>0.1830601092896175</v>
      </c>
      <c r="E3416" s="3">
        <f t="shared" si="766"/>
        <v>2012</v>
      </c>
      <c r="F3416" s="3">
        <f t="shared" si="767"/>
        <v>3</v>
      </c>
      <c r="G3416" s="3">
        <f t="shared" si="768"/>
        <v>8</v>
      </c>
      <c r="H3416" s="3">
        <f t="shared" si="769"/>
        <v>11</v>
      </c>
      <c r="I3416" s="3">
        <f t="shared" si="770"/>
        <v>32</v>
      </c>
      <c r="J3416" s="3">
        <f t="shared" si="771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772"/>
        <v>YES</v>
      </c>
      <c r="Q3416" t="str">
        <f t="shared" si="773"/>
        <v>NO</v>
      </c>
      <c r="R3416" t="str">
        <f t="shared" si="774"/>
        <v>NO</v>
      </c>
      <c r="S3416">
        <v>1697</v>
      </c>
      <c r="T3416" t="s">
        <v>19</v>
      </c>
      <c r="U3416" t="str">
        <f t="shared" si="775"/>
        <v>Cambridge St</v>
      </c>
      <c r="W3416" t="str">
        <f t="shared" si="776"/>
        <v/>
      </c>
      <c r="X3416" t="str">
        <f>IF(ISBLANK(S3416),"Intersection","Non-Intersection")</f>
        <v>Non-Intersection</v>
      </c>
      <c r="Y3416" t="s">
        <v>4278</v>
      </c>
      <c r="Z3416" t="str">
        <f t="shared" si="777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764"/>
        <v>40909</v>
      </c>
      <c r="D3417" s="4">
        <f t="shared" si="765"/>
        <v>0.1830601092896175</v>
      </c>
      <c r="E3417" s="3">
        <f t="shared" si="766"/>
        <v>2012</v>
      </c>
      <c r="F3417" s="3">
        <f t="shared" si="767"/>
        <v>3</v>
      </c>
      <c r="G3417" s="3">
        <f t="shared" si="768"/>
        <v>8</v>
      </c>
      <c r="H3417" s="3">
        <f t="shared" si="769"/>
        <v>11</v>
      </c>
      <c r="I3417" s="3">
        <f t="shared" si="770"/>
        <v>15</v>
      </c>
      <c r="J3417" s="3">
        <f t="shared" si="771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772"/>
        <v>YES</v>
      </c>
      <c r="Q3417" t="str">
        <f t="shared" si="773"/>
        <v>NO</v>
      </c>
      <c r="R3417" t="str">
        <f t="shared" si="774"/>
        <v>NO</v>
      </c>
      <c r="S3417">
        <v>1920</v>
      </c>
      <c r="T3417" t="s">
        <v>14</v>
      </c>
      <c r="U3417" t="str">
        <f t="shared" si="775"/>
        <v>Massachusetts Ave</v>
      </c>
      <c r="W3417" t="str">
        <f t="shared" si="776"/>
        <v/>
      </c>
      <c r="X3417" t="str">
        <f>IF(ISBLANK(S3417),"Intersection","Non-Intersection")</f>
        <v>Non-Intersection</v>
      </c>
      <c r="Y3417" t="s">
        <v>1333</v>
      </c>
      <c r="Z3417" t="str">
        <f t="shared" si="777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764"/>
        <v>40909</v>
      </c>
      <c r="D3418" s="4">
        <f t="shared" si="765"/>
        <v>0.1830601092896175</v>
      </c>
      <c r="E3418" s="3">
        <f t="shared" si="766"/>
        <v>2012</v>
      </c>
      <c r="F3418" s="3">
        <f t="shared" si="767"/>
        <v>3</v>
      </c>
      <c r="G3418" s="3">
        <f t="shared" si="768"/>
        <v>8</v>
      </c>
      <c r="H3418" s="3">
        <f t="shared" si="769"/>
        <v>18</v>
      </c>
      <c r="I3418" s="3">
        <f t="shared" si="770"/>
        <v>21</v>
      </c>
      <c r="J3418" s="3">
        <f t="shared" si="771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772"/>
        <v>YES</v>
      </c>
      <c r="Q3418" t="str">
        <f t="shared" si="773"/>
        <v>YES</v>
      </c>
      <c r="R3418" t="str">
        <f t="shared" si="774"/>
        <v>NO</v>
      </c>
      <c r="S3418">
        <v>164</v>
      </c>
      <c r="T3418" t="s">
        <v>74</v>
      </c>
      <c r="U3418" t="str">
        <f t="shared" si="775"/>
        <v>Hampshire St</v>
      </c>
      <c r="W3418" t="str">
        <f t="shared" si="776"/>
        <v/>
      </c>
      <c r="X3418" t="str">
        <f>IF(ISBLANK(S3418),"Intersection","Non-Intersection")</f>
        <v>Non-Intersection</v>
      </c>
      <c r="Y3418" t="s">
        <v>4280</v>
      </c>
      <c r="Z3418" t="str">
        <f t="shared" si="777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764"/>
        <v>40909</v>
      </c>
      <c r="D3419" s="4">
        <f t="shared" si="765"/>
        <v>0.1830601092896175</v>
      </c>
      <c r="E3419" s="3">
        <f t="shared" si="766"/>
        <v>2012</v>
      </c>
      <c r="F3419" s="3">
        <f t="shared" si="767"/>
        <v>3</v>
      </c>
      <c r="G3419" s="3">
        <f t="shared" si="768"/>
        <v>8</v>
      </c>
      <c r="H3419" s="3">
        <f t="shared" si="769"/>
        <v>18</v>
      </c>
      <c r="I3419" s="3">
        <f t="shared" si="770"/>
        <v>59</v>
      </c>
      <c r="J3419" s="3">
        <f t="shared" si="771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772"/>
        <v>YES</v>
      </c>
      <c r="Q3419" t="str">
        <f t="shared" si="773"/>
        <v>NO</v>
      </c>
      <c r="R3419" t="str">
        <f t="shared" si="774"/>
        <v>NO</v>
      </c>
      <c r="S3419">
        <v>691</v>
      </c>
      <c r="T3419" t="s">
        <v>142</v>
      </c>
      <c r="U3419" t="str">
        <f t="shared" si="775"/>
        <v>Huron Ave</v>
      </c>
      <c r="W3419" t="str">
        <f t="shared" si="776"/>
        <v/>
      </c>
      <c r="X3419" t="str">
        <f>IF(ISBLANK(S3419),"Intersection","Non-Intersection")</f>
        <v>Non-Intersection</v>
      </c>
      <c r="Y3419" t="s">
        <v>4282</v>
      </c>
      <c r="Z3419" t="str">
        <f t="shared" si="777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764"/>
        <v>40909</v>
      </c>
      <c r="D3420" s="4">
        <f t="shared" si="765"/>
        <v>0.1830601092896175</v>
      </c>
      <c r="E3420" s="3">
        <f t="shared" si="766"/>
        <v>2012</v>
      </c>
      <c r="F3420" s="3">
        <f t="shared" si="767"/>
        <v>3</v>
      </c>
      <c r="G3420" s="3">
        <f t="shared" si="768"/>
        <v>8</v>
      </c>
      <c r="H3420" s="3">
        <f t="shared" si="769"/>
        <v>18</v>
      </c>
      <c r="I3420" s="3">
        <f t="shared" si="770"/>
        <v>59</v>
      </c>
      <c r="J3420" s="3">
        <f t="shared" si="771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772"/>
        <v>YES</v>
      </c>
      <c r="Q3420" t="str">
        <f t="shared" si="773"/>
        <v>NO</v>
      </c>
      <c r="R3420" t="str">
        <f t="shared" si="774"/>
        <v>NO</v>
      </c>
      <c r="S3420">
        <v>691</v>
      </c>
      <c r="T3420" t="s">
        <v>142</v>
      </c>
      <c r="U3420" t="str">
        <f t="shared" si="775"/>
        <v>Huron Ave</v>
      </c>
      <c r="W3420" t="str">
        <f t="shared" si="776"/>
        <v/>
      </c>
      <c r="X3420" t="str">
        <f>IF(ISBLANK(S3420),"Intersection","Non-Intersection")</f>
        <v>Non-Intersection</v>
      </c>
      <c r="Y3420" t="s">
        <v>4282</v>
      </c>
      <c r="Z3420" t="str">
        <f t="shared" si="777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764"/>
        <v>40909</v>
      </c>
      <c r="D3421" s="4">
        <f t="shared" si="765"/>
        <v>0.1830601092896175</v>
      </c>
      <c r="E3421" s="3">
        <f t="shared" si="766"/>
        <v>2012</v>
      </c>
      <c r="F3421" s="3">
        <f t="shared" si="767"/>
        <v>3</v>
      </c>
      <c r="G3421" s="3">
        <f t="shared" si="768"/>
        <v>8</v>
      </c>
      <c r="H3421" s="3">
        <f t="shared" si="769"/>
        <v>15</v>
      </c>
      <c r="I3421" s="3">
        <f t="shared" si="770"/>
        <v>1</v>
      </c>
      <c r="J3421" s="3">
        <f t="shared" si="771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772"/>
        <v>YES</v>
      </c>
      <c r="Q3421" t="str">
        <f t="shared" si="773"/>
        <v>NO</v>
      </c>
      <c r="R3421" t="str">
        <f t="shared" si="774"/>
        <v>NO</v>
      </c>
      <c r="S3421">
        <v>667</v>
      </c>
      <c r="T3421" t="s">
        <v>509</v>
      </c>
      <c r="U3421" t="str">
        <f t="shared" si="775"/>
        <v>Green St</v>
      </c>
      <c r="V3421" t="s">
        <v>42</v>
      </c>
      <c r="W3421" t="str">
        <f t="shared" si="776"/>
        <v>Putnam Ave</v>
      </c>
      <c r="X3421" t="str">
        <f>IF(ISBLANK(S3421),"Intersection","Non-Intersection")</f>
        <v>Non-Intersection</v>
      </c>
      <c r="Y3421" t="s">
        <v>4284</v>
      </c>
      <c r="Z3421" t="str">
        <f t="shared" si="777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778">EOMONTH(B3422,MONTH(B3422)*-1)+1</f>
        <v>40909</v>
      </c>
      <c r="D3422" s="4">
        <f t="shared" ref="D3422:D3479" si="779">YEARFRAC(C3422,B3422,1)</f>
        <v>0.1830601092896175</v>
      </c>
      <c r="E3422" s="3">
        <f t="shared" ref="E3422:E3479" si="780">YEAR(B3422)</f>
        <v>2012</v>
      </c>
      <c r="F3422" s="3">
        <f t="shared" ref="F3422:F3479" si="781">MONTH(B3422)</f>
        <v>3</v>
      </c>
      <c r="G3422" s="3">
        <f t="shared" ref="G3422:G3479" si="782">DAY(B3422)</f>
        <v>8</v>
      </c>
      <c r="H3422" s="3">
        <f t="shared" ref="H3422:H3479" si="783">HOUR(B3422)</f>
        <v>19</v>
      </c>
      <c r="I3422" s="3">
        <f t="shared" ref="I3422:I3479" si="784">MINUTE(B3422)</f>
        <v>8</v>
      </c>
      <c r="J3422" s="3">
        <f t="shared" ref="J3422:J3479" si="785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786">IF(OR(N3422="Auto",O3422="Auto"),"YES",IF(OR(N3422="Taxi",O3422="Taxi"),"YES",IF(OR(N3422="Van",O3422="Van"),"YES",IF(OR(N3422="Truck",O3422="Truck"),"YES","NO"))))</f>
        <v>YES</v>
      </c>
      <c r="Q3422" t="str">
        <f t="shared" ref="Q3422:Q3479" si="787">IF(OR(N3422="Bicycle",O3422="Bicycle"),"YES","NO")</f>
        <v>NO</v>
      </c>
      <c r="R3422" t="str">
        <f t="shared" ref="R3422:R3479" si="788">IF(OR(N3422="Pedestrian",O3422="Pedestrian"),"YES","NO")</f>
        <v>NO</v>
      </c>
      <c r="T3422" t="s">
        <v>4156</v>
      </c>
      <c r="U3422" t="str">
        <f t="shared" si="775"/>
        <v>University Pl</v>
      </c>
      <c r="V3422" t="s">
        <v>198</v>
      </c>
      <c r="W3422" t="str">
        <f t="shared" si="776"/>
        <v>Mount Auburn St</v>
      </c>
      <c r="X3422" t="str">
        <f>IF(ISBLANK(S3422),"Intersection","Non-Intersection")</f>
        <v>Intersection</v>
      </c>
      <c r="Y3422" t="s">
        <v>4286</v>
      </c>
      <c r="Z3422" t="str">
        <f t="shared" si="777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778"/>
        <v>40909</v>
      </c>
      <c r="D3423" s="4">
        <f t="shared" si="779"/>
        <v>0.1830601092896175</v>
      </c>
      <c r="E3423" s="3">
        <f t="shared" si="780"/>
        <v>2012</v>
      </c>
      <c r="F3423" s="3">
        <f t="shared" si="781"/>
        <v>3</v>
      </c>
      <c r="G3423" s="3">
        <f t="shared" si="782"/>
        <v>8</v>
      </c>
      <c r="H3423" s="3">
        <f t="shared" si="783"/>
        <v>8</v>
      </c>
      <c r="I3423" s="3">
        <f t="shared" si="784"/>
        <v>19</v>
      </c>
      <c r="J3423" s="3">
        <f t="shared" si="785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786"/>
        <v>YES</v>
      </c>
      <c r="Q3423" t="str">
        <f t="shared" si="787"/>
        <v>NO</v>
      </c>
      <c r="R3423" t="str">
        <f t="shared" si="788"/>
        <v>NO</v>
      </c>
      <c r="T3423" t="s">
        <v>162</v>
      </c>
      <c r="U3423" t="str">
        <f t="shared" si="775"/>
        <v>Bennett St</v>
      </c>
      <c r="V3423" t="s">
        <v>4156</v>
      </c>
      <c r="W3423" t="str">
        <f t="shared" si="776"/>
        <v>University Pl</v>
      </c>
      <c r="X3423" t="str">
        <f>IF(ISBLANK(S3423),"Intersection","Non-Intersection")</f>
        <v>Intersection</v>
      </c>
      <c r="Y3423" t="s">
        <v>4288</v>
      </c>
      <c r="Z3423" t="str">
        <f t="shared" si="777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778"/>
        <v>40909</v>
      </c>
      <c r="D3424" s="4">
        <f t="shared" si="779"/>
        <v>0.18579234972677597</v>
      </c>
      <c r="E3424" s="3">
        <f t="shared" si="780"/>
        <v>2012</v>
      </c>
      <c r="F3424" s="3">
        <f t="shared" si="781"/>
        <v>3</v>
      </c>
      <c r="G3424" s="3">
        <f t="shared" si="782"/>
        <v>9</v>
      </c>
      <c r="H3424" s="3">
        <f t="shared" si="783"/>
        <v>13</v>
      </c>
      <c r="I3424" s="3">
        <f t="shared" si="784"/>
        <v>8</v>
      </c>
      <c r="J3424" s="3">
        <f t="shared" si="785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786"/>
        <v>YES</v>
      </c>
      <c r="Q3424" t="str">
        <f t="shared" si="787"/>
        <v>YES</v>
      </c>
      <c r="R3424" t="str">
        <f t="shared" si="788"/>
        <v>NO</v>
      </c>
      <c r="T3424" t="s">
        <v>526</v>
      </c>
      <c r="U3424" t="str">
        <f t="shared" si="775"/>
        <v>Springfield St</v>
      </c>
      <c r="V3424" t="s">
        <v>19</v>
      </c>
      <c r="W3424" t="str">
        <f t="shared" si="776"/>
        <v>Cambridge St</v>
      </c>
      <c r="X3424" t="str">
        <f>IF(ISBLANK(S3424),"Intersection","Non-Intersection")</f>
        <v>Intersection</v>
      </c>
      <c r="Y3424" t="s">
        <v>4289</v>
      </c>
      <c r="Z3424" t="str">
        <f t="shared" si="777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778"/>
        <v>40909</v>
      </c>
      <c r="D3425" s="4">
        <f t="shared" si="779"/>
        <v>0.18852459016393441</v>
      </c>
      <c r="E3425" s="3">
        <f t="shared" si="780"/>
        <v>2012</v>
      </c>
      <c r="F3425" s="3">
        <f t="shared" si="781"/>
        <v>3</v>
      </c>
      <c r="G3425" s="3">
        <f t="shared" si="782"/>
        <v>10</v>
      </c>
      <c r="H3425" s="3">
        <f t="shared" si="783"/>
        <v>12</v>
      </c>
      <c r="I3425" s="3">
        <f t="shared" si="784"/>
        <v>30</v>
      </c>
      <c r="J3425" s="3">
        <f t="shared" si="785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786"/>
        <v>YES</v>
      </c>
      <c r="Q3425" t="str">
        <f t="shared" si="787"/>
        <v>NO</v>
      </c>
      <c r="R3425" t="str">
        <f t="shared" si="788"/>
        <v>NO</v>
      </c>
      <c r="S3425">
        <v>95</v>
      </c>
      <c r="T3425" t="s">
        <v>2319</v>
      </c>
      <c r="U3425" t="str">
        <f t="shared" si="775"/>
        <v>Moore St</v>
      </c>
      <c r="W3425" t="str">
        <f t="shared" si="776"/>
        <v/>
      </c>
      <c r="X3425" t="str">
        <f>IF(ISBLANK(S3425),"Intersection","Non-Intersection")</f>
        <v>Non-Intersection</v>
      </c>
      <c r="Y3425" t="s">
        <v>4290</v>
      </c>
      <c r="Z3425" t="str">
        <f t="shared" si="777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778"/>
        <v>40909</v>
      </c>
      <c r="D3426" s="4">
        <f t="shared" si="779"/>
        <v>0.18852459016393441</v>
      </c>
      <c r="E3426" s="3">
        <f t="shared" si="780"/>
        <v>2012</v>
      </c>
      <c r="F3426" s="3">
        <f t="shared" si="781"/>
        <v>3</v>
      </c>
      <c r="G3426" s="3">
        <f t="shared" si="782"/>
        <v>10</v>
      </c>
      <c r="H3426" s="3">
        <f t="shared" si="783"/>
        <v>18</v>
      </c>
      <c r="I3426" s="3">
        <f t="shared" si="784"/>
        <v>0</v>
      </c>
      <c r="J3426" s="3">
        <f t="shared" si="785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786"/>
        <v>YES</v>
      </c>
      <c r="Q3426" t="str">
        <f t="shared" si="787"/>
        <v>NO</v>
      </c>
      <c r="R3426" t="str">
        <f t="shared" si="788"/>
        <v>NO</v>
      </c>
      <c r="T3426" t="s">
        <v>459</v>
      </c>
      <c r="U3426" t="str">
        <f t="shared" si="775"/>
        <v>Fayerweather St</v>
      </c>
      <c r="V3426" t="s">
        <v>186</v>
      </c>
      <c r="W3426" t="str">
        <f t="shared" si="776"/>
        <v>Concord Ave</v>
      </c>
      <c r="X3426" t="str">
        <f>IF(ISBLANK(S3426),"Intersection","Non-Intersection")</f>
        <v>Intersection</v>
      </c>
      <c r="Y3426" t="s">
        <v>4292</v>
      </c>
      <c r="Z3426" t="str">
        <f t="shared" si="777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778"/>
        <v>40909</v>
      </c>
      <c r="D3427" s="4">
        <f t="shared" si="779"/>
        <v>0.18852459016393441</v>
      </c>
      <c r="E3427" s="3">
        <f t="shared" si="780"/>
        <v>2012</v>
      </c>
      <c r="F3427" s="3">
        <f t="shared" si="781"/>
        <v>3</v>
      </c>
      <c r="G3427" s="3">
        <f t="shared" si="782"/>
        <v>10</v>
      </c>
      <c r="H3427" s="3">
        <f t="shared" si="783"/>
        <v>11</v>
      </c>
      <c r="I3427" s="3">
        <f t="shared" si="784"/>
        <v>0</v>
      </c>
      <c r="J3427" s="3">
        <f t="shared" si="785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786"/>
        <v>YES</v>
      </c>
      <c r="Q3427" t="str">
        <f t="shared" si="787"/>
        <v>NO</v>
      </c>
      <c r="R3427" t="str">
        <f t="shared" si="788"/>
        <v>NO</v>
      </c>
      <c r="T3427" t="s">
        <v>3385</v>
      </c>
      <c r="U3427" t="str">
        <f t="shared" si="775"/>
        <v>Seventh St</v>
      </c>
      <c r="V3427" t="s">
        <v>698</v>
      </c>
      <c r="W3427" t="str">
        <f t="shared" si="776"/>
        <v>Thorndike St</v>
      </c>
      <c r="X3427" t="str">
        <f>IF(ISBLANK(S3427),"Intersection","Non-Intersection")</f>
        <v>Intersection</v>
      </c>
      <c r="Y3427" t="s">
        <v>4294</v>
      </c>
      <c r="Z3427" t="str">
        <f t="shared" si="777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778"/>
        <v>40909</v>
      </c>
      <c r="D3428" s="4">
        <f t="shared" si="779"/>
        <v>0.19125683060109289</v>
      </c>
      <c r="E3428" s="3">
        <f t="shared" si="780"/>
        <v>2012</v>
      </c>
      <c r="F3428" s="3">
        <f t="shared" si="781"/>
        <v>3</v>
      </c>
      <c r="G3428" s="3">
        <f t="shared" si="782"/>
        <v>11</v>
      </c>
      <c r="H3428" s="3">
        <f t="shared" si="783"/>
        <v>6</v>
      </c>
      <c r="I3428" s="3">
        <f t="shared" si="784"/>
        <v>0</v>
      </c>
      <c r="J3428" s="3">
        <f t="shared" si="785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786"/>
        <v>YES</v>
      </c>
      <c r="Q3428" t="str">
        <f t="shared" si="787"/>
        <v>NO</v>
      </c>
      <c r="R3428" t="str">
        <f t="shared" si="788"/>
        <v>NO</v>
      </c>
      <c r="T3428" t="s">
        <v>453</v>
      </c>
      <c r="U3428" t="str">
        <f t="shared" si="775"/>
        <v>Brookline St</v>
      </c>
      <c r="V3428" t="s">
        <v>4295</v>
      </c>
      <c r="W3428" t="str">
        <f t="shared" si="776"/>
        <v>Emily St</v>
      </c>
      <c r="X3428" t="str">
        <f>IF(ISBLANK(S3428),"Intersection","Non-Intersection")</f>
        <v>Intersection</v>
      </c>
      <c r="Y3428" t="s">
        <v>4296</v>
      </c>
      <c r="Z3428" t="str">
        <f t="shared" si="777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778"/>
        <v>40909</v>
      </c>
      <c r="D3429" s="4">
        <f t="shared" si="779"/>
        <v>0.19398907103825136</v>
      </c>
      <c r="E3429" s="3">
        <f t="shared" si="780"/>
        <v>2012</v>
      </c>
      <c r="F3429" s="3">
        <f t="shared" si="781"/>
        <v>3</v>
      </c>
      <c r="G3429" s="3">
        <f t="shared" si="782"/>
        <v>12</v>
      </c>
      <c r="H3429" s="3">
        <f t="shared" si="783"/>
        <v>19</v>
      </c>
      <c r="I3429" s="3">
        <f t="shared" si="784"/>
        <v>59</v>
      </c>
      <c r="J3429" s="3">
        <f t="shared" si="785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786"/>
        <v>YES</v>
      </c>
      <c r="Q3429" t="str">
        <f t="shared" si="787"/>
        <v>YES</v>
      </c>
      <c r="R3429" t="str">
        <f t="shared" si="788"/>
        <v>NO</v>
      </c>
      <c r="T3429" t="s">
        <v>288</v>
      </c>
      <c r="U3429" t="str">
        <f t="shared" si="775"/>
        <v>Galileo Galilei Way</v>
      </c>
      <c r="V3429" t="s">
        <v>105</v>
      </c>
      <c r="W3429" t="str">
        <f t="shared" si="776"/>
        <v>Broadway</v>
      </c>
      <c r="X3429" t="str">
        <f>IF(ISBLANK(S3429),"Intersection","Non-Intersection")</f>
        <v>Intersection</v>
      </c>
      <c r="Y3429" t="s">
        <v>307</v>
      </c>
      <c r="Z3429" t="str">
        <f t="shared" si="777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778"/>
        <v>40909</v>
      </c>
      <c r="D3430" s="4">
        <f t="shared" si="779"/>
        <v>0.19398907103825136</v>
      </c>
      <c r="E3430" s="3">
        <f t="shared" si="780"/>
        <v>2012</v>
      </c>
      <c r="F3430" s="3">
        <f t="shared" si="781"/>
        <v>3</v>
      </c>
      <c r="G3430" s="3">
        <f t="shared" si="782"/>
        <v>12</v>
      </c>
      <c r="H3430" s="3">
        <f t="shared" si="783"/>
        <v>17</v>
      </c>
      <c r="I3430" s="3">
        <f t="shared" si="784"/>
        <v>0</v>
      </c>
      <c r="J3430" s="3">
        <f t="shared" si="785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786"/>
        <v>YES</v>
      </c>
      <c r="Q3430" t="str">
        <f t="shared" si="787"/>
        <v>NO</v>
      </c>
      <c r="R3430" t="str">
        <f t="shared" si="788"/>
        <v>NO</v>
      </c>
      <c r="S3430">
        <v>1</v>
      </c>
      <c r="T3430" t="s">
        <v>269</v>
      </c>
      <c r="U3430" t="str">
        <f t="shared" si="775"/>
        <v>Porter Sq</v>
      </c>
      <c r="W3430" t="str">
        <f t="shared" si="776"/>
        <v/>
      </c>
      <c r="X3430" t="str">
        <f>IF(ISBLANK(S3430),"Intersection","Non-Intersection")</f>
        <v>Non-Intersection</v>
      </c>
      <c r="Y3430" t="s">
        <v>359</v>
      </c>
      <c r="Z3430" t="str">
        <f t="shared" si="777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778"/>
        <v>40909</v>
      </c>
      <c r="D3431" s="4">
        <f t="shared" si="779"/>
        <v>0.19945355191256831</v>
      </c>
      <c r="E3431" s="3">
        <f t="shared" si="780"/>
        <v>2012</v>
      </c>
      <c r="F3431" s="3">
        <f t="shared" si="781"/>
        <v>3</v>
      </c>
      <c r="G3431" s="3">
        <f t="shared" si="782"/>
        <v>14</v>
      </c>
      <c r="H3431" s="3">
        <f t="shared" si="783"/>
        <v>7</v>
      </c>
      <c r="I3431" s="3">
        <f t="shared" si="784"/>
        <v>38</v>
      </c>
      <c r="J3431" s="3">
        <f t="shared" si="785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786"/>
        <v>YES</v>
      </c>
      <c r="Q3431" t="str">
        <f t="shared" si="787"/>
        <v>NO</v>
      </c>
      <c r="R3431" t="str">
        <f t="shared" si="788"/>
        <v>NO</v>
      </c>
      <c r="S3431">
        <v>27</v>
      </c>
      <c r="T3431" t="s">
        <v>2463</v>
      </c>
      <c r="U3431" t="str">
        <f t="shared" si="775"/>
        <v>Spinelli Pl</v>
      </c>
      <c r="W3431" t="str">
        <f t="shared" si="776"/>
        <v/>
      </c>
      <c r="X3431" t="str">
        <f>IF(ISBLANK(S3431),"Intersection","Non-Intersection")</f>
        <v>Non-Intersection</v>
      </c>
      <c r="Y3431" t="s">
        <v>4298</v>
      </c>
      <c r="Z3431" t="str">
        <f t="shared" si="777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778"/>
        <v>40909</v>
      </c>
      <c r="D3432" s="4">
        <f t="shared" si="779"/>
        <v>0.19945355191256831</v>
      </c>
      <c r="E3432" s="3">
        <f t="shared" si="780"/>
        <v>2012</v>
      </c>
      <c r="F3432" s="3">
        <f t="shared" si="781"/>
        <v>3</v>
      </c>
      <c r="G3432" s="3">
        <f t="shared" si="782"/>
        <v>14</v>
      </c>
      <c r="H3432" s="3">
        <f t="shared" si="783"/>
        <v>9</v>
      </c>
      <c r="I3432" s="3">
        <f t="shared" si="784"/>
        <v>10</v>
      </c>
      <c r="J3432" s="3">
        <f t="shared" si="785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786"/>
        <v>YES</v>
      </c>
      <c r="Q3432" t="str">
        <f t="shared" si="787"/>
        <v>NO</v>
      </c>
      <c r="R3432" t="str">
        <f t="shared" si="788"/>
        <v>NO</v>
      </c>
      <c r="S3432">
        <v>1350</v>
      </c>
      <c r="T3432" t="s">
        <v>14</v>
      </c>
      <c r="U3432" t="str">
        <f t="shared" si="775"/>
        <v>Massachusetts Ave</v>
      </c>
      <c r="W3432" t="str">
        <f t="shared" si="776"/>
        <v/>
      </c>
      <c r="X3432" t="str">
        <f>IF(ISBLANK(S3432),"Intersection","Non-Intersection")</f>
        <v>Non-Intersection</v>
      </c>
      <c r="Y3432" t="s">
        <v>1591</v>
      </c>
      <c r="Z3432" t="str">
        <f t="shared" si="777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778"/>
        <v>40909</v>
      </c>
      <c r="D3433" s="4">
        <f t="shared" si="779"/>
        <v>0.19945355191256831</v>
      </c>
      <c r="E3433" s="3">
        <f t="shared" si="780"/>
        <v>2012</v>
      </c>
      <c r="F3433" s="3">
        <f t="shared" si="781"/>
        <v>3</v>
      </c>
      <c r="G3433" s="3">
        <f t="shared" si="782"/>
        <v>14</v>
      </c>
      <c r="H3433" s="3">
        <f t="shared" si="783"/>
        <v>22</v>
      </c>
      <c r="I3433" s="3">
        <f t="shared" si="784"/>
        <v>18</v>
      </c>
      <c r="J3433" s="3">
        <f t="shared" si="785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786"/>
        <v>YES</v>
      </c>
      <c r="Q3433" t="str">
        <f t="shared" si="787"/>
        <v>NO</v>
      </c>
      <c r="R3433" t="str">
        <f t="shared" si="788"/>
        <v>NO</v>
      </c>
      <c r="S3433">
        <v>2526</v>
      </c>
      <c r="T3433" t="s">
        <v>14</v>
      </c>
      <c r="U3433" t="str">
        <f t="shared" si="775"/>
        <v>Massachusetts Ave</v>
      </c>
      <c r="V3433" t="s">
        <v>840</v>
      </c>
      <c r="W3433" t="str">
        <f t="shared" si="776"/>
        <v>Church St</v>
      </c>
      <c r="X3433" t="str">
        <f>IF(ISBLANK(S3433),"Intersection","Non-Intersection")</f>
        <v>Non-Intersection</v>
      </c>
      <c r="Y3433" t="s">
        <v>4300</v>
      </c>
      <c r="Z3433" t="str">
        <f t="shared" si="777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778"/>
        <v>40909</v>
      </c>
      <c r="D3434" s="4">
        <f t="shared" si="779"/>
        <v>0.19945355191256831</v>
      </c>
      <c r="E3434" s="3">
        <f t="shared" si="780"/>
        <v>2012</v>
      </c>
      <c r="F3434" s="3">
        <f t="shared" si="781"/>
        <v>3</v>
      </c>
      <c r="G3434" s="3">
        <f t="shared" si="782"/>
        <v>14</v>
      </c>
      <c r="H3434" s="3">
        <f t="shared" si="783"/>
        <v>22</v>
      </c>
      <c r="I3434" s="3">
        <f t="shared" si="784"/>
        <v>15</v>
      </c>
      <c r="J3434" s="3">
        <f t="shared" si="785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786"/>
        <v>YES</v>
      </c>
      <c r="Q3434" t="str">
        <f t="shared" si="787"/>
        <v>NO</v>
      </c>
      <c r="R3434" t="str">
        <f t="shared" si="788"/>
        <v>NO</v>
      </c>
      <c r="S3434">
        <v>27</v>
      </c>
      <c r="T3434" t="s">
        <v>4301</v>
      </c>
      <c r="U3434" t="str">
        <f t="shared" si="775"/>
        <v>Lincoln Way</v>
      </c>
      <c r="W3434" t="str">
        <f t="shared" si="776"/>
        <v/>
      </c>
      <c r="X3434" t="str">
        <f>IF(ISBLANK(S3434),"Intersection","Non-Intersection")</f>
        <v>Non-Intersection</v>
      </c>
      <c r="Y3434" t="s">
        <v>4302</v>
      </c>
      <c r="Z3434" t="str">
        <f t="shared" si="777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778"/>
        <v>40909</v>
      </c>
      <c r="D3435" s="4">
        <f t="shared" si="779"/>
        <v>0.19945355191256831</v>
      </c>
      <c r="E3435" s="3">
        <f t="shared" si="780"/>
        <v>2012</v>
      </c>
      <c r="F3435" s="3">
        <f t="shared" si="781"/>
        <v>3</v>
      </c>
      <c r="G3435" s="3">
        <f t="shared" si="782"/>
        <v>14</v>
      </c>
      <c r="H3435" s="3">
        <f t="shared" si="783"/>
        <v>10</v>
      </c>
      <c r="I3435" s="3">
        <f t="shared" si="784"/>
        <v>41</v>
      </c>
      <c r="J3435" s="3">
        <f t="shared" si="785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786"/>
        <v>YES</v>
      </c>
      <c r="Q3435" t="str">
        <f t="shared" si="787"/>
        <v>NO</v>
      </c>
      <c r="R3435" t="str">
        <f t="shared" si="788"/>
        <v>NO</v>
      </c>
      <c r="T3435" t="s">
        <v>315</v>
      </c>
      <c r="U3435" t="str">
        <f t="shared" si="775"/>
        <v>Essex St</v>
      </c>
      <c r="V3435" t="s">
        <v>4304</v>
      </c>
      <c r="W3435" t="str">
        <f t="shared" si="776"/>
        <v>Percy Pl</v>
      </c>
      <c r="X3435" t="str">
        <f>IF(ISBLANK(S3435),"Intersection","Non-Intersection")</f>
        <v>Intersection</v>
      </c>
      <c r="Y3435" t="s">
        <v>4305</v>
      </c>
      <c r="Z3435" t="str">
        <f t="shared" si="777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778"/>
        <v>40909</v>
      </c>
      <c r="D3436" s="4">
        <f t="shared" si="779"/>
        <v>0.20218579234972678</v>
      </c>
      <c r="E3436" s="3">
        <f t="shared" si="780"/>
        <v>2012</v>
      </c>
      <c r="F3436" s="3">
        <f t="shared" si="781"/>
        <v>3</v>
      </c>
      <c r="G3436" s="3">
        <f t="shared" si="782"/>
        <v>15</v>
      </c>
      <c r="H3436" s="3">
        <f t="shared" si="783"/>
        <v>11</v>
      </c>
      <c r="I3436" s="3">
        <f t="shared" si="784"/>
        <v>19</v>
      </c>
      <c r="J3436" s="3">
        <f t="shared" si="785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786"/>
        <v>YES</v>
      </c>
      <c r="Q3436" t="str">
        <f t="shared" si="787"/>
        <v>NO</v>
      </c>
      <c r="R3436" t="str">
        <f t="shared" si="788"/>
        <v>NO</v>
      </c>
      <c r="T3436" t="s">
        <v>14</v>
      </c>
      <c r="U3436" t="str">
        <f t="shared" si="775"/>
        <v>Massachusetts Ave</v>
      </c>
      <c r="V3436" t="s">
        <v>15</v>
      </c>
      <c r="W3436" t="str">
        <f t="shared" si="776"/>
        <v>Rindge Ave</v>
      </c>
      <c r="X3436" t="str">
        <f>IF(ISBLANK(S3436),"Intersection","Non-Intersection")</f>
        <v>Intersection</v>
      </c>
      <c r="Y3436" t="s">
        <v>16</v>
      </c>
      <c r="Z3436" t="str">
        <f t="shared" si="777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778"/>
        <v>40909</v>
      </c>
      <c r="D3437" s="4">
        <f t="shared" si="779"/>
        <v>0.20218579234972678</v>
      </c>
      <c r="E3437" s="3">
        <f t="shared" si="780"/>
        <v>2012</v>
      </c>
      <c r="F3437" s="3">
        <f t="shared" si="781"/>
        <v>3</v>
      </c>
      <c r="G3437" s="3">
        <f t="shared" si="782"/>
        <v>15</v>
      </c>
      <c r="H3437" s="3">
        <f t="shared" si="783"/>
        <v>19</v>
      </c>
      <c r="I3437" s="3">
        <f t="shared" si="784"/>
        <v>35</v>
      </c>
      <c r="J3437" s="3">
        <f t="shared" si="785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786"/>
        <v>YES</v>
      </c>
      <c r="Q3437" t="str">
        <f t="shared" si="787"/>
        <v>NO</v>
      </c>
      <c r="R3437" t="str">
        <f t="shared" si="788"/>
        <v>NO</v>
      </c>
      <c r="S3437">
        <v>15</v>
      </c>
      <c r="T3437" t="s">
        <v>70</v>
      </c>
      <c r="U3437" t="str">
        <f t="shared" si="775"/>
        <v>Pearl St</v>
      </c>
      <c r="W3437" t="str">
        <f t="shared" si="776"/>
        <v/>
      </c>
      <c r="X3437" t="str">
        <f>IF(ISBLANK(S3437),"Intersection","Non-Intersection")</f>
        <v>Non-Intersection</v>
      </c>
      <c r="Y3437" t="s">
        <v>4307</v>
      </c>
      <c r="Z3437" t="str">
        <f t="shared" si="777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778"/>
        <v>40909</v>
      </c>
      <c r="D3438" s="4">
        <f t="shared" si="779"/>
        <v>0.20218579234972678</v>
      </c>
      <c r="E3438" s="3">
        <f t="shared" si="780"/>
        <v>2012</v>
      </c>
      <c r="F3438" s="3">
        <f t="shared" si="781"/>
        <v>3</v>
      </c>
      <c r="G3438" s="3">
        <f t="shared" si="782"/>
        <v>15</v>
      </c>
      <c r="H3438" s="3">
        <f t="shared" si="783"/>
        <v>20</v>
      </c>
      <c r="I3438" s="3">
        <f t="shared" si="784"/>
        <v>29</v>
      </c>
      <c r="J3438" s="3">
        <f t="shared" si="785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786"/>
        <v>YES</v>
      </c>
      <c r="Q3438" t="str">
        <f t="shared" si="787"/>
        <v>NO</v>
      </c>
      <c r="R3438" t="str">
        <f t="shared" si="788"/>
        <v>NO</v>
      </c>
      <c r="S3438">
        <v>50</v>
      </c>
      <c r="T3438" t="s">
        <v>15</v>
      </c>
      <c r="U3438" t="str">
        <f t="shared" si="775"/>
        <v>Rindge Ave</v>
      </c>
      <c r="W3438" t="str">
        <f t="shared" si="776"/>
        <v/>
      </c>
      <c r="X3438" t="str">
        <f>IF(ISBLANK(S3438),"Intersection","Non-Intersection")</f>
        <v>Non-Intersection</v>
      </c>
      <c r="Y3438" t="s">
        <v>4309</v>
      </c>
      <c r="Z3438" t="str">
        <f t="shared" si="777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778"/>
        <v>40909</v>
      </c>
      <c r="D3439" s="4">
        <f t="shared" si="779"/>
        <v>0.20491803278688525</v>
      </c>
      <c r="E3439" s="3">
        <f t="shared" si="780"/>
        <v>2012</v>
      </c>
      <c r="F3439" s="3">
        <f t="shared" si="781"/>
        <v>3</v>
      </c>
      <c r="G3439" s="3">
        <f t="shared" si="782"/>
        <v>16</v>
      </c>
      <c r="H3439" s="3">
        <f t="shared" si="783"/>
        <v>16</v>
      </c>
      <c r="I3439" s="3">
        <f t="shared" si="784"/>
        <v>47</v>
      </c>
      <c r="J3439" s="3">
        <f t="shared" si="785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786"/>
        <v>YES</v>
      </c>
      <c r="Q3439" t="str">
        <f t="shared" si="787"/>
        <v>NO</v>
      </c>
      <c r="R3439" t="str">
        <f t="shared" si="788"/>
        <v>YES</v>
      </c>
      <c r="T3439" t="s">
        <v>509</v>
      </c>
      <c r="U3439" t="str">
        <f t="shared" si="775"/>
        <v>Green St</v>
      </c>
      <c r="V3439" t="s">
        <v>195</v>
      </c>
      <c r="W3439" t="str">
        <f t="shared" si="776"/>
        <v>Sidney St</v>
      </c>
      <c r="X3439" t="str">
        <f>IF(ISBLANK(S3439),"Intersection","Non-Intersection")</f>
        <v>Intersection</v>
      </c>
      <c r="Y3439" t="s">
        <v>4311</v>
      </c>
      <c r="Z3439" t="str">
        <f t="shared" si="777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778"/>
        <v>40909</v>
      </c>
      <c r="D3440" s="4">
        <f t="shared" si="779"/>
        <v>0.20491803278688525</v>
      </c>
      <c r="E3440" s="3">
        <f t="shared" si="780"/>
        <v>2012</v>
      </c>
      <c r="F3440" s="3">
        <f t="shared" si="781"/>
        <v>3</v>
      </c>
      <c r="G3440" s="3">
        <f t="shared" si="782"/>
        <v>16</v>
      </c>
      <c r="H3440" s="3">
        <f t="shared" si="783"/>
        <v>13</v>
      </c>
      <c r="I3440" s="3">
        <f t="shared" si="784"/>
        <v>5</v>
      </c>
      <c r="J3440" s="3">
        <f t="shared" si="785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786"/>
        <v>YES</v>
      </c>
      <c r="Q3440" t="str">
        <f t="shared" si="787"/>
        <v>NO</v>
      </c>
      <c r="R3440" t="str">
        <f t="shared" si="788"/>
        <v>NO</v>
      </c>
      <c r="S3440" t="s">
        <v>4312</v>
      </c>
      <c r="T3440" t="s">
        <v>4313</v>
      </c>
      <c r="U3440" t="str">
        <f t="shared" si="775"/>
        <v>Dunstable Rd</v>
      </c>
      <c r="W3440" t="str">
        <f t="shared" si="776"/>
        <v/>
      </c>
      <c r="X3440" t="str">
        <f>IF(ISBLANK(S3440),"Intersection","Non-Intersection")</f>
        <v>Non-Intersection</v>
      </c>
      <c r="Y3440" t="s">
        <v>4314</v>
      </c>
      <c r="Z3440" t="str">
        <f t="shared" si="777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778"/>
        <v>40909</v>
      </c>
      <c r="D3441" s="4">
        <f t="shared" si="779"/>
        <v>0.20491803278688525</v>
      </c>
      <c r="E3441" s="3">
        <f t="shared" si="780"/>
        <v>2012</v>
      </c>
      <c r="F3441" s="3">
        <f t="shared" si="781"/>
        <v>3</v>
      </c>
      <c r="G3441" s="3">
        <f t="shared" si="782"/>
        <v>16</v>
      </c>
      <c r="H3441" s="3">
        <f t="shared" si="783"/>
        <v>15</v>
      </c>
      <c r="I3441" s="3">
        <f t="shared" si="784"/>
        <v>52</v>
      </c>
      <c r="J3441" s="3">
        <f t="shared" si="785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786"/>
        <v>YES</v>
      </c>
      <c r="Q3441" t="str">
        <f t="shared" si="787"/>
        <v>NO</v>
      </c>
      <c r="R3441" t="str">
        <f t="shared" si="788"/>
        <v>NO</v>
      </c>
      <c r="T3441" t="s">
        <v>105</v>
      </c>
      <c r="U3441" t="str">
        <f t="shared" si="775"/>
        <v>Broadway</v>
      </c>
      <c r="V3441" t="s">
        <v>667</v>
      </c>
      <c r="W3441" t="str">
        <f t="shared" si="776"/>
        <v>Tremont St</v>
      </c>
      <c r="X3441" t="str">
        <f>IF(ISBLANK(S3441),"Intersection","Non-Intersection")</f>
        <v>Intersection</v>
      </c>
      <c r="Y3441" t="s">
        <v>1721</v>
      </c>
      <c r="Z3441" t="str">
        <f t="shared" si="777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778"/>
        <v>40909</v>
      </c>
      <c r="D3442" s="4">
        <f t="shared" si="779"/>
        <v>0.20491803278688525</v>
      </c>
      <c r="E3442" s="3">
        <f t="shared" si="780"/>
        <v>2012</v>
      </c>
      <c r="F3442" s="3">
        <f t="shared" si="781"/>
        <v>3</v>
      </c>
      <c r="G3442" s="3">
        <f t="shared" si="782"/>
        <v>16</v>
      </c>
      <c r="H3442" s="3">
        <f t="shared" si="783"/>
        <v>16</v>
      </c>
      <c r="I3442" s="3">
        <f t="shared" si="784"/>
        <v>0</v>
      </c>
      <c r="J3442" s="3">
        <f t="shared" si="785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786"/>
        <v>YES</v>
      </c>
      <c r="Q3442" t="str">
        <f t="shared" si="787"/>
        <v>NO</v>
      </c>
      <c r="R3442" t="str">
        <f t="shared" si="788"/>
        <v>NO</v>
      </c>
      <c r="T3442" t="s">
        <v>19</v>
      </c>
      <c r="U3442" t="str">
        <f t="shared" si="775"/>
        <v>Cambridge St</v>
      </c>
      <c r="V3442" t="s">
        <v>611</v>
      </c>
      <c r="W3442" t="str">
        <f t="shared" si="776"/>
        <v>Berkshire St</v>
      </c>
      <c r="X3442" t="str">
        <f>IF(ISBLANK(S3442),"Intersection","Non-Intersection")</f>
        <v>Intersection</v>
      </c>
      <c r="Y3442" t="s">
        <v>779</v>
      </c>
      <c r="Z3442" t="str">
        <f t="shared" si="777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778"/>
        <v>40909</v>
      </c>
      <c r="D3443" s="4">
        <f t="shared" si="779"/>
        <v>0.20491803278688525</v>
      </c>
      <c r="E3443" s="3">
        <f t="shared" si="780"/>
        <v>2012</v>
      </c>
      <c r="F3443" s="3">
        <f t="shared" si="781"/>
        <v>3</v>
      </c>
      <c r="G3443" s="3">
        <f t="shared" si="782"/>
        <v>16</v>
      </c>
      <c r="H3443" s="3">
        <f t="shared" si="783"/>
        <v>20</v>
      </c>
      <c r="I3443" s="3">
        <f t="shared" si="784"/>
        <v>55</v>
      </c>
      <c r="J3443" s="3">
        <f t="shared" si="785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786"/>
        <v>YES</v>
      </c>
      <c r="Q3443" t="str">
        <f t="shared" si="787"/>
        <v>NO</v>
      </c>
      <c r="R3443" t="str">
        <f t="shared" si="788"/>
        <v>NO</v>
      </c>
      <c r="T3443" t="s">
        <v>14</v>
      </c>
      <c r="U3443" t="str">
        <f t="shared" si="775"/>
        <v>Massachusetts Ave</v>
      </c>
      <c r="V3443" t="s">
        <v>203</v>
      </c>
      <c r="W3443" t="str">
        <f t="shared" si="776"/>
        <v>Memorial Dr</v>
      </c>
      <c r="X3443" t="str">
        <f>IF(ISBLANK(S3443),"Intersection","Non-Intersection")</f>
        <v>Intersection</v>
      </c>
      <c r="Y3443" t="s">
        <v>3246</v>
      </c>
      <c r="Z3443" t="str">
        <f t="shared" si="777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778"/>
        <v>40909</v>
      </c>
      <c r="D3444" s="4">
        <f t="shared" si="779"/>
        <v>0.20491803278688525</v>
      </c>
      <c r="E3444" s="3">
        <f t="shared" si="780"/>
        <v>2012</v>
      </c>
      <c r="F3444" s="3">
        <f t="shared" si="781"/>
        <v>3</v>
      </c>
      <c r="G3444" s="3">
        <f t="shared" si="782"/>
        <v>16</v>
      </c>
      <c r="H3444" s="3">
        <f t="shared" si="783"/>
        <v>15</v>
      </c>
      <c r="I3444" s="3">
        <f t="shared" si="784"/>
        <v>49</v>
      </c>
      <c r="J3444" s="3">
        <f t="shared" si="785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786"/>
        <v>YES</v>
      </c>
      <c r="Q3444" t="str">
        <f t="shared" si="787"/>
        <v>NO</v>
      </c>
      <c r="R3444" t="str">
        <f t="shared" si="788"/>
        <v>NO</v>
      </c>
      <c r="S3444">
        <v>700</v>
      </c>
      <c r="T3444" t="s">
        <v>142</v>
      </c>
      <c r="U3444" t="str">
        <f t="shared" si="775"/>
        <v>Huron Ave</v>
      </c>
      <c r="W3444" t="str">
        <f t="shared" si="776"/>
        <v/>
      </c>
      <c r="X3444" t="str">
        <f>IF(ISBLANK(S3444),"Intersection","Non-Intersection")</f>
        <v>Non-Intersection</v>
      </c>
      <c r="Y3444" t="s">
        <v>475</v>
      </c>
      <c r="Z3444" t="str">
        <f t="shared" si="777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778"/>
        <v>40909</v>
      </c>
      <c r="D3445" s="4">
        <f t="shared" si="779"/>
        <v>0.20765027322404372</v>
      </c>
      <c r="E3445" s="3">
        <f t="shared" si="780"/>
        <v>2012</v>
      </c>
      <c r="F3445" s="3">
        <f t="shared" si="781"/>
        <v>3</v>
      </c>
      <c r="G3445" s="3">
        <f t="shared" si="782"/>
        <v>17</v>
      </c>
      <c r="H3445" s="3">
        <f t="shared" si="783"/>
        <v>18</v>
      </c>
      <c r="I3445" s="3">
        <f t="shared" si="784"/>
        <v>49</v>
      </c>
      <c r="J3445" s="3">
        <f t="shared" si="785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786"/>
        <v>YES</v>
      </c>
      <c r="Q3445" t="str">
        <f t="shared" si="787"/>
        <v>NO</v>
      </c>
      <c r="R3445" t="str">
        <f t="shared" si="788"/>
        <v>NO</v>
      </c>
      <c r="S3445">
        <v>1572</v>
      </c>
      <c r="T3445" t="s">
        <v>14</v>
      </c>
      <c r="U3445" t="str">
        <f t="shared" si="775"/>
        <v>Massachusetts Ave</v>
      </c>
      <c r="W3445" t="str">
        <f t="shared" si="776"/>
        <v/>
      </c>
      <c r="X3445" t="str">
        <f>IF(ISBLANK(S3445),"Intersection","Non-Intersection")</f>
        <v>Non-Intersection</v>
      </c>
      <c r="Y3445" t="s">
        <v>390</v>
      </c>
      <c r="Z3445" t="str">
        <f t="shared" si="777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778"/>
        <v>40909</v>
      </c>
      <c r="D3446" s="4">
        <f t="shared" si="779"/>
        <v>0.2103825136612022</v>
      </c>
      <c r="E3446" s="3">
        <f t="shared" si="780"/>
        <v>2012</v>
      </c>
      <c r="F3446" s="3">
        <f t="shared" si="781"/>
        <v>3</v>
      </c>
      <c r="G3446" s="3">
        <f t="shared" si="782"/>
        <v>18</v>
      </c>
      <c r="H3446" s="3">
        <f t="shared" si="783"/>
        <v>9</v>
      </c>
      <c r="I3446" s="3">
        <f t="shared" si="784"/>
        <v>30</v>
      </c>
      <c r="J3446" s="3">
        <f t="shared" si="785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786"/>
        <v>YES</v>
      </c>
      <c r="Q3446" t="str">
        <f t="shared" si="787"/>
        <v>NO</v>
      </c>
      <c r="R3446" t="str">
        <f t="shared" si="788"/>
        <v>NO</v>
      </c>
      <c r="T3446" t="s">
        <v>105</v>
      </c>
      <c r="U3446" t="str">
        <f t="shared" si="775"/>
        <v>Broadway</v>
      </c>
      <c r="V3446" t="s">
        <v>189</v>
      </c>
      <c r="W3446" t="str">
        <f t="shared" si="776"/>
        <v>Windsor St</v>
      </c>
      <c r="X3446" t="str">
        <f>IF(ISBLANK(S3446),"Intersection","Non-Intersection")</f>
        <v>Intersection</v>
      </c>
      <c r="Y3446" t="s">
        <v>477</v>
      </c>
      <c r="Z3446" t="str">
        <f t="shared" si="777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778"/>
        <v>40909</v>
      </c>
      <c r="D3447" s="4">
        <f t="shared" si="779"/>
        <v>0.2103825136612022</v>
      </c>
      <c r="E3447" s="3">
        <f t="shared" si="780"/>
        <v>2012</v>
      </c>
      <c r="F3447" s="3">
        <f t="shared" si="781"/>
        <v>3</v>
      </c>
      <c r="G3447" s="3">
        <f t="shared" si="782"/>
        <v>18</v>
      </c>
      <c r="H3447" s="3">
        <f t="shared" si="783"/>
        <v>16</v>
      </c>
      <c r="I3447" s="3">
        <f t="shared" si="784"/>
        <v>28</v>
      </c>
      <c r="J3447" s="3">
        <f t="shared" si="785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786"/>
        <v>YES</v>
      </c>
      <c r="Q3447" t="str">
        <f t="shared" si="787"/>
        <v>NO</v>
      </c>
      <c r="R3447" t="str">
        <f t="shared" si="788"/>
        <v>NO</v>
      </c>
      <c r="T3447" t="s">
        <v>186</v>
      </c>
      <c r="U3447" t="str">
        <f t="shared" si="775"/>
        <v>Concord Ave</v>
      </c>
      <c r="V3447" t="s">
        <v>1132</v>
      </c>
      <c r="W3447" t="str">
        <f t="shared" si="776"/>
        <v>Moulton St</v>
      </c>
      <c r="X3447" t="str">
        <f>IF(ISBLANK(S3447),"Intersection","Non-Intersection")</f>
        <v>Intersection</v>
      </c>
      <c r="Y3447" t="s">
        <v>1133</v>
      </c>
      <c r="Z3447" t="str">
        <f t="shared" si="777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778"/>
        <v>40909</v>
      </c>
      <c r="D3448" s="4">
        <f t="shared" si="779"/>
        <v>0.2103825136612022</v>
      </c>
      <c r="E3448" s="3">
        <f t="shared" si="780"/>
        <v>2012</v>
      </c>
      <c r="F3448" s="3">
        <f t="shared" si="781"/>
        <v>3</v>
      </c>
      <c r="G3448" s="3">
        <f t="shared" si="782"/>
        <v>18</v>
      </c>
      <c r="H3448" s="3">
        <f t="shared" si="783"/>
        <v>14</v>
      </c>
      <c r="I3448" s="3">
        <f t="shared" si="784"/>
        <v>39</v>
      </c>
      <c r="J3448" s="3">
        <f t="shared" si="785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786"/>
        <v>YES</v>
      </c>
      <c r="Q3448" t="str">
        <f t="shared" si="787"/>
        <v>NO</v>
      </c>
      <c r="R3448" t="str">
        <f t="shared" si="788"/>
        <v>NO</v>
      </c>
      <c r="T3448" t="s">
        <v>601</v>
      </c>
      <c r="U3448" t="str">
        <f t="shared" si="775"/>
        <v>Cedar St</v>
      </c>
      <c r="W3448" t="str">
        <f t="shared" si="776"/>
        <v/>
      </c>
      <c r="X3448" t="str">
        <f>IF(ISBLANK(S3448),"Intersection","Non-Intersection")</f>
        <v>Intersection</v>
      </c>
      <c r="Y3448" t="s">
        <v>4316</v>
      </c>
      <c r="Z3448" t="str">
        <f t="shared" si="777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778"/>
        <v>40909</v>
      </c>
      <c r="D3449" s="4">
        <f t="shared" si="779"/>
        <v>0.21311475409836064</v>
      </c>
      <c r="E3449" s="3">
        <f t="shared" si="780"/>
        <v>2012</v>
      </c>
      <c r="F3449" s="3">
        <f t="shared" si="781"/>
        <v>3</v>
      </c>
      <c r="G3449" s="3">
        <f t="shared" si="782"/>
        <v>19</v>
      </c>
      <c r="H3449" s="3">
        <f t="shared" si="783"/>
        <v>11</v>
      </c>
      <c r="I3449" s="3">
        <f t="shared" si="784"/>
        <v>15</v>
      </c>
      <c r="J3449" s="3">
        <f t="shared" si="785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786"/>
        <v>YES</v>
      </c>
      <c r="Q3449" t="str">
        <f t="shared" si="787"/>
        <v>NO</v>
      </c>
      <c r="R3449" t="str">
        <f t="shared" si="788"/>
        <v>NO</v>
      </c>
      <c r="T3449" t="s">
        <v>42</v>
      </c>
      <c r="U3449" t="str">
        <f t="shared" si="775"/>
        <v>Putnam Ave</v>
      </c>
      <c r="V3449" t="s">
        <v>27</v>
      </c>
      <c r="W3449" t="str">
        <f t="shared" si="776"/>
        <v>Western Ave</v>
      </c>
      <c r="X3449" t="str">
        <f>IF(ISBLANK(S3449),"Intersection","Non-Intersection")</f>
        <v>Intersection</v>
      </c>
      <c r="Y3449" t="s">
        <v>3749</v>
      </c>
      <c r="Z3449" t="str">
        <f t="shared" si="777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778"/>
        <v>40909</v>
      </c>
      <c r="D3450" s="4">
        <f t="shared" si="779"/>
        <v>0.21311475409836064</v>
      </c>
      <c r="E3450" s="3">
        <f t="shared" si="780"/>
        <v>2012</v>
      </c>
      <c r="F3450" s="3">
        <f t="shared" si="781"/>
        <v>3</v>
      </c>
      <c r="G3450" s="3">
        <f t="shared" si="782"/>
        <v>19</v>
      </c>
      <c r="H3450" s="3">
        <f t="shared" si="783"/>
        <v>10</v>
      </c>
      <c r="I3450" s="3">
        <f t="shared" si="784"/>
        <v>54</v>
      </c>
      <c r="J3450" s="3">
        <f t="shared" si="785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786"/>
        <v>YES</v>
      </c>
      <c r="Q3450" t="str">
        <f t="shared" si="787"/>
        <v>NO</v>
      </c>
      <c r="R3450" t="str">
        <f t="shared" si="788"/>
        <v>NO</v>
      </c>
      <c r="T3450" t="s">
        <v>611</v>
      </c>
      <c r="U3450" t="str">
        <f t="shared" si="775"/>
        <v>Berkshire St</v>
      </c>
      <c r="V3450" t="s">
        <v>124</v>
      </c>
      <c r="W3450" t="str">
        <f t="shared" si="776"/>
        <v>York St</v>
      </c>
      <c r="X3450" t="str">
        <f>IF(ISBLANK(S3450),"Intersection","Non-Intersection")</f>
        <v>Intersection</v>
      </c>
      <c r="Y3450" t="s">
        <v>4317</v>
      </c>
      <c r="Z3450" t="str">
        <f t="shared" si="777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778"/>
        <v>40909</v>
      </c>
      <c r="D3451" s="4">
        <f t="shared" si="779"/>
        <v>0.21311475409836064</v>
      </c>
      <c r="E3451" s="3">
        <f t="shared" si="780"/>
        <v>2012</v>
      </c>
      <c r="F3451" s="3">
        <f t="shared" si="781"/>
        <v>3</v>
      </c>
      <c r="G3451" s="3">
        <f t="shared" si="782"/>
        <v>19</v>
      </c>
      <c r="H3451" s="3">
        <f t="shared" si="783"/>
        <v>16</v>
      </c>
      <c r="I3451" s="3">
        <f t="shared" si="784"/>
        <v>45</v>
      </c>
      <c r="J3451" s="3">
        <f t="shared" si="785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786"/>
        <v>YES</v>
      </c>
      <c r="Q3451" t="str">
        <f t="shared" si="787"/>
        <v>NO</v>
      </c>
      <c r="R3451" t="str">
        <f t="shared" si="788"/>
        <v>NO</v>
      </c>
      <c r="S3451">
        <v>17</v>
      </c>
      <c r="T3451" t="s">
        <v>224</v>
      </c>
      <c r="U3451" t="str">
        <f t="shared" si="775"/>
        <v>Sumner Rd</v>
      </c>
      <c r="W3451" t="str">
        <f t="shared" si="776"/>
        <v/>
      </c>
      <c r="X3451" t="str">
        <f>IF(ISBLANK(S3451),"Intersection","Non-Intersection")</f>
        <v>Non-Intersection</v>
      </c>
      <c r="Y3451" t="s">
        <v>4319</v>
      </c>
      <c r="Z3451" t="str">
        <f t="shared" si="777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778"/>
        <v>40909</v>
      </c>
      <c r="D3452" s="4">
        <f t="shared" si="779"/>
        <v>0.21584699453551912</v>
      </c>
      <c r="E3452" s="3">
        <f t="shared" si="780"/>
        <v>2012</v>
      </c>
      <c r="F3452" s="3">
        <f t="shared" si="781"/>
        <v>3</v>
      </c>
      <c r="G3452" s="3">
        <f t="shared" si="782"/>
        <v>20</v>
      </c>
      <c r="H3452" s="3">
        <f t="shared" si="783"/>
        <v>1</v>
      </c>
      <c r="I3452" s="3">
        <f t="shared" si="784"/>
        <v>15</v>
      </c>
      <c r="J3452" s="3">
        <f t="shared" si="785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786"/>
        <v>YES</v>
      </c>
      <c r="Q3452" t="str">
        <f t="shared" si="787"/>
        <v>NO</v>
      </c>
      <c r="R3452" t="str">
        <f t="shared" si="788"/>
        <v>NO</v>
      </c>
      <c r="T3452" t="s">
        <v>129</v>
      </c>
      <c r="U3452" t="str">
        <f t="shared" si="775"/>
        <v>Cardinal Medeiros Ave</v>
      </c>
      <c r="W3452" t="str">
        <f t="shared" si="776"/>
        <v/>
      </c>
      <c r="X3452" t="str">
        <f>IF(ISBLANK(S3452),"Intersection","Non-Intersection")</f>
        <v>Intersection</v>
      </c>
      <c r="Y3452" t="s">
        <v>4321</v>
      </c>
      <c r="Z3452" t="str">
        <f t="shared" si="777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778"/>
        <v>40909</v>
      </c>
      <c r="D3453" s="4">
        <f t="shared" si="779"/>
        <v>0.21584699453551912</v>
      </c>
      <c r="E3453" s="3">
        <f t="shared" si="780"/>
        <v>2012</v>
      </c>
      <c r="F3453" s="3">
        <f t="shared" si="781"/>
        <v>3</v>
      </c>
      <c r="G3453" s="3">
        <f t="shared" si="782"/>
        <v>20</v>
      </c>
      <c r="H3453" s="3">
        <f t="shared" si="783"/>
        <v>9</v>
      </c>
      <c r="I3453" s="3">
        <f t="shared" si="784"/>
        <v>14</v>
      </c>
      <c r="J3453" s="3">
        <f t="shared" si="785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786"/>
        <v>YES</v>
      </c>
      <c r="Q3453" t="str">
        <f t="shared" si="787"/>
        <v>NO</v>
      </c>
      <c r="R3453" t="str">
        <f t="shared" si="788"/>
        <v>YES</v>
      </c>
      <c r="T3453" t="s">
        <v>1742</v>
      </c>
      <c r="U3453" t="str">
        <f t="shared" si="775"/>
        <v>Bow St</v>
      </c>
      <c r="V3453" t="s">
        <v>14</v>
      </c>
      <c r="W3453" t="str">
        <f t="shared" si="776"/>
        <v>Massachusetts Ave</v>
      </c>
      <c r="X3453" t="str">
        <f>IF(ISBLANK(S3453),"Intersection","Non-Intersection")</f>
        <v>Intersection</v>
      </c>
      <c r="Y3453" t="s">
        <v>4322</v>
      </c>
      <c r="Z3453" t="str">
        <f t="shared" si="777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778"/>
        <v>40909</v>
      </c>
      <c r="D3454" s="4">
        <f t="shared" si="779"/>
        <v>0.21584699453551912</v>
      </c>
      <c r="E3454" s="3">
        <f t="shared" si="780"/>
        <v>2012</v>
      </c>
      <c r="F3454" s="3">
        <f t="shared" si="781"/>
        <v>3</v>
      </c>
      <c r="G3454" s="3">
        <f t="shared" si="782"/>
        <v>20</v>
      </c>
      <c r="H3454" s="3">
        <f t="shared" si="783"/>
        <v>22</v>
      </c>
      <c r="I3454" s="3">
        <f t="shared" si="784"/>
        <v>22</v>
      </c>
      <c r="J3454" s="3">
        <f t="shared" si="785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786"/>
        <v>YES</v>
      </c>
      <c r="Q3454" t="str">
        <f t="shared" si="787"/>
        <v>YES</v>
      </c>
      <c r="R3454" t="str">
        <f t="shared" si="788"/>
        <v>NO</v>
      </c>
      <c r="S3454">
        <v>1731</v>
      </c>
      <c r="T3454" t="s">
        <v>14</v>
      </c>
      <c r="U3454" t="str">
        <f t="shared" si="775"/>
        <v>Massachusetts Ave</v>
      </c>
      <c r="W3454" t="str">
        <f t="shared" si="776"/>
        <v/>
      </c>
      <c r="X3454" t="str">
        <f>IF(ISBLANK(S3454),"Intersection","Non-Intersection")</f>
        <v>Non-Intersection</v>
      </c>
      <c r="Y3454" t="s">
        <v>4323</v>
      </c>
      <c r="Z3454" t="str">
        <f t="shared" si="777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778"/>
        <v>40909</v>
      </c>
      <c r="D3455" s="4">
        <f t="shared" si="779"/>
        <v>0.21584699453551912</v>
      </c>
      <c r="E3455" s="3">
        <f t="shared" si="780"/>
        <v>2012</v>
      </c>
      <c r="F3455" s="3">
        <f t="shared" si="781"/>
        <v>3</v>
      </c>
      <c r="G3455" s="3">
        <f t="shared" si="782"/>
        <v>20</v>
      </c>
      <c r="H3455" s="3">
        <f t="shared" si="783"/>
        <v>17</v>
      </c>
      <c r="I3455" s="3">
        <f t="shared" si="784"/>
        <v>42</v>
      </c>
      <c r="J3455" s="3">
        <f t="shared" si="785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786"/>
        <v>YES</v>
      </c>
      <c r="Q3455" t="str">
        <f t="shared" si="787"/>
        <v>YES</v>
      </c>
      <c r="R3455" t="str">
        <f t="shared" si="788"/>
        <v>NO</v>
      </c>
      <c r="S3455">
        <v>125</v>
      </c>
      <c r="T3455" t="s">
        <v>198</v>
      </c>
      <c r="U3455" t="str">
        <f t="shared" si="775"/>
        <v>Mount Auburn St</v>
      </c>
      <c r="W3455" t="str">
        <f t="shared" si="776"/>
        <v/>
      </c>
      <c r="X3455" t="str">
        <f>IF(ISBLANK(S3455),"Intersection","Non-Intersection")</f>
        <v>Non-Intersection</v>
      </c>
      <c r="Y3455" t="s">
        <v>2340</v>
      </c>
      <c r="Z3455" t="str">
        <f t="shared" si="777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778"/>
        <v>40909</v>
      </c>
      <c r="D3456" s="4">
        <f t="shared" si="779"/>
        <v>0.21857923497267759</v>
      </c>
      <c r="E3456" s="3">
        <f t="shared" si="780"/>
        <v>2012</v>
      </c>
      <c r="F3456" s="3">
        <f t="shared" si="781"/>
        <v>3</v>
      </c>
      <c r="G3456" s="3">
        <f t="shared" si="782"/>
        <v>21</v>
      </c>
      <c r="H3456" s="3">
        <f t="shared" si="783"/>
        <v>10</v>
      </c>
      <c r="I3456" s="3">
        <f t="shared" si="784"/>
        <v>54</v>
      </c>
      <c r="J3456" s="3">
        <f t="shared" si="785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786"/>
        <v>YES</v>
      </c>
      <c r="Q3456" t="str">
        <f t="shared" si="787"/>
        <v>NO</v>
      </c>
      <c r="R3456" t="str">
        <f t="shared" si="788"/>
        <v>NO</v>
      </c>
      <c r="S3456">
        <v>10</v>
      </c>
      <c r="T3456" t="s">
        <v>37</v>
      </c>
      <c r="U3456" t="str">
        <f t="shared" si="775"/>
        <v>Magazine St</v>
      </c>
      <c r="V3456" t="s">
        <v>509</v>
      </c>
      <c r="W3456" t="str">
        <f t="shared" si="776"/>
        <v>Green St</v>
      </c>
      <c r="X3456" t="str">
        <f>IF(ISBLANK(S3456),"Intersection","Non-Intersection")</f>
        <v>Non-Intersection</v>
      </c>
      <c r="Y3456" t="s">
        <v>4325</v>
      </c>
      <c r="Z3456" t="str">
        <f t="shared" si="777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778"/>
        <v>40909</v>
      </c>
      <c r="D3457" s="4">
        <f t="shared" si="779"/>
        <v>0.21857923497267759</v>
      </c>
      <c r="E3457" s="3">
        <f t="shared" si="780"/>
        <v>2012</v>
      </c>
      <c r="F3457" s="3">
        <f t="shared" si="781"/>
        <v>3</v>
      </c>
      <c r="G3457" s="3">
        <f t="shared" si="782"/>
        <v>21</v>
      </c>
      <c r="H3457" s="3">
        <f t="shared" si="783"/>
        <v>18</v>
      </c>
      <c r="I3457" s="3">
        <f t="shared" si="784"/>
        <v>0</v>
      </c>
      <c r="J3457" s="3">
        <f t="shared" si="785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786"/>
        <v>YES</v>
      </c>
      <c r="Q3457" t="str">
        <f t="shared" si="787"/>
        <v>NO</v>
      </c>
      <c r="R3457" t="str">
        <f t="shared" si="788"/>
        <v>NO</v>
      </c>
      <c r="T3457" t="s">
        <v>4327</v>
      </c>
      <c r="U3457" t="str">
        <f t="shared" si="775"/>
        <v>Banks St</v>
      </c>
      <c r="V3457" t="s">
        <v>1324</v>
      </c>
      <c r="W3457" t="str">
        <f t="shared" si="776"/>
        <v>Flagg St</v>
      </c>
      <c r="X3457" t="str">
        <f>IF(ISBLANK(S3457),"Intersection","Non-Intersection")</f>
        <v>Intersection</v>
      </c>
      <c r="Y3457" t="s">
        <v>4328</v>
      </c>
      <c r="Z3457" t="str">
        <f t="shared" si="777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778"/>
        <v>40909</v>
      </c>
      <c r="D3458" s="4">
        <f t="shared" si="779"/>
        <v>0.21857923497267759</v>
      </c>
      <c r="E3458" s="3">
        <f t="shared" si="780"/>
        <v>2012</v>
      </c>
      <c r="F3458" s="3">
        <f t="shared" si="781"/>
        <v>3</v>
      </c>
      <c r="G3458" s="3">
        <f t="shared" si="782"/>
        <v>21</v>
      </c>
      <c r="H3458" s="3">
        <f t="shared" si="783"/>
        <v>22</v>
      </c>
      <c r="I3458" s="3">
        <f t="shared" si="784"/>
        <v>9</v>
      </c>
      <c r="J3458" s="3">
        <f t="shared" si="785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786"/>
        <v>YES</v>
      </c>
      <c r="Q3458" t="str">
        <f t="shared" si="787"/>
        <v>NO</v>
      </c>
      <c r="R3458" t="str">
        <f t="shared" si="788"/>
        <v>NO</v>
      </c>
      <c r="T3458" t="s">
        <v>97</v>
      </c>
      <c r="U3458" t="str">
        <f t="shared" si="775"/>
        <v>Peabody St</v>
      </c>
      <c r="V3458" t="s">
        <v>185</v>
      </c>
      <c r="W3458" t="str">
        <f t="shared" si="776"/>
        <v>Garden St</v>
      </c>
      <c r="X3458" t="str">
        <f>IF(ISBLANK(S3458),"Intersection","Non-Intersection")</f>
        <v>Intersection</v>
      </c>
      <c r="Y3458" t="s">
        <v>4330</v>
      </c>
      <c r="Z3458" t="str">
        <f t="shared" si="777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778"/>
        <v>40909</v>
      </c>
      <c r="D3459" s="4">
        <f t="shared" si="779"/>
        <v>0.21857923497267759</v>
      </c>
      <c r="E3459" s="3">
        <f t="shared" si="780"/>
        <v>2012</v>
      </c>
      <c r="F3459" s="3">
        <f t="shared" si="781"/>
        <v>3</v>
      </c>
      <c r="G3459" s="3">
        <f t="shared" si="782"/>
        <v>21</v>
      </c>
      <c r="H3459" s="3">
        <f t="shared" si="783"/>
        <v>14</v>
      </c>
      <c r="I3459" s="3">
        <f t="shared" si="784"/>
        <v>35</v>
      </c>
      <c r="J3459" s="3">
        <f t="shared" si="785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786"/>
        <v>YES</v>
      </c>
      <c r="Q3459" t="str">
        <f t="shared" si="787"/>
        <v>NO</v>
      </c>
      <c r="R3459" t="str">
        <f t="shared" si="788"/>
        <v>YES</v>
      </c>
      <c r="S3459">
        <v>2254</v>
      </c>
      <c r="T3459" t="s">
        <v>14</v>
      </c>
      <c r="U3459" t="str">
        <f t="shared" ref="U3459:U3522" si="789">TRIM(PROPER(T3459))</f>
        <v>Massachusetts Ave</v>
      </c>
      <c r="W3459" t="str">
        <f t="shared" ref="W3459:W3522" si="790">TRIM(PROPER(V3459))</f>
        <v/>
      </c>
      <c r="X3459" t="str">
        <f>IF(ISBLANK(S3459),"Intersection","Non-Intersection")</f>
        <v>Non-Intersection</v>
      </c>
      <c r="Y3459" t="s">
        <v>4036</v>
      </c>
      <c r="Z3459" t="str">
        <f t="shared" ref="Z3459:Z3522" si="791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778"/>
        <v>40909</v>
      </c>
      <c r="D3460" s="4">
        <f t="shared" si="779"/>
        <v>0.22131147540983606</v>
      </c>
      <c r="E3460" s="3">
        <f t="shared" si="780"/>
        <v>2012</v>
      </c>
      <c r="F3460" s="3">
        <f t="shared" si="781"/>
        <v>3</v>
      </c>
      <c r="G3460" s="3">
        <f t="shared" si="782"/>
        <v>22</v>
      </c>
      <c r="H3460" s="3">
        <f t="shared" si="783"/>
        <v>8</v>
      </c>
      <c r="I3460" s="3">
        <f t="shared" si="784"/>
        <v>19</v>
      </c>
      <c r="J3460" s="3">
        <f t="shared" si="785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786"/>
        <v>YES</v>
      </c>
      <c r="Q3460" t="str">
        <f t="shared" si="787"/>
        <v>NO</v>
      </c>
      <c r="R3460" t="str">
        <f t="shared" si="788"/>
        <v>NO</v>
      </c>
      <c r="T3460" t="s">
        <v>105</v>
      </c>
      <c r="U3460" t="str">
        <f t="shared" si="789"/>
        <v>Broadway</v>
      </c>
      <c r="V3460" t="s">
        <v>189</v>
      </c>
      <c r="W3460" t="str">
        <f t="shared" si="790"/>
        <v>Windsor St</v>
      </c>
      <c r="X3460" t="str">
        <f>IF(ISBLANK(S3460),"Intersection","Non-Intersection")</f>
        <v>Intersection</v>
      </c>
      <c r="Y3460" t="s">
        <v>477</v>
      </c>
      <c r="Z3460" t="str">
        <f t="shared" si="791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778"/>
        <v>40909</v>
      </c>
      <c r="D3461" s="4">
        <f t="shared" si="779"/>
        <v>0.22131147540983606</v>
      </c>
      <c r="E3461" s="3">
        <f t="shared" si="780"/>
        <v>2012</v>
      </c>
      <c r="F3461" s="3">
        <f t="shared" si="781"/>
        <v>3</v>
      </c>
      <c r="G3461" s="3">
        <f t="shared" si="782"/>
        <v>22</v>
      </c>
      <c r="H3461" s="3">
        <f t="shared" si="783"/>
        <v>9</v>
      </c>
      <c r="I3461" s="3">
        <f t="shared" si="784"/>
        <v>11</v>
      </c>
      <c r="J3461" s="3">
        <f t="shared" si="785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786"/>
        <v>YES</v>
      </c>
      <c r="Q3461" t="str">
        <f t="shared" si="787"/>
        <v>NO</v>
      </c>
      <c r="R3461" t="str">
        <f t="shared" si="788"/>
        <v>NO</v>
      </c>
      <c r="T3461" t="s">
        <v>1991</v>
      </c>
      <c r="U3461" t="str">
        <f t="shared" si="789"/>
        <v>Jackson Pl</v>
      </c>
      <c r="V3461" t="s">
        <v>15</v>
      </c>
      <c r="W3461" t="str">
        <f t="shared" si="790"/>
        <v>Rindge Ave</v>
      </c>
      <c r="X3461" t="str">
        <f>IF(ISBLANK(S3461),"Intersection","Non-Intersection")</f>
        <v>Intersection</v>
      </c>
      <c r="Y3461" t="s">
        <v>4336</v>
      </c>
      <c r="Z3461" t="str">
        <f t="shared" si="791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778"/>
        <v>40909</v>
      </c>
      <c r="D3462" s="4">
        <f t="shared" si="779"/>
        <v>0.22131147540983606</v>
      </c>
      <c r="E3462" s="3">
        <f t="shared" si="780"/>
        <v>2012</v>
      </c>
      <c r="F3462" s="3">
        <f t="shared" si="781"/>
        <v>3</v>
      </c>
      <c r="G3462" s="3">
        <f t="shared" si="782"/>
        <v>22</v>
      </c>
      <c r="H3462" s="3">
        <f t="shared" si="783"/>
        <v>16</v>
      </c>
      <c r="I3462" s="3">
        <f t="shared" si="784"/>
        <v>5</v>
      </c>
      <c r="J3462" s="3">
        <f t="shared" si="785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786"/>
        <v>YES</v>
      </c>
      <c r="Q3462" t="str">
        <f t="shared" si="787"/>
        <v>NO</v>
      </c>
      <c r="R3462" t="str">
        <f t="shared" si="788"/>
        <v>NO</v>
      </c>
      <c r="S3462">
        <v>20</v>
      </c>
      <c r="T3462" t="s">
        <v>326</v>
      </c>
      <c r="U3462" t="str">
        <f t="shared" si="789"/>
        <v>Jfk St</v>
      </c>
      <c r="W3462" t="str">
        <f t="shared" si="790"/>
        <v/>
      </c>
      <c r="X3462" t="str">
        <f>IF(ISBLANK(S3462),"Intersection","Non-Intersection")</f>
        <v>Non-Intersection</v>
      </c>
      <c r="Y3462" t="s">
        <v>4337</v>
      </c>
      <c r="Z3462" t="str">
        <f t="shared" si="791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778"/>
        <v>40909</v>
      </c>
      <c r="D3463" s="4">
        <f t="shared" si="779"/>
        <v>0.22404371584699453</v>
      </c>
      <c r="E3463" s="3">
        <f t="shared" si="780"/>
        <v>2012</v>
      </c>
      <c r="F3463" s="3">
        <f t="shared" si="781"/>
        <v>3</v>
      </c>
      <c r="G3463" s="3">
        <f t="shared" si="782"/>
        <v>23</v>
      </c>
      <c r="H3463" s="3">
        <f t="shared" si="783"/>
        <v>7</v>
      </c>
      <c r="I3463" s="3">
        <f t="shared" si="784"/>
        <v>12</v>
      </c>
      <c r="J3463" s="3">
        <f t="shared" si="785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786"/>
        <v>YES</v>
      </c>
      <c r="Q3463" t="str">
        <f t="shared" si="787"/>
        <v>NO</v>
      </c>
      <c r="R3463" t="str">
        <f t="shared" si="788"/>
        <v>NO</v>
      </c>
      <c r="S3463">
        <v>103</v>
      </c>
      <c r="T3463" t="s">
        <v>19</v>
      </c>
      <c r="U3463" t="str">
        <f t="shared" si="789"/>
        <v>Cambridge St</v>
      </c>
      <c r="W3463" t="str">
        <f t="shared" si="790"/>
        <v/>
      </c>
      <c r="X3463" t="str">
        <f>IF(ISBLANK(S3463),"Intersection","Non-Intersection")</f>
        <v>Non-Intersection</v>
      </c>
      <c r="Y3463" t="s">
        <v>4341</v>
      </c>
      <c r="Z3463" t="str">
        <f t="shared" si="791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778"/>
        <v>40909</v>
      </c>
      <c r="D3464" s="4">
        <f t="shared" si="779"/>
        <v>0.22404371584699453</v>
      </c>
      <c r="E3464" s="3">
        <f t="shared" si="780"/>
        <v>2012</v>
      </c>
      <c r="F3464" s="3">
        <f t="shared" si="781"/>
        <v>3</v>
      </c>
      <c r="G3464" s="3">
        <f t="shared" si="782"/>
        <v>23</v>
      </c>
      <c r="H3464" s="3">
        <f t="shared" si="783"/>
        <v>13</v>
      </c>
      <c r="I3464" s="3">
        <f t="shared" si="784"/>
        <v>30</v>
      </c>
      <c r="J3464" s="3">
        <f t="shared" si="785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786"/>
        <v>YES</v>
      </c>
      <c r="Q3464" t="str">
        <f t="shared" si="787"/>
        <v>NO</v>
      </c>
      <c r="R3464" t="str">
        <f t="shared" si="788"/>
        <v>NO</v>
      </c>
      <c r="S3464">
        <v>733</v>
      </c>
      <c r="T3464" t="s">
        <v>186</v>
      </c>
      <c r="U3464" t="str">
        <f t="shared" si="789"/>
        <v>Concord Ave</v>
      </c>
      <c r="W3464" t="str">
        <f t="shared" si="790"/>
        <v/>
      </c>
      <c r="X3464" t="str">
        <f>IF(ISBLANK(S3464),"Intersection","Non-Intersection")</f>
        <v>Non-Intersection</v>
      </c>
      <c r="Y3464" t="s">
        <v>2456</v>
      </c>
      <c r="Z3464" t="str">
        <f t="shared" si="791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778"/>
        <v>40909</v>
      </c>
      <c r="D3465" s="4">
        <f t="shared" si="779"/>
        <v>0.22404371584699453</v>
      </c>
      <c r="E3465" s="3">
        <f t="shared" si="780"/>
        <v>2012</v>
      </c>
      <c r="F3465" s="3">
        <f t="shared" si="781"/>
        <v>3</v>
      </c>
      <c r="G3465" s="3">
        <f t="shared" si="782"/>
        <v>23</v>
      </c>
      <c r="H3465" s="3">
        <f t="shared" si="783"/>
        <v>14</v>
      </c>
      <c r="I3465" s="3">
        <f t="shared" si="784"/>
        <v>25</v>
      </c>
      <c r="J3465" s="3">
        <f t="shared" si="785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786"/>
        <v>YES</v>
      </c>
      <c r="Q3465" t="str">
        <f t="shared" si="787"/>
        <v>NO</v>
      </c>
      <c r="R3465" t="str">
        <f t="shared" si="788"/>
        <v>NO</v>
      </c>
      <c r="T3465" t="s">
        <v>142</v>
      </c>
      <c r="U3465" t="str">
        <f t="shared" si="789"/>
        <v>Huron Ave</v>
      </c>
      <c r="V3465" t="s">
        <v>4343</v>
      </c>
      <c r="W3465" t="str">
        <f t="shared" si="790"/>
        <v>Grove Ave</v>
      </c>
      <c r="X3465" t="str">
        <f>IF(ISBLANK(S3465),"Intersection","Non-Intersection")</f>
        <v>Intersection</v>
      </c>
      <c r="Y3465" t="s">
        <v>4344</v>
      </c>
      <c r="Z3465" t="str">
        <f t="shared" si="791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778"/>
        <v>40909</v>
      </c>
      <c r="D3466" s="4">
        <f t="shared" si="779"/>
        <v>0.22404371584699453</v>
      </c>
      <c r="E3466" s="3">
        <f t="shared" si="780"/>
        <v>2012</v>
      </c>
      <c r="F3466" s="3">
        <f t="shared" si="781"/>
        <v>3</v>
      </c>
      <c r="G3466" s="3">
        <f t="shared" si="782"/>
        <v>23</v>
      </c>
      <c r="H3466" s="3">
        <f t="shared" si="783"/>
        <v>18</v>
      </c>
      <c r="I3466" s="3">
        <f t="shared" si="784"/>
        <v>45</v>
      </c>
      <c r="J3466" s="3">
        <f t="shared" si="785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786"/>
        <v>YES</v>
      </c>
      <c r="Q3466" t="str">
        <f t="shared" si="787"/>
        <v>NO</v>
      </c>
      <c r="R3466" t="str">
        <f t="shared" si="788"/>
        <v>NO</v>
      </c>
      <c r="S3466">
        <v>198</v>
      </c>
      <c r="T3466" t="s">
        <v>170</v>
      </c>
      <c r="U3466" t="str">
        <f t="shared" si="789"/>
        <v>Alewife Brook Pky</v>
      </c>
      <c r="W3466" t="str">
        <f t="shared" si="790"/>
        <v/>
      </c>
      <c r="X3466" t="str">
        <f>IF(ISBLANK(S3466),"Intersection","Non-Intersection")</f>
        <v>Non-Intersection</v>
      </c>
      <c r="Y3466" t="s">
        <v>4345</v>
      </c>
      <c r="Z3466" t="str">
        <f t="shared" si="791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778"/>
        <v>40909</v>
      </c>
      <c r="D3467" s="4">
        <f t="shared" si="779"/>
        <v>0.22404371584699453</v>
      </c>
      <c r="E3467" s="3">
        <f t="shared" si="780"/>
        <v>2012</v>
      </c>
      <c r="F3467" s="3">
        <f t="shared" si="781"/>
        <v>3</v>
      </c>
      <c r="G3467" s="3">
        <f t="shared" si="782"/>
        <v>23</v>
      </c>
      <c r="H3467" s="3">
        <f t="shared" si="783"/>
        <v>12</v>
      </c>
      <c r="I3467" s="3">
        <f t="shared" si="784"/>
        <v>34</v>
      </c>
      <c r="J3467" s="3">
        <f t="shared" si="785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786"/>
        <v>NO</v>
      </c>
      <c r="Q3467" t="str">
        <f t="shared" si="787"/>
        <v>NO</v>
      </c>
      <c r="R3467" t="str">
        <f t="shared" si="788"/>
        <v>NO</v>
      </c>
      <c r="S3467">
        <v>12</v>
      </c>
      <c r="T3467" t="s">
        <v>198</v>
      </c>
      <c r="U3467" t="str">
        <f t="shared" si="789"/>
        <v>Mount Auburn St</v>
      </c>
      <c r="W3467" t="str">
        <f t="shared" si="790"/>
        <v/>
      </c>
      <c r="X3467" t="str">
        <f>IF(ISBLANK(S3467),"Intersection","Non-Intersection")</f>
        <v>Non-Intersection</v>
      </c>
      <c r="Y3467" t="s">
        <v>4347</v>
      </c>
      <c r="Z3467" t="str">
        <f t="shared" si="791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778"/>
        <v>40909</v>
      </c>
      <c r="D3468" s="4">
        <f t="shared" si="779"/>
        <v>0.22404371584699453</v>
      </c>
      <c r="E3468" s="3">
        <f t="shared" si="780"/>
        <v>2012</v>
      </c>
      <c r="F3468" s="3">
        <f t="shared" si="781"/>
        <v>3</v>
      </c>
      <c r="G3468" s="3">
        <f t="shared" si="782"/>
        <v>23</v>
      </c>
      <c r="H3468" s="3">
        <f t="shared" si="783"/>
        <v>18</v>
      </c>
      <c r="I3468" s="3">
        <f t="shared" si="784"/>
        <v>30</v>
      </c>
      <c r="J3468" s="3">
        <f t="shared" si="785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786"/>
        <v>YES</v>
      </c>
      <c r="Q3468" t="str">
        <f t="shared" si="787"/>
        <v>YES</v>
      </c>
      <c r="R3468" t="str">
        <f t="shared" si="788"/>
        <v>NO</v>
      </c>
      <c r="T3468" t="s">
        <v>14</v>
      </c>
      <c r="U3468" t="str">
        <f t="shared" si="789"/>
        <v>Massachusetts Ave</v>
      </c>
      <c r="V3468" t="s">
        <v>119</v>
      </c>
      <c r="W3468" t="str">
        <f t="shared" si="790"/>
        <v>Albany St</v>
      </c>
      <c r="X3468" t="str">
        <f>IF(ISBLANK(S3468),"Intersection","Non-Intersection")</f>
        <v>Intersection</v>
      </c>
      <c r="Y3468" t="s">
        <v>247</v>
      </c>
      <c r="Z3468" t="str">
        <f t="shared" si="791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778"/>
        <v>40909</v>
      </c>
      <c r="D3469" s="4">
        <f t="shared" si="779"/>
        <v>0.22677595628415301</v>
      </c>
      <c r="E3469" s="3">
        <f t="shared" si="780"/>
        <v>2012</v>
      </c>
      <c r="F3469" s="3">
        <f t="shared" si="781"/>
        <v>3</v>
      </c>
      <c r="G3469" s="3">
        <f t="shared" si="782"/>
        <v>24</v>
      </c>
      <c r="H3469" s="3">
        <f t="shared" si="783"/>
        <v>17</v>
      </c>
      <c r="I3469" s="3">
        <f t="shared" si="784"/>
        <v>0</v>
      </c>
      <c r="J3469" s="3">
        <f t="shared" si="785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786"/>
        <v>YES</v>
      </c>
      <c r="Q3469" t="str">
        <f t="shared" si="787"/>
        <v>NO</v>
      </c>
      <c r="R3469" t="str">
        <f t="shared" si="788"/>
        <v>NO</v>
      </c>
      <c r="T3469" t="s">
        <v>155</v>
      </c>
      <c r="U3469" t="str">
        <f t="shared" si="789"/>
        <v>Richdale Ave</v>
      </c>
      <c r="W3469" t="str">
        <f t="shared" si="790"/>
        <v/>
      </c>
      <c r="X3469" t="str">
        <f>IF(ISBLANK(S3469),"Intersection","Non-Intersection")</f>
        <v>Intersection</v>
      </c>
      <c r="Y3469" t="s">
        <v>4349</v>
      </c>
      <c r="Z3469" t="str">
        <f t="shared" si="791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778"/>
        <v>40909</v>
      </c>
      <c r="D3470" s="4">
        <f t="shared" si="779"/>
        <v>0.22950819672131148</v>
      </c>
      <c r="E3470" s="3">
        <f t="shared" si="780"/>
        <v>2012</v>
      </c>
      <c r="F3470" s="3">
        <f t="shared" si="781"/>
        <v>3</v>
      </c>
      <c r="G3470" s="3">
        <f t="shared" si="782"/>
        <v>25</v>
      </c>
      <c r="H3470" s="3">
        <f t="shared" si="783"/>
        <v>0</v>
      </c>
      <c r="I3470" s="3">
        <f t="shared" si="784"/>
        <v>59</v>
      </c>
      <c r="J3470" s="3">
        <f t="shared" si="785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786"/>
        <v>YES</v>
      </c>
      <c r="Q3470" t="str">
        <f t="shared" si="787"/>
        <v>NO</v>
      </c>
      <c r="R3470" t="str">
        <f t="shared" si="788"/>
        <v>NO</v>
      </c>
      <c r="S3470">
        <v>950</v>
      </c>
      <c r="T3470" t="s">
        <v>14</v>
      </c>
      <c r="U3470" t="str">
        <f t="shared" si="789"/>
        <v>Massachusetts Ave</v>
      </c>
      <c r="W3470" t="str">
        <f t="shared" si="790"/>
        <v/>
      </c>
      <c r="X3470" t="str">
        <f>IF(ISBLANK(S3470),"Intersection","Non-Intersection")</f>
        <v>Non-Intersection</v>
      </c>
      <c r="Y3470" t="s">
        <v>2204</v>
      </c>
      <c r="Z3470" t="str">
        <f t="shared" si="791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778"/>
        <v>40909</v>
      </c>
      <c r="D3471" s="4">
        <f t="shared" si="779"/>
        <v>0.22950819672131148</v>
      </c>
      <c r="E3471" s="3">
        <f t="shared" si="780"/>
        <v>2012</v>
      </c>
      <c r="F3471" s="3">
        <f t="shared" si="781"/>
        <v>3</v>
      </c>
      <c r="G3471" s="3">
        <f t="shared" si="782"/>
        <v>25</v>
      </c>
      <c r="H3471" s="3">
        <f t="shared" si="783"/>
        <v>2</v>
      </c>
      <c r="I3471" s="3">
        <f t="shared" si="784"/>
        <v>45</v>
      </c>
      <c r="J3471" s="3">
        <f t="shared" si="785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786"/>
        <v>YES</v>
      </c>
      <c r="Q3471" t="str">
        <f t="shared" si="787"/>
        <v>NO</v>
      </c>
      <c r="R3471" t="str">
        <f t="shared" si="788"/>
        <v>NO</v>
      </c>
      <c r="T3471" t="s">
        <v>14</v>
      </c>
      <c r="U3471" t="str">
        <f t="shared" si="789"/>
        <v>Massachusetts Ave</v>
      </c>
      <c r="V3471" t="s">
        <v>202</v>
      </c>
      <c r="W3471" t="str">
        <f t="shared" si="790"/>
        <v>Vassar St</v>
      </c>
      <c r="X3471" t="str">
        <f>IF(ISBLANK(S3471),"Intersection","Non-Intersection")</f>
        <v>Intersection</v>
      </c>
      <c r="Y3471" t="s">
        <v>361</v>
      </c>
      <c r="Z3471" t="str">
        <f t="shared" si="791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778"/>
        <v>40909</v>
      </c>
      <c r="D3472" s="4">
        <f t="shared" si="779"/>
        <v>0.23224043715846995</v>
      </c>
      <c r="E3472" s="3">
        <f t="shared" si="780"/>
        <v>2012</v>
      </c>
      <c r="F3472" s="3">
        <f t="shared" si="781"/>
        <v>3</v>
      </c>
      <c r="G3472" s="3">
        <f t="shared" si="782"/>
        <v>26</v>
      </c>
      <c r="H3472" s="3">
        <f t="shared" si="783"/>
        <v>8</v>
      </c>
      <c r="I3472" s="3">
        <f t="shared" si="784"/>
        <v>29</v>
      </c>
      <c r="J3472" s="3">
        <f t="shared" si="785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786"/>
        <v>YES</v>
      </c>
      <c r="Q3472" t="str">
        <f t="shared" si="787"/>
        <v>NO</v>
      </c>
      <c r="R3472" t="str">
        <f t="shared" si="788"/>
        <v>NO</v>
      </c>
      <c r="S3472">
        <v>100</v>
      </c>
      <c r="T3472" t="s">
        <v>1062</v>
      </c>
      <c r="U3472" t="str">
        <f t="shared" si="789"/>
        <v>Cambridgeside Pl</v>
      </c>
      <c r="W3472" t="str">
        <f t="shared" si="790"/>
        <v/>
      </c>
      <c r="X3472" t="str">
        <f>IF(ISBLANK(S3472),"Intersection","Non-Intersection")</f>
        <v>Non-Intersection</v>
      </c>
      <c r="Y3472" t="s">
        <v>1143</v>
      </c>
      <c r="Z3472" t="str">
        <f t="shared" si="791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778"/>
        <v>40909</v>
      </c>
      <c r="D3473" s="4">
        <f t="shared" si="779"/>
        <v>0.23224043715846995</v>
      </c>
      <c r="E3473" s="3">
        <f t="shared" si="780"/>
        <v>2012</v>
      </c>
      <c r="F3473" s="3">
        <f t="shared" si="781"/>
        <v>3</v>
      </c>
      <c r="G3473" s="3">
        <f t="shared" si="782"/>
        <v>26</v>
      </c>
      <c r="H3473" s="3">
        <f t="shared" si="783"/>
        <v>10</v>
      </c>
      <c r="I3473" s="3">
        <f t="shared" si="784"/>
        <v>44</v>
      </c>
      <c r="J3473" s="3">
        <f t="shared" si="785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786"/>
        <v>YES</v>
      </c>
      <c r="Q3473" t="str">
        <f t="shared" si="787"/>
        <v>NO</v>
      </c>
      <c r="R3473" t="str">
        <f t="shared" si="788"/>
        <v>NO</v>
      </c>
      <c r="T3473" t="s">
        <v>379</v>
      </c>
      <c r="U3473" t="str">
        <f t="shared" si="789"/>
        <v>Second St</v>
      </c>
      <c r="V3473" t="s">
        <v>146</v>
      </c>
      <c r="W3473" t="str">
        <f t="shared" si="790"/>
        <v>Spring St</v>
      </c>
      <c r="X3473" t="str">
        <f>IF(ISBLANK(S3473),"Intersection","Non-Intersection")</f>
        <v>Intersection</v>
      </c>
      <c r="Y3473" t="s">
        <v>4350</v>
      </c>
      <c r="Z3473" t="str">
        <f t="shared" si="791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778"/>
        <v>40909</v>
      </c>
      <c r="D3474" s="4">
        <f t="shared" si="779"/>
        <v>0.23224043715846995</v>
      </c>
      <c r="E3474" s="3">
        <f t="shared" si="780"/>
        <v>2012</v>
      </c>
      <c r="F3474" s="3">
        <f t="shared" si="781"/>
        <v>3</v>
      </c>
      <c r="G3474" s="3">
        <f t="shared" si="782"/>
        <v>26</v>
      </c>
      <c r="H3474" s="3">
        <f t="shared" si="783"/>
        <v>11</v>
      </c>
      <c r="I3474" s="3">
        <f t="shared" si="784"/>
        <v>29</v>
      </c>
      <c r="J3474" s="3">
        <f t="shared" si="785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786"/>
        <v>YES</v>
      </c>
      <c r="Q3474" t="str">
        <f t="shared" si="787"/>
        <v>NO</v>
      </c>
      <c r="R3474" t="str">
        <f t="shared" si="788"/>
        <v>NO</v>
      </c>
      <c r="S3474">
        <v>237</v>
      </c>
      <c r="T3474" t="s">
        <v>108</v>
      </c>
      <c r="U3474" t="str">
        <f t="shared" si="789"/>
        <v>Franklin St</v>
      </c>
      <c r="W3474" t="str">
        <f t="shared" si="790"/>
        <v/>
      </c>
      <c r="X3474" t="str">
        <f>IF(ISBLANK(S3474),"Intersection","Non-Intersection")</f>
        <v>Non-Intersection</v>
      </c>
      <c r="Y3474" t="s">
        <v>4352</v>
      </c>
      <c r="Z3474" t="str">
        <f t="shared" si="791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778"/>
        <v>40909</v>
      </c>
      <c r="D3475" s="4">
        <f t="shared" si="779"/>
        <v>0.23224043715846995</v>
      </c>
      <c r="E3475" s="3">
        <f t="shared" si="780"/>
        <v>2012</v>
      </c>
      <c r="F3475" s="3">
        <f t="shared" si="781"/>
        <v>3</v>
      </c>
      <c r="G3475" s="3">
        <f t="shared" si="782"/>
        <v>26</v>
      </c>
      <c r="H3475" s="3">
        <f t="shared" si="783"/>
        <v>15</v>
      </c>
      <c r="I3475" s="3">
        <f t="shared" si="784"/>
        <v>37</v>
      </c>
      <c r="J3475" s="3">
        <f t="shared" si="785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786"/>
        <v>YES</v>
      </c>
      <c r="Q3475" t="str">
        <f t="shared" si="787"/>
        <v>YES</v>
      </c>
      <c r="R3475" t="str">
        <f t="shared" si="788"/>
        <v>NO</v>
      </c>
      <c r="T3475" t="s">
        <v>710</v>
      </c>
      <c r="U3475" t="str">
        <f t="shared" si="789"/>
        <v>Fresh Pond Pky</v>
      </c>
      <c r="V3475" t="s">
        <v>142</v>
      </c>
      <c r="W3475" t="str">
        <f t="shared" si="790"/>
        <v>Huron Ave</v>
      </c>
      <c r="X3475" t="str">
        <f>IF(ISBLANK(S3475),"Intersection","Non-Intersection")</f>
        <v>Intersection</v>
      </c>
      <c r="Y3475" t="s">
        <v>2710</v>
      </c>
      <c r="Z3475" t="str">
        <f t="shared" si="791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778"/>
        <v>40909</v>
      </c>
      <c r="D3476" s="4">
        <f t="shared" si="779"/>
        <v>0.23224043715846995</v>
      </c>
      <c r="E3476" s="3">
        <f t="shared" si="780"/>
        <v>2012</v>
      </c>
      <c r="F3476" s="3">
        <f t="shared" si="781"/>
        <v>3</v>
      </c>
      <c r="G3476" s="3">
        <f t="shared" si="782"/>
        <v>26</v>
      </c>
      <c r="H3476" s="3">
        <f t="shared" si="783"/>
        <v>17</v>
      </c>
      <c r="I3476" s="3">
        <f t="shared" si="784"/>
        <v>19</v>
      </c>
      <c r="J3476" s="3">
        <f t="shared" si="785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786"/>
        <v>YES</v>
      </c>
      <c r="Q3476" t="str">
        <f t="shared" si="787"/>
        <v>NO</v>
      </c>
      <c r="R3476" t="str">
        <f t="shared" si="788"/>
        <v>NO</v>
      </c>
      <c r="T3476" t="s">
        <v>45</v>
      </c>
      <c r="U3476" t="str">
        <f t="shared" si="789"/>
        <v>Sherman St</v>
      </c>
      <c r="W3476" t="str">
        <f t="shared" si="790"/>
        <v/>
      </c>
      <c r="X3476" t="str">
        <f>IF(ISBLANK(S3476),"Intersection","Non-Intersection")</f>
        <v>Intersection</v>
      </c>
      <c r="Y3476" t="s">
        <v>4225</v>
      </c>
      <c r="Z3476" t="str">
        <f t="shared" si="791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778"/>
        <v>40909</v>
      </c>
      <c r="D3477" s="4">
        <f t="shared" si="779"/>
        <v>0.23497267759562843</v>
      </c>
      <c r="E3477" s="3">
        <f t="shared" si="780"/>
        <v>2012</v>
      </c>
      <c r="F3477" s="3">
        <f t="shared" si="781"/>
        <v>3</v>
      </c>
      <c r="G3477" s="3">
        <f t="shared" si="782"/>
        <v>27</v>
      </c>
      <c r="H3477" s="3">
        <f t="shared" si="783"/>
        <v>16</v>
      </c>
      <c r="I3477" s="3">
        <f t="shared" si="784"/>
        <v>50</v>
      </c>
      <c r="J3477" s="3">
        <f t="shared" si="785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786"/>
        <v>NO</v>
      </c>
      <c r="Q3477" t="str">
        <f t="shared" si="787"/>
        <v>NO</v>
      </c>
      <c r="R3477" t="str">
        <f t="shared" si="788"/>
        <v>YES</v>
      </c>
      <c r="T3477" t="s">
        <v>14</v>
      </c>
      <c r="U3477" t="str">
        <f t="shared" si="789"/>
        <v>Massachusetts Ave</v>
      </c>
      <c r="V3477" t="s">
        <v>70</v>
      </c>
      <c r="W3477" t="str">
        <f t="shared" si="790"/>
        <v>Pearl St</v>
      </c>
      <c r="X3477" t="str">
        <f>IF(ISBLANK(S3477),"Intersection","Non-Intersection")</f>
        <v>Intersection</v>
      </c>
      <c r="Y3477" t="s">
        <v>855</v>
      </c>
      <c r="Z3477" t="str">
        <f t="shared" si="791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778"/>
        <v>40909</v>
      </c>
      <c r="D3478" s="4">
        <f t="shared" si="779"/>
        <v>0.23497267759562843</v>
      </c>
      <c r="E3478" s="3">
        <f t="shared" si="780"/>
        <v>2012</v>
      </c>
      <c r="F3478" s="3">
        <f t="shared" si="781"/>
        <v>3</v>
      </c>
      <c r="G3478" s="3">
        <f t="shared" si="782"/>
        <v>27</v>
      </c>
      <c r="H3478" s="3">
        <f t="shared" si="783"/>
        <v>18</v>
      </c>
      <c r="I3478" s="3">
        <f t="shared" si="784"/>
        <v>10</v>
      </c>
      <c r="J3478" s="3">
        <f t="shared" si="785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786"/>
        <v>YES</v>
      </c>
      <c r="Q3478" t="str">
        <f t="shared" si="787"/>
        <v>NO</v>
      </c>
      <c r="R3478" t="str">
        <f t="shared" si="788"/>
        <v>YES</v>
      </c>
      <c r="T3478" t="s">
        <v>32</v>
      </c>
      <c r="U3478" t="str">
        <f t="shared" si="789"/>
        <v>Main St</v>
      </c>
      <c r="V3478" t="s">
        <v>105</v>
      </c>
      <c r="W3478" t="str">
        <f t="shared" si="790"/>
        <v>Broadway</v>
      </c>
      <c r="X3478" t="str">
        <f>IF(ISBLANK(S3478),"Intersection","Non-Intersection")</f>
        <v>Intersection</v>
      </c>
      <c r="Y3478" t="s">
        <v>3873</v>
      </c>
      <c r="Z3478" t="str">
        <f t="shared" si="791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778"/>
        <v>40909</v>
      </c>
      <c r="D3479" s="4">
        <f t="shared" si="779"/>
        <v>0.23497267759562843</v>
      </c>
      <c r="E3479" s="3">
        <f t="shared" si="780"/>
        <v>2012</v>
      </c>
      <c r="F3479" s="3">
        <f t="shared" si="781"/>
        <v>3</v>
      </c>
      <c r="G3479" s="3">
        <f t="shared" si="782"/>
        <v>27</v>
      </c>
      <c r="H3479" s="3">
        <f t="shared" si="783"/>
        <v>18</v>
      </c>
      <c r="I3479" s="3">
        <f t="shared" si="784"/>
        <v>0</v>
      </c>
      <c r="J3479" s="3">
        <f t="shared" si="785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786"/>
        <v>YES</v>
      </c>
      <c r="Q3479" t="str">
        <f t="shared" si="787"/>
        <v>NO</v>
      </c>
      <c r="R3479" t="str">
        <f t="shared" si="788"/>
        <v>NO</v>
      </c>
      <c r="S3479">
        <v>8</v>
      </c>
      <c r="T3479" t="s">
        <v>340</v>
      </c>
      <c r="U3479" t="str">
        <f t="shared" si="789"/>
        <v>Davenport St</v>
      </c>
      <c r="V3479" t="s">
        <v>14</v>
      </c>
      <c r="W3479" t="str">
        <f t="shared" si="790"/>
        <v>Massachusetts Ave</v>
      </c>
      <c r="X3479" t="str">
        <f>IF(ISBLANK(S3479),"Intersection","Non-Intersection")</f>
        <v>Non-Intersection</v>
      </c>
      <c r="Y3479" t="s">
        <v>4194</v>
      </c>
      <c r="Z3479" t="str">
        <f t="shared" si="791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792">EOMONTH(B3480,MONTH(B3480)*-1)+1</f>
        <v>40909</v>
      </c>
      <c r="D3480" s="4">
        <f t="shared" ref="D3480:D3540" si="793">YEARFRAC(C3480,B3480,1)</f>
        <v>0.23770491803278687</v>
      </c>
      <c r="E3480" s="3">
        <f t="shared" ref="E3480:E3540" si="794">YEAR(B3480)</f>
        <v>2012</v>
      </c>
      <c r="F3480" s="3">
        <f t="shared" ref="F3480:F3540" si="795">MONTH(B3480)</f>
        <v>3</v>
      </c>
      <c r="G3480" s="3">
        <f t="shared" ref="G3480:G3540" si="796">DAY(B3480)</f>
        <v>28</v>
      </c>
      <c r="H3480" s="3">
        <f t="shared" ref="H3480:H3540" si="797">HOUR(B3480)</f>
        <v>8</v>
      </c>
      <c r="I3480" s="3">
        <f t="shared" ref="I3480:I3540" si="798">MINUTE(B3480)</f>
        <v>4</v>
      </c>
      <c r="J3480" s="3">
        <f t="shared" ref="J3480:J3540" si="799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00">IF(OR(N3480="Auto",O3480="Auto"),"YES",IF(OR(N3480="Taxi",O3480="Taxi"),"YES",IF(OR(N3480="Van",O3480="Van"),"YES",IF(OR(N3480="Truck",O3480="Truck"),"YES","NO"))))</f>
        <v>YES</v>
      </c>
      <c r="Q3480" t="str">
        <f t="shared" ref="Q3480:Q3540" si="801">IF(OR(N3480="Bicycle",O3480="Bicycle"),"YES","NO")</f>
        <v>YES</v>
      </c>
      <c r="R3480" t="str">
        <f t="shared" ref="R3480:R3540" si="802">IF(OR(N3480="Pedestrian",O3480="Pedestrian"),"YES","NO")</f>
        <v>NO</v>
      </c>
      <c r="T3480" t="s">
        <v>14</v>
      </c>
      <c r="U3480" t="str">
        <f t="shared" si="789"/>
        <v>Massachusetts Ave</v>
      </c>
      <c r="V3480" t="s">
        <v>977</v>
      </c>
      <c r="W3480" t="str">
        <f t="shared" si="790"/>
        <v>Russell St</v>
      </c>
      <c r="X3480" t="str">
        <f>IF(ISBLANK(S3480),"Intersection","Non-Intersection")</f>
        <v>Intersection</v>
      </c>
      <c r="Y3480" t="s">
        <v>978</v>
      </c>
      <c r="Z3480" t="str">
        <f t="shared" si="791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792"/>
        <v>40909</v>
      </c>
      <c r="D3481" s="4">
        <f t="shared" si="793"/>
        <v>0.23770491803278687</v>
      </c>
      <c r="E3481" s="3">
        <f t="shared" si="794"/>
        <v>2012</v>
      </c>
      <c r="F3481" s="3">
        <f t="shared" si="795"/>
        <v>3</v>
      </c>
      <c r="G3481" s="3">
        <f t="shared" si="796"/>
        <v>28</v>
      </c>
      <c r="H3481" s="3">
        <f t="shared" si="797"/>
        <v>20</v>
      </c>
      <c r="I3481" s="3">
        <f t="shared" si="798"/>
        <v>38</v>
      </c>
      <c r="J3481" s="3">
        <f t="shared" si="799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00"/>
        <v>YES</v>
      </c>
      <c r="Q3481" t="str">
        <f t="shared" si="801"/>
        <v>NO</v>
      </c>
      <c r="R3481" t="str">
        <f t="shared" si="802"/>
        <v>NO</v>
      </c>
      <c r="S3481" t="s">
        <v>4354</v>
      </c>
      <c r="T3481" t="s">
        <v>459</v>
      </c>
      <c r="U3481" t="str">
        <f t="shared" si="789"/>
        <v>Fayerweather St</v>
      </c>
      <c r="W3481" t="str">
        <f t="shared" si="790"/>
        <v/>
      </c>
      <c r="X3481" t="str">
        <f>IF(ISBLANK(S3481),"Intersection","Non-Intersection")</f>
        <v>Non-Intersection</v>
      </c>
      <c r="Y3481" t="s">
        <v>4355</v>
      </c>
      <c r="Z3481" t="str">
        <f t="shared" si="791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792"/>
        <v>40909</v>
      </c>
      <c r="D3482" s="4">
        <f t="shared" si="793"/>
        <v>0.23770491803278687</v>
      </c>
      <c r="E3482" s="3">
        <f t="shared" si="794"/>
        <v>2012</v>
      </c>
      <c r="F3482" s="3">
        <f t="shared" si="795"/>
        <v>3</v>
      </c>
      <c r="G3482" s="3">
        <f t="shared" si="796"/>
        <v>28</v>
      </c>
      <c r="H3482" s="3">
        <f t="shared" si="797"/>
        <v>20</v>
      </c>
      <c r="I3482" s="3">
        <f t="shared" si="798"/>
        <v>15</v>
      </c>
      <c r="J3482" s="3">
        <f t="shared" si="799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00"/>
        <v>YES</v>
      </c>
      <c r="Q3482" t="str">
        <f t="shared" si="801"/>
        <v>NO</v>
      </c>
      <c r="R3482" t="str">
        <f t="shared" si="802"/>
        <v>NO</v>
      </c>
      <c r="T3482" t="s">
        <v>2532</v>
      </c>
      <c r="U3482" t="str">
        <f t="shared" si="789"/>
        <v>Ash St</v>
      </c>
      <c r="V3482" t="s">
        <v>203</v>
      </c>
      <c r="W3482" t="str">
        <f t="shared" si="790"/>
        <v>Memorial Dr</v>
      </c>
      <c r="X3482" t="str">
        <f>IF(ISBLANK(S3482),"Intersection","Non-Intersection")</f>
        <v>Intersection</v>
      </c>
      <c r="Y3482" t="s">
        <v>4357</v>
      </c>
      <c r="Z3482" t="str">
        <f t="shared" si="791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792"/>
        <v>40909</v>
      </c>
      <c r="D3483" s="4">
        <f t="shared" si="793"/>
        <v>0.23770491803278687</v>
      </c>
      <c r="E3483" s="3">
        <f t="shared" si="794"/>
        <v>2012</v>
      </c>
      <c r="F3483" s="3">
        <f t="shared" si="795"/>
        <v>3</v>
      </c>
      <c r="G3483" s="3">
        <f t="shared" si="796"/>
        <v>28</v>
      </c>
      <c r="H3483" s="3">
        <f t="shared" si="797"/>
        <v>6</v>
      </c>
      <c r="I3483" s="3">
        <f t="shared" si="798"/>
        <v>59</v>
      </c>
      <c r="J3483" s="3">
        <f t="shared" si="799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00"/>
        <v>YES</v>
      </c>
      <c r="Q3483" t="str">
        <f t="shared" si="801"/>
        <v>NO</v>
      </c>
      <c r="R3483" t="str">
        <f t="shared" si="802"/>
        <v>NO</v>
      </c>
      <c r="T3483" t="s">
        <v>129</v>
      </c>
      <c r="U3483" t="str">
        <f t="shared" si="789"/>
        <v>Cardinal Medeiros Ave</v>
      </c>
      <c r="V3483" t="s">
        <v>19</v>
      </c>
      <c r="W3483" t="str">
        <f t="shared" si="790"/>
        <v>Cambridge St</v>
      </c>
      <c r="X3483" t="str">
        <f>IF(ISBLANK(S3483),"Intersection","Non-Intersection")</f>
        <v>Intersection</v>
      </c>
      <c r="Y3483" t="s">
        <v>2125</v>
      </c>
      <c r="Z3483" t="str">
        <f t="shared" si="791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792"/>
        <v>40909</v>
      </c>
      <c r="D3484" s="4">
        <f t="shared" si="793"/>
        <v>0.23770491803278687</v>
      </c>
      <c r="E3484" s="3">
        <f t="shared" si="794"/>
        <v>2012</v>
      </c>
      <c r="F3484" s="3">
        <f t="shared" si="795"/>
        <v>3</v>
      </c>
      <c r="G3484" s="3">
        <f t="shared" si="796"/>
        <v>28</v>
      </c>
      <c r="H3484" s="3">
        <f t="shared" si="797"/>
        <v>8</v>
      </c>
      <c r="I3484" s="3">
        <f t="shared" si="798"/>
        <v>29</v>
      </c>
      <c r="J3484" s="3">
        <f t="shared" si="799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00"/>
        <v>YES</v>
      </c>
      <c r="Q3484" t="str">
        <f t="shared" si="801"/>
        <v>NO</v>
      </c>
      <c r="R3484" t="str">
        <f t="shared" si="802"/>
        <v>NO</v>
      </c>
      <c r="T3484" t="s">
        <v>178</v>
      </c>
      <c r="U3484" t="str">
        <f t="shared" si="789"/>
        <v>Pleasant St</v>
      </c>
      <c r="V3484" t="s">
        <v>509</v>
      </c>
      <c r="W3484" t="str">
        <f t="shared" si="790"/>
        <v>Green St</v>
      </c>
      <c r="X3484" t="str">
        <f>IF(ISBLANK(S3484),"Intersection","Non-Intersection")</f>
        <v>Intersection</v>
      </c>
      <c r="Y3484" t="s">
        <v>1008</v>
      </c>
      <c r="Z3484" t="str">
        <f t="shared" si="791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792"/>
        <v>40909</v>
      </c>
      <c r="D3485" s="4">
        <f t="shared" si="793"/>
        <v>0.24316939890710382</v>
      </c>
      <c r="E3485" s="3">
        <f t="shared" si="794"/>
        <v>2012</v>
      </c>
      <c r="F3485" s="3">
        <f t="shared" si="795"/>
        <v>3</v>
      </c>
      <c r="G3485" s="3">
        <f t="shared" si="796"/>
        <v>30</v>
      </c>
      <c r="H3485" s="3">
        <f t="shared" si="797"/>
        <v>10</v>
      </c>
      <c r="I3485" s="3">
        <f t="shared" si="798"/>
        <v>50</v>
      </c>
      <c r="J3485" s="3">
        <f t="shared" si="799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00"/>
        <v>YES</v>
      </c>
      <c r="Q3485" t="str">
        <f t="shared" si="801"/>
        <v>NO</v>
      </c>
      <c r="R3485" t="str">
        <f t="shared" si="802"/>
        <v>NO</v>
      </c>
      <c r="T3485" t="s">
        <v>14</v>
      </c>
      <c r="U3485" t="str">
        <f t="shared" si="789"/>
        <v>Massachusetts Ave</v>
      </c>
      <c r="V3485" t="s">
        <v>524</v>
      </c>
      <c r="W3485" t="str">
        <f t="shared" si="790"/>
        <v>Blake St</v>
      </c>
      <c r="X3485" t="str">
        <f>IF(ISBLANK(S3485),"Intersection","Non-Intersection")</f>
        <v>Intersection</v>
      </c>
      <c r="Y3485" t="s">
        <v>3291</v>
      </c>
      <c r="Z3485" t="str">
        <f t="shared" si="791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792"/>
        <v>40909</v>
      </c>
      <c r="D3486" s="4">
        <f t="shared" si="793"/>
        <v>0.24316939890710382</v>
      </c>
      <c r="E3486" s="3">
        <f t="shared" si="794"/>
        <v>2012</v>
      </c>
      <c r="F3486" s="3">
        <f t="shared" si="795"/>
        <v>3</v>
      </c>
      <c r="G3486" s="3">
        <f t="shared" si="796"/>
        <v>30</v>
      </c>
      <c r="H3486" s="3">
        <f t="shared" si="797"/>
        <v>15</v>
      </c>
      <c r="I3486" s="3">
        <f t="shared" si="798"/>
        <v>49</v>
      </c>
      <c r="J3486" s="3">
        <f t="shared" si="799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00"/>
        <v>YES</v>
      </c>
      <c r="Q3486" t="str">
        <f t="shared" si="801"/>
        <v>YES</v>
      </c>
      <c r="R3486" t="str">
        <f t="shared" si="802"/>
        <v>NO</v>
      </c>
      <c r="S3486">
        <v>265</v>
      </c>
      <c r="T3486" t="s">
        <v>332</v>
      </c>
      <c r="U3486" t="str">
        <f t="shared" si="789"/>
        <v>Allston St</v>
      </c>
      <c r="V3486" t="s">
        <v>37</v>
      </c>
      <c r="W3486" t="str">
        <f t="shared" si="790"/>
        <v>Magazine St</v>
      </c>
      <c r="X3486" t="str">
        <f>IF(ISBLANK(S3486),"Intersection","Non-Intersection")</f>
        <v>Non-Intersection</v>
      </c>
      <c r="Y3486" t="s">
        <v>4359</v>
      </c>
      <c r="Z3486" t="str">
        <f t="shared" si="791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792"/>
        <v>40909</v>
      </c>
      <c r="D3487" s="4">
        <f t="shared" si="793"/>
        <v>0.24316939890710382</v>
      </c>
      <c r="E3487" s="3">
        <f t="shared" si="794"/>
        <v>2012</v>
      </c>
      <c r="F3487" s="3">
        <f t="shared" si="795"/>
        <v>3</v>
      </c>
      <c r="G3487" s="3">
        <f t="shared" si="796"/>
        <v>30</v>
      </c>
      <c r="H3487" s="3">
        <f t="shared" si="797"/>
        <v>22</v>
      </c>
      <c r="I3487" s="3">
        <f t="shared" si="798"/>
        <v>2</v>
      </c>
      <c r="J3487" s="3">
        <f t="shared" si="799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00"/>
        <v>YES</v>
      </c>
      <c r="Q3487" t="str">
        <f t="shared" si="801"/>
        <v>YES</v>
      </c>
      <c r="R3487" t="str">
        <f t="shared" si="802"/>
        <v>NO</v>
      </c>
      <c r="S3487">
        <v>1124</v>
      </c>
      <c r="T3487" t="s">
        <v>19</v>
      </c>
      <c r="U3487" t="str">
        <f t="shared" si="789"/>
        <v>Cambridge St</v>
      </c>
      <c r="W3487" t="str">
        <f t="shared" si="790"/>
        <v/>
      </c>
      <c r="X3487" t="str">
        <f>IF(ISBLANK(S3487),"Intersection","Non-Intersection")</f>
        <v>Non-Intersection</v>
      </c>
      <c r="Y3487" t="s">
        <v>4361</v>
      </c>
      <c r="Z3487" t="str">
        <f t="shared" si="791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792"/>
        <v>40909</v>
      </c>
      <c r="D3488" s="4">
        <f t="shared" si="793"/>
        <v>0.24316939890710382</v>
      </c>
      <c r="E3488" s="3">
        <f t="shared" si="794"/>
        <v>2012</v>
      </c>
      <c r="F3488" s="3">
        <f t="shared" si="795"/>
        <v>3</v>
      </c>
      <c r="G3488" s="3">
        <f t="shared" si="796"/>
        <v>30</v>
      </c>
      <c r="H3488" s="3">
        <f t="shared" si="797"/>
        <v>23</v>
      </c>
      <c r="I3488" s="3">
        <f t="shared" si="798"/>
        <v>19</v>
      </c>
      <c r="J3488" s="3">
        <f t="shared" si="799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00"/>
        <v>YES</v>
      </c>
      <c r="Q3488" t="str">
        <f t="shared" si="801"/>
        <v>NO</v>
      </c>
      <c r="R3488" t="str">
        <f t="shared" si="802"/>
        <v>NO</v>
      </c>
      <c r="T3488" t="s">
        <v>178</v>
      </c>
      <c r="U3488" t="str">
        <f t="shared" si="789"/>
        <v>Pleasant St</v>
      </c>
      <c r="V3488" t="s">
        <v>42</v>
      </c>
      <c r="W3488" t="str">
        <f t="shared" si="790"/>
        <v>Putnam Ave</v>
      </c>
      <c r="X3488" t="str">
        <f>IF(ISBLANK(S3488),"Intersection","Non-Intersection")</f>
        <v>Intersection</v>
      </c>
      <c r="Y3488" t="s">
        <v>3811</v>
      </c>
      <c r="Z3488" t="str">
        <f t="shared" si="791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792"/>
        <v>40909</v>
      </c>
      <c r="D3489" s="4">
        <f t="shared" si="793"/>
        <v>0.24316939890710382</v>
      </c>
      <c r="E3489" s="3">
        <f t="shared" si="794"/>
        <v>2012</v>
      </c>
      <c r="F3489" s="3">
        <f t="shared" si="795"/>
        <v>3</v>
      </c>
      <c r="G3489" s="3">
        <f t="shared" si="796"/>
        <v>30</v>
      </c>
      <c r="H3489" s="3">
        <f t="shared" si="797"/>
        <v>17</v>
      </c>
      <c r="I3489" s="3">
        <f t="shared" si="798"/>
        <v>49</v>
      </c>
      <c r="J3489" s="3">
        <f t="shared" si="799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00"/>
        <v>YES</v>
      </c>
      <c r="Q3489" t="str">
        <f t="shared" si="801"/>
        <v>NO</v>
      </c>
      <c r="R3489" t="str">
        <f t="shared" si="802"/>
        <v>NO</v>
      </c>
      <c r="S3489">
        <v>198</v>
      </c>
      <c r="T3489" t="s">
        <v>108</v>
      </c>
      <c r="U3489" t="str">
        <f t="shared" si="789"/>
        <v>Franklin St</v>
      </c>
      <c r="W3489" t="str">
        <f t="shared" si="790"/>
        <v/>
      </c>
      <c r="X3489" t="str">
        <f>IF(ISBLANK(S3489),"Intersection","Non-Intersection")</f>
        <v>Non-Intersection</v>
      </c>
      <c r="Y3489" t="s">
        <v>4363</v>
      </c>
      <c r="Z3489" t="str">
        <f t="shared" si="791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792"/>
        <v>40909</v>
      </c>
      <c r="D3490" s="4">
        <f t="shared" si="793"/>
        <v>0.24316939890710382</v>
      </c>
      <c r="E3490" s="3">
        <f t="shared" si="794"/>
        <v>2012</v>
      </c>
      <c r="F3490" s="3">
        <f t="shared" si="795"/>
        <v>3</v>
      </c>
      <c r="G3490" s="3">
        <f t="shared" si="796"/>
        <v>30</v>
      </c>
      <c r="H3490" s="3">
        <f t="shared" si="797"/>
        <v>17</v>
      </c>
      <c r="I3490" s="3">
        <f t="shared" si="798"/>
        <v>0</v>
      </c>
      <c r="J3490" s="3">
        <f t="shared" si="799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00"/>
        <v>YES</v>
      </c>
      <c r="Q3490" t="str">
        <f t="shared" si="801"/>
        <v>NO</v>
      </c>
      <c r="R3490" t="str">
        <f t="shared" si="802"/>
        <v>NO</v>
      </c>
      <c r="S3490">
        <v>70</v>
      </c>
      <c r="T3490" t="s">
        <v>74</v>
      </c>
      <c r="U3490" t="str">
        <f t="shared" si="789"/>
        <v>Hampshire St</v>
      </c>
      <c r="W3490" t="str">
        <f t="shared" si="790"/>
        <v/>
      </c>
      <c r="X3490" t="str">
        <f>IF(ISBLANK(S3490),"Intersection","Non-Intersection")</f>
        <v>Non-Intersection</v>
      </c>
      <c r="Y3490" t="s">
        <v>4365</v>
      </c>
      <c r="Z3490" t="str">
        <f t="shared" si="791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792"/>
        <v>40909</v>
      </c>
      <c r="D3491" s="4">
        <f t="shared" si="793"/>
        <v>0.24316939890710382</v>
      </c>
      <c r="E3491" s="3">
        <f t="shared" si="794"/>
        <v>2012</v>
      </c>
      <c r="F3491" s="3">
        <f t="shared" si="795"/>
        <v>3</v>
      </c>
      <c r="G3491" s="3">
        <f t="shared" si="796"/>
        <v>30</v>
      </c>
      <c r="H3491" s="3">
        <f t="shared" si="797"/>
        <v>15</v>
      </c>
      <c r="I3491" s="3">
        <f t="shared" si="798"/>
        <v>30</v>
      </c>
      <c r="J3491" s="3">
        <f t="shared" si="799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00"/>
        <v>YES</v>
      </c>
      <c r="Q3491" t="str">
        <f t="shared" si="801"/>
        <v>NO</v>
      </c>
      <c r="R3491" t="str">
        <f t="shared" si="802"/>
        <v>NO</v>
      </c>
      <c r="S3491">
        <v>100</v>
      </c>
      <c r="T3491" t="s">
        <v>1062</v>
      </c>
      <c r="U3491" t="str">
        <f t="shared" si="789"/>
        <v>Cambridgeside Pl</v>
      </c>
      <c r="W3491" t="str">
        <f t="shared" si="790"/>
        <v/>
      </c>
      <c r="X3491" t="str">
        <f>IF(ISBLANK(S3491),"Intersection","Non-Intersection")</f>
        <v>Non-Intersection</v>
      </c>
      <c r="Y3491" t="s">
        <v>1143</v>
      </c>
      <c r="Z3491" t="str">
        <f t="shared" si="791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792"/>
        <v>40909</v>
      </c>
      <c r="D3492" s="4">
        <f t="shared" si="793"/>
        <v>0.24590163934426229</v>
      </c>
      <c r="E3492" s="3">
        <f t="shared" si="794"/>
        <v>2012</v>
      </c>
      <c r="F3492" s="3">
        <f t="shared" si="795"/>
        <v>3</v>
      </c>
      <c r="G3492" s="3">
        <f t="shared" si="796"/>
        <v>31</v>
      </c>
      <c r="H3492" s="3">
        <f t="shared" si="797"/>
        <v>13</v>
      </c>
      <c r="I3492" s="3">
        <f t="shared" si="798"/>
        <v>30</v>
      </c>
      <c r="J3492" s="3">
        <f t="shared" si="799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00"/>
        <v>YES</v>
      </c>
      <c r="Q3492" t="str">
        <f t="shared" si="801"/>
        <v>NO</v>
      </c>
      <c r="R3492" t="str">
        <f t="shared" si="802"/>
        <v>NO</v>
      </c>
      <c r="T3492" t="s">
        <v>74</v>
      </c>
      <c r="U3492" t="str">
        <f t="shared" si="789"/>
        <v>Hampshire St</v>
      </c>
      <c r="V3492" t="s">
        <v>667</v>
      </c>
      <c r="W3492" t="str">
        <f t="shared" si="790"/>
        <v>Tremont St</v>
      </c>
      <c r="X3492" t="str">
        <f>IF(ISBLANK(S3492),"Intersection","Non-Intersection")</f>
        <v>Intersection</v>
      </c>
      <c r="Y3492" t="s">
        <v>668</v>
      </c>
      <c r="Z3492" t="str">
        <f t="shared" si="791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792"/>
        <v>40909</v>
      </c>
      <c r="D3493" s="4">
        <f t="shared" si="793"/>
        <v>0.24590163934426229</v>
      </c>
      <c r="E3493" s="3">
        <f t="shared" si="794"/>
        <v>2012</v>
      </c>
      <c r="F3493" s="3">
        <f t="shared" si="795"/>
        <v>3</v>
      </c>
      <c r="G3493" s="3">
        <f t="shared" si="796"/>
        <v>31</v>
      </c>
      <c r="H3493" s="3">
        <f t="shared" si="797"/>
        <v>3</v>
      </c>
      <c r="I3493" s="3">
        <f t="shared" si="798"/>
        <v>14</v>
      </c>
      <c r="J3493" s="3">
        <f t="shared" si="799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00"/>
        <v>YES</v>
      </c>
      <c r="Q3493" t="str">
        <f t="shared" si="801"/>
        <v>NO</v>
      </c>
      <c r="R3493" t="str">
        <f t="shared" si="802"/>
        <v>NO</v>
      </c>
      <c r="S3493">
        <v>1683</v>
      </c>
      <c r="T3493" t="s">
        <v>19</v>
      </c>
      <c r="U3493" t="str">
        <f t="shared" si="789"/>
        <v>Cambridge St</v>
      </c>
      <c r="W3493" t="str">
        <f t="shared" si="790"/>
        <v/>
      </c>
      <c r="X3493" t="str">
        <f>IF(ISBLANK(S3493),"Intersection","Non-Intersection")</f>
        <v>Non-Intersection</v>
      </c>
      <c r="Y3493" t="s">
        <v>4367</v>
      </c>
      <c r="Z3493" t="str">
        <f t="shared" si="791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792"/>
        <v>40909</v>
      </c>
      <c r="D3494" s="4">
        <f t="shared" si="793"/>
        <v>0.24590163934426229</v>
      </c>
      <c r="E3494" s="3">
        <f t="shared" si="794"/>
        <v>2012</v>
      </c>
      <c r="F3494" s="3">
        <f t="shared" si="795"/>
        <v>3</v>
      </c>
      <c r="G3494" s="3">
        <f t="shared" si="796"/>
        <v>31</v>
      </c>
      <c r="H3494" s="3">
        <f t="shared" si="797"/>
        <v>20</v>
      </c>
      <c r="I3494" s="3">
        <f t="shared" si="798"/>
        <v>0</v>
      </c>
      <c r="J3494" s="3">
        <f t="shared" si="799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00"/>
        <v>YES</v>
      </c>
      <c r="Q3494" t="str">
        <f t="shared" si="801"/>
        <v>NO</v>
      </c>
      <c r="R3494" t="str">
        <f t="shared" si="802"/>
        <v>NO</v>
      </c>
      <c r="T3494" t="s">
        <v>380</v>
      </c>
      <c r="U3494" t="str">
        <f t="shared" si="789"/>
        <v>Charles St</v>
      </c>
      <c r="V3494" t="s">
        <v>61</v>
      </c>
      <c r="W3494" t="str">
        <f t="shared" si="790"/>
        <v>First St</v>
      </c>
      <c r="X3494" t="str">
        <f>IF(ISBLANK(S3494),"Intersection","Non-Intersection")</f>
        <v>Intersection</v>
      </c>
      <c r="Y3494" t="s">
        <v>1656</v>
      </c>
      <c r="Z3494" t="str">
        <f t="shared" si="791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792"/>
        <v>40909</v>
      </c>
      <c r="D3495" s="4">
        <f t="shared" si="793"/>
        <v>0.24863387978142076</v>
      </c>
      <c r="E3495" s="3">
        <f t="shared" si="794"/>
        <v>2012</v>
      </c>
      <c r="F3495" s="3">
        <f t="shared" si="795"/>
        <v>4</v>
      </c>
      <c r="G3495" s="3">
        <f t="shared" si="796"/>
        <v>1</v>
      </c>
      <c r="H3495" s="3">
        <f t="shared" si="797"/>
        <v>16</v>
      </c>
      <c r="I3495" s="3">
        <f t="shared" si="798"/>
        <v>54</v>
      </c>
      <c r="J3495" s="3">
        <f t="shared" si="799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00"/>
        <v>YES</v>
      </c>
      <c r="Q3495" t="str">
        <f t="shared" si="801"/>
        <v>NO</v>
      </c>
      <c r="R3495" t="str">
        <f t="shared" si="802"/>
        <v>NO</v>
      </c>
      <c r="T3495" t="s">
        <v>189</v>
      </c>
      <c r="U3495" t="str">
        <f t="shared" si="789"/>
        <v>Windsor St</v>
      </c>
      <c r="V3495" t="s">
        <v>1114</v>
      </c>
      <c r="W3495" t="str">
        <f t="shared" si="790"/>
        <v>Market St</v>
      </c>
      <c r="X3495" t="str">
        <f>IF(ISBLANK(S3495),"Intersection","Non-Intersection")</f>
        <v>Intersection</v>
      </c>
      <c r="Y3495" t="s">
        <v>3126</v>
      </c>
      <c r="Z3495" t="str">
        <f t="shared" si="791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792"/>
        <v>40909</v>
      </c>
      <c r="D3496" s="4">
        <f t="shared" si="793"/>
        <v>0.24863387978142076</v>
      </c>
      <c r="E3496" s="3">
        <f t="shared" si="794"/>
        <v>2012</v>
      </c>
      <c r="F3496" s="3">
        <f t="shared" si="795"/>
        <v>4</v>
      </c>
      <c r="G3496" s="3">
        <f t="shared" si="796"/>
        <v>1</v>
      </c>
      <c r="H3496" s="3">
        <f t="shared" si="797"/>
        <v>20</v>
      </c>
      <c r="I3496" s="3">
        <f t="shared" si="798"/>
        <v>13</v>
      </c>
      <c r="J3496" s="3">
        <f t="shared" si="799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00"/>
        <v>YES</v>
      </c>
      <c r="Q3496" t="str">
        <f t="shared" si="801"/>
        <v>NO</v>
      </c>
      <c r="R3496" t="str">
        <f t="shared" si="802"/>
        <v>NO</v>
      </c>
      <c r="T3496" t="s">
        <v>14</v>
      </c>
      <c r="U3496" t="str">
        <f t="shared" si="789"/>
        <v>Massachusetts Ave</v>
      </c>
      <c r="V3496" t="s">
        <v>167</v>
      </c>
      <c r="W3496" t="str">
        <f t="shared" si="790"/>
        <v>Wendell St</v>
      </c>
      <c r="X3496" t="str">
        <f>IF(ISBLANK(S3496),"Intersection","Non-Intersection")</f>
        <v>Intersection</v>
      </c>
      <c r="Y3496" t="s">
        <v>817</v>
      </c>
      <c r="Z3496" t="str">
        <f t="shared" si="791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792"/>
        <v>40909</v>
      </c>
      <c r="D3497" s="4">
        <f t="shared" si="793"/>
        <v>0.24863387978142076</v>
      </c>
      <c r="E3497" s="3">
        <f t="shared" si="794"/>
        <v>2012</v>
      </c>
      <c r="F3497" s="3">
        <f t="shared" si="795"/>
        <v>4</v>
      </c>
      <c r="G3497" s="3">
        <f t="shared" si="796"/>
        <v>1</v>
      </c>
      <c r="H3497" s="3">
        <f t="shared" si="797"/>
        <v>21</v>
      </c>
      <c r="I3497" s="3">
        <f t="shared" si="798"/>
        <v>30</v>
      </c>
      <c r="J3497" s="3">
        <f t="shared" si="799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00"/>
        <v>YES</v>
      </c>
      <c r="Q3497" t="str">
        <f t="shared" si="801"/>
        <v>NO</v>
      </c>
      <c r="R3497" t="str">
        <f t="shared" si="802"/>
        <v>NO</v>
      </c>
      <c r="T3497" t="s">
        <v>315</v>
      </c>
      <c r="U3497" t="str">
        <f t="shared" si="789"/>
        <v>Essex St</v>
      </c>
      <c r="V3497" t="s">
        <v>316</v>
      </c>
      <c r="W3497" t="str">
        <f t="shared" si="790"/>
        <v>Bishop Allen Dr</v>
      </c>
      <c r="X3497" t="str">
        <f>IF(ISBLANK(S3497),"Intersection","Non-Intersection")</f>
        <v>Intersection</v>
      </c>
      <c r="Y3497" t="s">
        <v>317</v>
      </c>
      <c r="Z3497" t="str">
        <f t="shared" si="791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792"/>
        <v>40909</v>
      </c>
      <c r="D3498" s="4">
        <f t="shared" si="793"/>
        <v>0.24863387978142076</v>
      </c>
      <c r="E3498" s="3">
        <f t="shared" si="794"/>
        <v>2012</v>
      </c>
      <c r="F3498" s="3">
        <f t="shared" si="795"/>
        <v>4</v>
      </c>
      <c r="G3498" s="3">
        <f t="shared" si="796"/>
        <v>1</v>
      </c>
      <c r="H3498" s="3">
        <f t="shared" si="797"/>
        <v>12</v>
      </c>
      <c r="I3498" s="3">
        <f t="shared" si="798"/>
        <v>49</v>
      </c>
      <c r="J3498" s="3">
        <f t="shared" si="799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00"/>
        <v>YES</v>
      </c>
      <c r="Q3498" t="str">
        <f t="shared" si="801"/>
        <v>NO</v>
      </c>
      <c r="R3498" t="str">
        <f t="shared" si="802"/>
        <v>NO</v>
      </c>
      <c r="S3498">
        <v>6</v>
      </c>
      <c r="T3498" t="s">
        <v>315</v>
      </c>
      <c r="U3498" t="str">
        <f t="shared" si="789"/>
        <v>Essex St</v>
      </c>
      <c r="W3498" t="str">
        <f t="shared" si="790"/>
        <v/>
      </c>
      <c r="X3498" t="str">
        <f>IF(ISBLANK(S3498),"Intersection","Non-Intersection")</f>
        <v>Non-Intersection</v>
      </c>
      <c r="Y3498" t="s">
        <v>4369</v>
      </c>
      <c r="Z3498" t="str">
        <f t="shared" si="791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792"/>
        <v>40909</v>
      </c>
      <c r="D3499" s="4">
        <f t="shared" si="793"/>
        <v>0.25136612021857924</v>
      </c>
      <c r="E3499" s="3">
        <f t="shared" si="794"/>
        <v>2012</v>
      </c>
      <c r="F3499" s="3">
        <f t="shared" si="795"/>
        <v>4</v>
      </c>
      <c r="G3499" s="3">
        <f t="shared" si="796"/>
        <v>2</v>
      </c>
      <c r="H3499" s="3">
        <f t="shared" si="797"/>
        <v>0</v>
      </c>
      <c r="I3499" s="3">
        <f t="shared" si="798"/>
        <v>53</v>
      </c>
      <c r="J3499" s="3">
        <f t="shared" si="799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00"/>
        <v>YES</v>
      </c>
      <c r="Q3499" t="str">
        <f t="shared" si="801"/>
        <v>NO</v>
      </c>
      <c r="R3499" t="str">
        <f t="shared" si="802"/>
        <v>NO</v>
      </c>
      <c r="S3499">
        <v>36</v>
      </c>
      <c r="T3499" t="s">
        <v>667</v>
      </c>
      <c r="U3499" t="str">
        <f t="shared" si="789"/>
        <v>Tremont St</v>
      </c>
      <c r="W3499" t="str">
        <f t="shared" si="790"/>
        <v/>
      </c>
      <c r="X3499" t="str">
        <f>IF(ISBLANK(S3499),"Intersection","Non-Intersection")</f>
        <v>Non-Intersection</v>
      </c>
      <c r="Y3499" t="s">
        <v>4371</v>
      </c>
      <c r="Z3499" t="str">
        <f t="shared" si="791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792"/>
        <v>40909</v>
      </c>
      <c r="D3500" s="4">
        <f t="shared" si="793"/>
        <v>0.25136612021857924</v>
      </c>
      <c r="E3500" s="3">
        <f t="shared" si="794"/>
        <v>2012</v>
      </c>
      <c r="F3500" s="3">
        <f t="shared" si="795"/>
        <v>4</v>
      </c>
      <c r="G3500" s="3">
        <f t="shared" si="796"/>
        <v>2</v>
      </c>
      <c r="H3500" s="3">
        <f t="shared" si="797"/>
        <v>12</v>
      </c>
      <c r="I3500" s="3">
        <f t="shared" si="798"/>
        <v>20</v>
      </c>
      <c r="J3500" s="3">
        <f t="shared" si="799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00"/>
        <v>YES</v>
      </c>
      <c r="Q3500" t="str">
        <f t="shared" si="801"/>
        <v>YES</v>
      </c>
      <c r="R3500" t="str">
        <f t="shared" si="802"/>
        <v>NO</v>
      </c>
      <c r="T3500" t="s">
        <v>19</v>
      </c>
      <c r="U3500" t="str">
        <f t="shared" si="789"/>
        <v>Cambridge St</v>
      </c>
      <c r="V3500" t="s">
        <v>224</v>
      </c>
      <c r="W3500" t="str">
        <f t="shared" si="790"/>
        <v>Sumner Rd</v>
      </c>
      <c r="X3500" t="str">
        <f>IF(ISBLANK(S3500),"Intersection","Non-Intersection")</f>
        <v>Intersection</v>
      </c>
      <c r="Y3500" t="s">
        <v>1169</v>
      </c>
      <c r="Z3500" t="str">
        <f t="shared" si="791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792"/>
        <v>40909</v>
      </c>
      <c r="D3501" s="4">
        <f t="shared" si="793"/>
        <v>0.25136612021857924</v>
      </c>
      <c r="E3501" s="3">
        <f t="shared" si="794"/>
        <v>2012</v>
      </c>
      <c r="F3501" s="3">
        <f t="shared" si="795"/>
        <v>4</v>
      </c>
      <c r="G3501" s="3">
        <f t="shared" si="796"/>
        <v>2</v>
      </c>
      <c r="H3501" s="3">
        <f t="shared" si="797"/>
        <v>14</v>
      </c>
      <c r="I3501" s="3">
        <f t="shared" si="798"/>
        <v>55</v>
      </c>
      <c r="J3501" s="3">
        <f t="shared" si="799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00"/>
        <v>YES</v>
      </c>
      <c r="Q3501" t="str">
        <f t="shared" si="801"/>
        <v>NO</v>
      </c>
      <c r="R3501" t="str">
        <f t="shared" si="802"/>
        <v>NO</v>
      </c>
      <c r="T3501" t="s">
        <v>19</v>
      </c>
      <c r="U3501" t="str">
        <f t="shared" si="789"/>
        <v>Cambridge St</v>
      </c>
      <c r="V3501" t="s">
        <v>75</v>
      </c>
      <c r="W3501" t="str">
        <f t="shared" si="790"/>
        <v>Elm St</v>
      </c>
      <c r="X3501" t="str">
        <f>IF(ISBLANK(S3501),"Intersection","Non-Intersection")</f>
        <v>Intersection</v>
      </c>
      <c r="Y3501" t="s">
        <v>321</v>
      </c>
      <c r="Z3501" t="str">
        <f t="shared" si="791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792"/>
        <v>40909</v>
      </c>
      <c r="D3502" s="4">
        <f t="shared" si="793"/>
        <v>0.25409836065573771</v>
      </c>
      <c r="E3502" s="3">
        <f t="shared" si="794"/>
        <v>2012</v>
      </c>
      <c r="F3502" s="3">
        <f t="shared" si="795"/>
        <v>4</v>
      </c>
      <c r="G3502" s="3">
        <f t="shared" si="796"/>
        <v>3</v>
      </c>
      <c r="H3502" s="3">
        <f t="shared" si="797"/>
        <v>13</v>
      </c>
      <c r="I3502" s="3">
        <f t="shared" si="798"/>
        <v>40</v>
      </c>
      <c r="J3502" s="3">
        <f t="shared" si="799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00"/>
        <v>YES</v>
      </c>
      <c r="Q3502" t="str">
        <f t="shared" si="801"/>
        <v>NO</v>
      </c>
      <c r="R3502" t="str">
        <f t="shared" si="802"/>
        <v>YES</v>
      </c>
      <c r="T3502" t="s">
        <v>453</v>
      </c>
      <c r="U3502" t="str">
        <f t="shared" si="789"/>
        <v>Brookline St</v>
      </c>
      <c r="V3502" t="s">
        <v>116</v>
      </c>
      <c r="W3502" t="str">
        <f t="shared" si="790"/>
        <v>Chestnut St</v>
      </c>
      <c r="X3502" t="str">
        <f>IF(ISBLANK(S3502),"Intersection","Non-Intersection")</f>
        <v>Intersection</v>
      </c>
      <c r="Y3502" t="s">
        <v>4373</v>
      </c>
      <c r="Z3502" t="str">
        <f t="shared" si="791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792"/>
        <v>40909</v>
      </c>
      <c r="D3503" s="4">
        <f t="shared" si="793"/>
        <v>0.25409836065573771</v>
      </c>
      <c r="E3503" s="3">
        <f t="shared" si="794"/>
        <v>2012</v>
      </c>
      <c r="F3503" s="3">
        <f t="shared" si="795"/>
        <v>4</v>
      </c>
      <c r="G3503" s="3">
        <f t="shared" si="796"/>
        <v>3</v>
      </c>
      <c r="H3503" s="3">
        <f t="shared" si="797"/>
        <v>15</v>
      </c>
      <c r="I3503" s="3">
        <f t="shared" si="798"/>
        <v>0</v>
      </c>
      <c r="J3503" s="3">
        <f t="shared" si="799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00"/>
        <v>YES</v>
      </c>
      <c r="Q3503" t="str">
        <f t="shared" si="801"/>
        <v>YES</v>
      </c>
      <c r="R3503" t="str">
        <f t="shared" si="802"/>
        <v>NO</v>
      </c>
      <c r="T3503" t="s">
        <v>14</v>
      </c>
      <c r="U3503" t="str">
        <f t="shared" si="789"/>
        <v>Massachusetts Ave</v>
      </c>
      <c r="V3503" t="s">
        <v>202</v>
      </c>
      <c r="W3503" t="str">
        <f t="shared" si="790"/>
        <v>Vassar St</v>
      </c>
      <c r="X3503" t="str">
        <f>IF(ISBLANK(S3503),"Intersection","Non-Intersection")</f>
        <v>Intersection</v>
      </c>
      <c r="Y3503" t="s">
        <v>361</v>
      </c>
      <c r="Z3503" t="str">
        <f t="shared" si="791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792"/>
        <v>40909</v>
      </c>
      <c r="D3504" s="4">
        <f t="shared" si="793"/>
        <v>0.25409836065573771</v>
      </c>
      <c r="E3504" s="3">
        <f t="shared" si="794"/>
        <v>2012</v>
      </c>
      <c r="F3504" s="3">
        <f t="shared" si="795"/>
        <v>4</v>
      </c>
      <c r="G3504" s="3">
        <f t="shared" si="796"/>
        <v>3</v>
      </c>
      <c r="H3504" s="3">
        <f t="shared" si="797"/>
        <v>17</v>
      </c>
      <c r="I3504" s="3">
        <f t="shared" si="798"/>
        <v>10</v>
      </c>
      <c r="J3504" s="3">
        <f t="shared" si="799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00"/>
        <v>YES</v>
      </c>
      <c r="Q3504" t="str">
        <f t="shared" si="801"/>
        <v>NO</v>
      </c>
      <c r="R3504" t="str">
        <f t="shared" si="802"/>
        <v>NO</v>
      </c>
      <c r="S3504">
        <v>260</v>
      </c>
      <c r="T3504" t="s">
        <v>133</v>
      </c>
      <c r="U3504" t="str">
        <f t="shared" si="789"/>
        <v>Harvard St</v>
      </c>
      <c r="W3504" t="str">
        <f t="shared" si="790"/>
        <v/>
      </c>
      <c r="X3504" t="str">
        <f>IF(ISBLANK(S3504),"Intersection","Non-Intersection")</f>
        <v>Non-Intersection</v>
      </c>
      <c r="Y3504" t="s">
        <v>4375</v>
      </c>
      <c r="Z3504" t="str">
        <f t="shared" si="791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792"/>
        <v>40909</v>
      </c>
      <c r="D3505" s="4">
        <f t="shared" si="793"/>
        <v>0.25683060109289618</v>
      </c>
      <c r="E3505" s="3">
        <f t="shared" si="794"/>
        <v>2012</v>
      </c>
      <c r="F3505" s="3">
        <f t="shared" si="795"/>
        <v>4</v>
      </c>
      <c r="G3505" s="3">
        <f t="shared" si="796"/>
        <v>4</v>
      </c>
      <c r="H3505" s="3">
        <f t="shared" si="797"/>
        <v>10</v>
      </c>
      <c r="I3505" s="3">
        <f t="shared" si="798"/>
        <v>40</v>
      </c>
      <c r="J3505" s="3">
        <f t="shared" si="799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00"/>
        <v>YES</v>
      </c>
      <c r="Q3505" t="str">
        <f t="shared" si="801"/>
        <v>NO</v>
      </c>
      <c r="R3505" t="str">
        <f t="shared" si="802"/>
        <v>NO</v>
      </c>
      <c r="T3505" t="s">
        <v>268</v>
      </c>
      <c r="U3505" t="str">
        <f t="shared" si="789"/>
        <v>White St</v>
      </c>
      <c r="W3505" t="str">
        <f t="shared" si="790"/>
        <v/>
      </c>
      <c r="X3505" t="str">
        <f>IF(ISBLANK(S3505),"Intersection","Non-Intersection")</f>
        <v>Intersection</v>
      </c>
      <c r="Y3505" t="s">
        <v>949</v>
      </c>
      <c r="Z3505" t="str">
        <f t="shared" si="791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792"/>
        <v>40909</v>
      </c>
      <c r="D3506" s="4">
        <f t="shared" si="793"/>
        <v>0.25683060109289618</v>
      </c>
      <c r="E3506" s="3">
        <f t="shared" si="794"/>
        <v>2012</v>
      </c>
      <c r="F3506" s="3">
        <f t="shared" si="795"/>
        <v>4</v>
      </c>
      <c r="G3506" s="3">
        <f t="shared" si="796"/>
        <v>4</v>
      </c>
      <c r="H3506" s="3">
        <f t="shared" si="797"/>
        <v>16</v>
      </c>
      <c r="I3506" s="3">
        <f t="shared" si="798"/>
        <v>24</v>
      </c>
      <c r="J3506" s="3">
        <f t="shared" si="799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00"/>
        <v>YES</v>
      </c>
      <c r="Q3506" t="str">
        <f t="shared" si="801"/>
        <v>NO</v>
      </c>
      <c r="R3506" t="str">
        <f t="shared" si="802"/>
        <v>NO</v>
      </c>
      <c r="T3506" t="s">
        <v>2344</v>
      </c>
      <c r="U3506" t="str">
        <f t="shared" si="789"/>
        <v>Bristol St</v>
      </c>
      <c r="V3506" t="s">
        <v>129</v>
      </c>
      <c r="W3506" t="str">
        <f t="shared" si="790"/>
        <v>Cardinal Medeiros Ave</v>
      </c>
      <c r="X3506" t="str">
        <f>IF(ISBLANK(S3506),"Intersection","Non-Intersection")</f>
        <v>Intersection</v>
      </c>
      <c r="Y3506" t="s">
        <v>4377</v>
      </c>
      <c r="Z3506" t="str">
        <f t="shared" si="791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792"/>
        <v>40909</v>
      </c>
      <c r="D3507" s="4">
        <f t="shared" si="793"/>
        <v>0.25683060109289618</v>
      </c>
      <c r="E3507" s="3">
        <f t="shared" si="794"/>
        <v>2012</v>
      </c>
      <c r="F3507" s="3">
        <f t="shared" si="795"/>
        <v>4</v>
      </c>
      <c r="G3507" s="3">
        <f t="shared" si="796"/>
        <v>4</v>
      </c>
      <c r="H3507" s="3">
        <f t="shared" si="797"/>
        <v>17</v>
      </c>
      <c r="I3507" s="3">
        <f t="shared" si="798"/>
        <v>29</v>
      </c>
      <c r="J3507" s="3">
        <f t="shared" si="799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00"/>
        <v>NO</v>
      </c>
      <c r="Q3507" t="str">
        <f t="shared" si="801"/>
        <v>NO</v>
      </c>
      <c r="R3507" t="str">
        <f t="shared" si="802"/>
        <v>NO</v>
      </c>
      <c r="S3507">
        <v>3</v>
      </c>
      <c r="T3507" t="s">
        <v>185</v>
      </c>
      <c r="U3507" t="str">
        <f t="shared" si="789"/>
        <v>Garden St</v>
      </c>
      <c r="W3507" t="str">
        <f t="shared" si="790"/>
        <v/>
      </c>
      <c r="X3507" t="str">
        <f>IF(ISBLANK(S3507),"Intersection","Non-Intersection")</f>
        <v>Non-Intersection</v>
      </c>
      <c r="Y3507" t="s">
        <v>4378</v>
      </c>
      <c r="Z3507" t="str">
        <f t="shared" si="791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792"/>
        <v>40909</v>
      </c>
      <c r="D3508" s="4">
        <f t="shared" si="793"/>
        <v>0.25683060109289618</v>
      </c>
      <c r="E3508" s="3">
        <f t="shared" si="794"/>
        <v>2012</v>
      </c>
      <c r="F3508" s="3">
        <f t="shared" si="795"/>
        <v>4</v>
      </c>
      <c r="G3508" s="3">
        <f t="shared" si="796"/>
        <v>4</v>
      </c>
      <c r="H3508" s="3">
        <f t="shared" si="797"/>
        <v>17</v>
      </c>
      <c r="I3508" s="3">
        <f t="shared" si="798"/>
        <v>39</v>
      </c>
      <c r="J3508" s="3">
        <f t="shared" si="799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00"/>
        <v>YES</v>
      </c>
      <c r="Q3508" t="str">
        <f t="shared" si="801"/>
        <v>YES</v>
      </c>
      <c r="R3508" t="str">
        <f t="shared" si="802"/>
        <v>NO</v>
      </c>
      <c r="S3508">
        <v>243</v>
      </c>
      <c r="T3508" t="s">
        <v>105</v>
      </c>
      <c r="U3508" t="str">
        <f t="shared" si="789"/>
        <v>Broadway</v>
      </c>
      <c r="W3508" t="str">
        <f t="shared" si="790"/>
        <v/>
      </c>
      <c r="X3508" t="str">
        <f>IF(ISBLANK(S3508),"Intersection","Non-Intersection")</f>
        <v>Non-Intersection</v>
      </c>
      <c r="Y3508" t="s">
        <v>4380</v>
      </c>
      <c r="Z3508" t="str">
        <f t="shared" si="791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792"/>
        <v>40909</v>
      </c>
      <c r="D3509" s="4">
        <f t="shared" si="793"/>
        <v>0.25683060109289618</v>
      </c>
      <c r="E3509" s="3">
        <f t="shared" si="794"/>
        <v>2012</v>
      </c>
      <c r="F3509" s="3">
        <f t="shared" si="795"/>
        <v>4</v>
      </c>
      <c r="G3509" s="3">
        <f t="shared" si="796"/>
        <v>4</v>
      </c>
      <c r="H3509" s="3">
        <f t="shared" si="797"/>
        <v>19</v>
      </c>
      <c r="I3509" s="3">
        <f t="shared" si="798"/>
        <v>8</v>
      </c>
      <c r="J3509" s="3">
        <f t="shared" si="799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00"/>
        <v>YES</v>
      </c>
      <c r="Q3509" t="str">
        <f t="shared" si="801"/>
        <v>YES</v>
      </c>
      <c r="R3509" t="str">
        <f t="shared" si="802"/>
        <v>NO</v>
      </c>
      <c r="T3509" t="s">
        <v>316</v>
      </c>
      <c r="U3509" t="str">
        <f t="shared" si="789"/>
        <v>Bishop Allen Dr</v>
      </c>
      <c r="V3509" t="s">
        <v>101</v>
      </c>
      <c r="W3509" t="str">
        <f t="shared" si="790"/>
        <v>Columbia St</v>
      </c>
      <c r="X3509" t="str">
        <f>IF(ISBLANK(S3509),"Intersection","Non-Intersection")</f>
        <v>Intersection</v>
      </c>
      <c r="Y3509" t="s">
        <v>688</v>
      </c>
      <c r="Z3509" t="str">
        <f t="shared" si="791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792"/>
        <v>40909</v>
      </c>
      <c r="D3510" s="4">
        <f t="shared" si="793"/>
        <v>0.25683060109289618</v>
      </c>
      <c r="E3510" s="3">
        <f t="shared" si="794"/>
        <v>2012</v>
      </c>
      <c r="F3510" s="3">
        <f t="shared" si="795"/>
        <v>4</v>
      </c>
      <c r="G3510" s="3">
        <f t="shared" si="796"/>
        <v>4</v>
      </c>
      <c r="H3510" s="3">
        <f t="shared" si="797"/>
        <v>12</v>
      </c>
      <c r="I3510" s="3">
        <f t="shared" si="798"/>
        <v>1</v>
      </c>
      <c r="J3510" s="3">
        <f t="shared" si="799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00"/>
        <v>YES</v>
      </c>
      <c r="Q3510" t="str">
        <f t="shared" si="801"/>
        <v>NO</v>
      </c>
      <c r="R3510" t="str">
        <f t="shared" si="802"/>
        <v>NO</v>
      </c>
      <c r="S3510">
        <v>198</v>
      </c>
      <c r="T3510" t="s">
        <v>170</v>
      </c>
      <c r="U3510" t="str">
        <f t="shared" si="789"/>
        <v>Alewife Brook Pky</v>
      </c>
      <c r="W3510" t="str">
        <f t="shared" si="790"/>
        <v/>
      </c>
      <c r="X3510" t="str">
        <f>IF(ISBLANK(S3510),"Intersection","Non-Intersection")</f>
        <v>Non-Intersection</v>
      </c>
      <c r="Y3510" t="s">
        <v>4345</v>
      </c>
      <c r="Z3510" t="str">
        <f t="shared" si="791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792"/>
        <v>40909</v>
      </c>
      <c r="D3511" s="4">
        <f t="shared" si="793"/>
        <v>0.25956284153005466</v>
      </c>
      <c r="E3511" s="3">
        <f t="shared" si="794"/>
        <v>2012</v>
      </c>
      <c r="F3511" s="3">
        <f t="shared" si="795"/>
        <v>4</v>
      </c>
      <c r="G3511" s="3">
        <f t="shared" si="796"/>
        <v>5</v>
      </c>
      <c r="H3511" s="3">
        <f t="shared" si="797"/>
        <v>10</v>
      </c>
      <c r="I3511" s="3">
        <f t="shared" si="798"/>
        <v>30</v>
      </c>
      <c r="J3511" s="3">
        <f t="shared" si="799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00"/>
        <v>YES</v>
      </c>
      <c r="Q3511" t="str">
        <f t="shared" si="801"/>
        <v>NO</v>
      </c>
      <c r="R3511" t="str">
        <f t="shared" si="802"/>
        <v>NO</v>
      </c>
      <c r="S3511">
        <v>2</v>
      </c>
      <c r="T3511" t="s">
        <v>351</v>
      </c>
      <c r="U3511" t="str">
        <f t="shared" si="789"/>
        <v>Cambridge Ctr</v>
      </c>
      <c r="W3511" t="str">
        <f t="shared" si="790"/>
        <v/>
      </c>
      <c r="X3511" t="str">
        <f>IF(ISBLANK(S3511),"Intersection","Non-Intersection")</f>
        <v>Non-Intersection</v>
      </c>
      <c r="Y3511" t="s">
        <v>3068</v>
      </c>
      <c r="Z3511" t="str">
        <f t="shared" si="791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792"/>
        <v>40909</v>
      </c>
      <c r="D3512" s="4">
        <f t="shared" si="793"/>
        <v>0.25956284153005466</v>
      </c>
      <c r="E3512" s="3">
        <f t="shared" si="794"/>
        <v>2012</v>
      </c>
      <c r="F3512" s="3">
        <f t="shared" si="795"/>
        <v>4</v>
      </c>
      <c r="G3512" s="3">
        <f t="shared" si="796"/>
        <v>5</v>
      </c>
      <c r="H3512" s="3">
        <f t="shared" si="797"/>
        <v>12</v>
      </c>
      <c r="I3512" s="3">
        <f t="shared" si="798"/>
        <v>15</v>
      </c>
      <c r="J3512" s="3">
        <f t="shared" si="799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00"/>
        <v>YES</v>
      </c>
      <c r="Q3512" t="str">
        <f t="shared" si="801"/>
        <v>YES</v>
      </c>
      <c r="R3512" t="str">
        <f t="shared" si="802"/>
        <v>NO</v>
      </c>
      <c r="S3512">
        <v>710</v>
      </c>
      <c r="T3512" t="s">
        <v>32</v>
      </c>
      <c r="U3512" t="str">
        <f t="shared" si="789"/>
        <v>Main St</v>
      </c>
      <c r="W3512" t="str">
        <f t="shared" si="790"/>
        <v/>
      </c>
      <c r="X3512" t="str">
        <f>IF(ISBLANK(S3512),"Intersection","Non-Intersection")</f>
        <v>Non-Intersection</v>
      </c>
      <c r="Y3512" t="s">
        <v>4382</v>
      </c>
      <c r="Z3512" t="str">
        <f t="shared" si="791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792"/>
        <v>40909</v>
      </c>
      <c r="D3513" s="4">
        <f t="shared" si="793"/>
        <v>0.25956284153005466</v>
      </c>
      <c r="E3513" s="3">
        <f t="shared" si="794"/>
        <v>2012</v>
      </c>
      <c r="F3513" s="3">
        <f t="shared" si="795"/>
        <v>4</v>
      </c>
      <c r="G3513" s="3">
        <f t="shared" si="796"/>
        <v>5</v>
      </c>
      <c r="H3513" s="3">
        <f t="shared" si="797"/>
        <v>20</v>
      </c>
      <c r="I3513" s="3">
        <f t="shared" si="798"/>
        <v>3</v>
      </c>
      <c r="J3513" s="3">
        <f t="shared" si="799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00"/>
        <v>YES</v>
      </c>
      <c r="Q3513" t="str">
        <f t="shared" si="801"/>
        <v>NO</v>
      </c>
      <c r="R3513" t="str">
        <f t="shared" si="802"/>
        <v>YES</v>
      </c>
      <c r="T3513" t="s">
        <v>665</v>
      </c>
      <c r="U3513" t="str">
        <f t="shared" si="789"/>
        <v>New St</v>
      </c>
      <c r="V3513" t="s">
        <v>1469</v>
      </c>
      <c r="W3513" t="str">
        <f t="shared" si="790"/>
        <v>Fresh Pond Ln</v>
      </c>
      <c r="X3513" t="str">
        <f>IF(ISBLANK(S3513),"Intersection","Non-Intersection")</f>
        <v>Intersection</v>
      </c>
      <c r="Y3513" t="s">
        <v>4384</v>
      </c>
      <c r="Z3513" t="str">
        <f t="shared" si="791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792"/>
        <v>40909</v>
      </c>
      <c r="D3514" s="4">
        <f t="shared" si="793"/>
        <v>0.26229508196721313</v>
      </c>
      <c r="E3514" s="3">
        <f t="shared" si="794"/>
        <v>2012</v>
      </c>
      <c r="F3514" s="3">
        <f t="shared" si="795"/>
        <v>4</v>
      </c>
      <c r="G3514" s="3">
        <f t="shared" si="796"/>
        <v>6</v>
      </c>
      <c r="H3514" s="3">
        <f t="shared" si="797"/>
        <v>14</v>
      </c>
      <c r="I3514" s="3">
        <f t="shared" si="798"/>
        <v>0</v>
      </c>
      <c r="J3514" s="3">
        <f t="shared" si="799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00"/>
        <v>YES</v>
      </c>
      <c r="Q3514" t="str">
        <f t="shared" si="801"/>
        <v>NO</v>
      </c>
      <c r="R3514" t="str">
        <f t="shared" si="802"/>
        <v>NO</v>
      </c>
      <c r="S3514">
        <v>340</v>
      </c>
      <c r="T3514" t="s">
        <v>41</v>
      </c>
      <c r="U3514" t="str">
        <f t="shared" si="789"/>
        <v>River St</v>
      </c>
      <c r="W3514" t="str">
        <f t="shared" si="790"/>
        <v/>
      </c>
      <c r="X3514" t="str">
        <f>IF(ISBLANK(S3514),"Intersection","Non-Intersection")</f>
        <v>Non-Intersection</v>
      </c>
      <c r="Y3514" t="s">
        <v>696</v>
      </c>
      <c r="Z3514" t="str">
        <f t="shared" si="791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792"/>
        <v>40909</v>
      </c>
      <c r="D3515" s="4">
        <f t="shared" si="793"/>
        <v>0.26229508196721313</v>
      </c>
      <c r="E3515" s="3">
        <f t="shared" si="794"/>
        <v>2012</v>
      </c>
      <c r="F3515" s="3">
        <f t="shared" si="795"/>
        <v>4</v>
      </c>
      <c r="G3515" s="3">
        <f t="shared" si="796"/>
        <v>6</v>
      </c>
      <c r="H3515" s="3">
        <f t="shared" si="797"/>
        <v>23</v>
      </c>
      <c r="I3515" s="3">
        <f t="shared" si="798"/>
        <v>0</v>
      </c>
      <c r="J3515" s="3">
        <f t="shared" si="799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00"/>
        <v>YES</v>
      </c>
      <c r="Q3515" t="str">
        <f t="shared" si="801"/>
        <v>NO</v>
      </c>
      <c r="R3515" t="str">
        <f t="shared" si="802"/>
        <v>NO</v>
      </c>
      <c r="S3515">
        <v>1</v>
      </c>
      <c r="T3515" t="s">
        <v>4385</v>
      </c>
      <c r="U3515" t="str">
        <f t="shared" si="789"/>
        <v>Cedar Sq</v>
      </c>
      <c r="W3515" t="str">
        <f t="shared" si="790"/>
        <v/>
      </c>
      <c r="X3515" t="str">
        <f>IF(ISBLANK(S3515),"Intersection","Non-Intersection")</f>
        <v>Non-Intersection</v>
      </c>
      <c r="Y3515" t="s">
        <v>4386</v>
      </c>
      <c r="Z3515" t="str">
        <f t="shared" si="791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792"/>
        <v>40909</v>
      </c>
      <c r="D3516" s="4">
        <f t="shared" si="793"/>
        <v>0.2650273224043716</v>
      </c>
      <c r="E3516" s="3">
        <f t="shared" si="794"/>
        <v>2012</v>
      </c>
      <c r="F3516" s="3">
        <f t="shared" si="795"/>
        <v>4</v>
      </c>
      <c r="G3516" s="3">
        <f t="shared" si="796"/>
        <v>7</v>
      </c>
      <c r="H3516" s="3">
        <f t="shared" si="797"/>
        <v>0</v>
      </c>
      <c r="I3516" s="3">
        <f t="shared" si="798"/>
        <v>59</v>
      </c>
      <c r="J3516" s="3">
        <f t="shared" si="799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00"/>
        <v>NO</v>
      </c>
      <c r="Q3516" t="str">
        <f t="shared" si="801"/>
        <v>YES</v>
      </c>
      <c r="R3516" t="str">
        <f t="shared" si="802"/>
        <v>NO</v>
      </c>
      <c r="T3516" t="s">
        <v>27</v>
      </c>
      <c r="U3516" t="str">
        <f t="shared" si="789"/>
        <v>Western Ave</v>
      </c>
      <c r="V3516" t="s">
        <v>14</v>
      </c>
      <c r="W3516" t="str">
        <f t="shared" si="790"/>
        <v>Massachusetts Ave</v>
      </c>
      <c r="X3516" t="str">
        <f>IF(ISBLANK(S3516),"Intersection","Non-Intersection")</f>
        <v>Intersection</v>
      </c>
      <c r="Y3516" t="s">
        <v>266</v>
      </c>
      <c r="Z3516" t="str">
        <f t="shared" si="791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792"/>
        <v>40909</v>
      </c>
      <c r="D3517" s="4">
        <f t="shared" si="793"/>
        <v>0.2650273224043716</v>
      </c>
      <c r="E3517" s="3">
        <f t="shared" si="794"/>
        <v>2012</v>
      </c>
      <c r="F3517" s="3">
        <f t="shared" si="795"/>
        <v>4</v>
      </c>
      <c r="G3517" s="3">
        <f t="shared" si="796"/>
        <v>7</v>
      </c>
      <c r="H3517" s="3">
        <f t="shared" si="797"/>
        <v>18</v>
      </c>
      <c r="I3517" s="3">
        <f t="shared" si="798"/>
        <v>56</v>
      </c>
      <c r="J3517" s="3">
        <f t="shared" si="799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00"/>
        <v>YES</v>
      </c>
      <c r="Q3517" t="str">
        <f t="shared" si="801"/>
        <v>YES</v>
      </c>
      <c r="R3517" t="str">
        <f t="shared" si="802"/>
        <v>NO</v>
      </c>
      <c r="T3517" t="s">
        <v>170</v>
      </c>
      <c r="U3517" t="str">
        <f t="shared" si="789"/>
        <v>Alewife Brook Pky</v>
      </c>
      <c r="V3517" t="s">
        <v>1155</v>
      </c>
      <c r="W3517" t="str">
        <f t="shared" si="790"/>
        <v>Matignon Rd</v>
      </c>
      <c r="X3517" t="str">
        <f>IF(ISBLANK(S3517),"Intersection","Non-Intersection")</f>
        <v>Intersection</v>
      </c>
      <c r="Y3517" t="s">
        <v>4388</v>
      </c>
      <c r="Z3517" t="str">
        <f t="shared" si="791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792"/>
        <v>40909</v>
      </c>
      <c r="D3518" s="4">
        <f t="shared" si="793"/>
        <v>0.2650273224043716</v>
      </c>
      <c r="E3518" s="3">
        <f t="shared" si="794"/>
        <v>2012</v>
      </c>
      <c r="F3518" s="3">
        <f t="shared" si="795"/>
        <v>4</v>
      </c>
      <c r="G3518" s="3">
        <f t="shared" si="796"/>
        <v>7</v>
      </c>
      <c r="H3518" s="3">
        <f t="shared" si="797"/>
        <v>20</v>
      </c>
      <c r="I3518" s="3">
        <f t="shared" si="798"/>
        <v>29</v>
      </c>
      <c r="J3518" s="3">
        <f t="shared" si="799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00"/>
        <v>YES</v>
      </c>
      <c r="Q3518" t="str">
        <f t="shared" si="801"/>
        <v>NO</v>
      </c>
      <c r="R3518" t="str">
        <f t="shared" si="802"/>
        <v>NO</v>
      </c>
      <c r="S3518">
        <v>0</v>
      </c>
      <c r="T3518" t="s">
        <v>185</v>
      </c>
      <c r="U3518" t="str">
        <f t="shared" si="789"/>
        <v>Garden St</v>
      </c>
      <c r="W3518" t="str">
        <f t="shared" si="790"/>
        <v/>
      </c>
      <c r="X3518" t="str">
        <f>IF(ISBLANK(S3518),"Intersection","Non-Intersection")</f>
        <v>Non-Intersection</v>
      </c>
      <c r="Y3518" t="s">
        <v>3901</v>
      </c>
      <c r="Z3518" t="str">
        <f t="shared" si="791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792"/>
        <v>40909</v>
      </c>
      <c r="D3519" s="4">
        <f t="shared" si="793"/>
        <v>0.2650273224043716</v>
      </c>
      <c r="E3519" s="3">
        <f t="shared" si="794"/>
        <v>2012</v>
      </c>
      <c r="F3519" s="3">
        <f t="shared" si="795"/>
        <v>4</v>
      </c>
      <c r="G3519" s="3">
        <f t="shared" si="796"/>
        <v>7</v>
      </c>
      <c r="H3519" s="3">
        <f t="shared" si="797"/>
        <v>19</v>
      </c>
      <c r="I3519" s="3">
        <f t="shared" si="798"/>
        <v>15</v>
      </c>
      <c r="J3519" s="3">
        <f t="shared" si="799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00"/>
        <v>YES</v>
      </c>
      <c r="Q3519" t="str">
        <f t="shared" si="801"/>
        <v>NO</v>
      </c>
      <c r="R3519" t="str">
        <f t="shared" si="802"/>
        <v>YES</v>
      </c>
      <c r="T3519" t="s">
        <v>453</v>
      </c>
      <c r="U3519" t="str">
        <f t="shared" si="789"/>
        <v>Brookline St</v>
      </c>
      <c r="V3519" t="s">
        <v>108</v>
      </c>
      <c r="W3519" t="str">
        <f t="shared" si="790"/>
        <v>Franklin St</v>
      </c>
      <c r="X3519" t="str">
        <f>IF(ISBLANK(S3519),"Intersection","Non-Intersection")</f>
        <v>Intersection</v>
      </c>
      <c r="Y3519" t="s">
        <v>3184</v>
      </c>
      <c r="Z3519" t="str">
        <f t="shared" si="791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792"/>
        <v>40909</v>
      </c>
      <c r="D3520" s="4">
        <f t="shared" si="793"/>
        <v>0.26775956284153007</v>
      </c>
      <c r="E3520" s="3">
        <f t="shared" si="794"/>
        <v>2012</v>
      </c>
      <c r="F3520" s="3">
        <f t="shared" si="795"/>
        <v>4</v>
      </c>
      <c r="G3520" s="3">
        <f t="shared" si="796"/>
        <v>8</v>
      </c>
      <c r="H3520" s="3">
        <f t="shared" si="797"/>
        <v>2</v>
      </c>
      <c r="I3520" s="3">
        <f t="shared" si="798"/>
        <v>22</v>
      </c>
      <c r="J3520" s="3">
        <f t="shared" si="799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00"/>
        <v>YES</v>
      </c>
      <c r="Q3520" t="str">
        <f t="shared" si="801"/>
        <v>NO</v>
      </c>
      <c r="R3520" t="str">
        <f t="shared" si="802"/>
        <v>NO</v>
      </c>
      <c r="T3520" t="s">
        <v>195</v>
      </c>
      <c r="U3520" t="str">
        <f t="shared" si="789"/>
        <v>Sidney St</v>
      </c>
      <c r="V3520" t="s">
        <v>1261</v>
      </c>
      <c r="W3520" t="str">
        <f t="shared" si="790"/>
        <v>Tudor St</v>
      </c>
      <c r="X3520" t="str">
        <f>IF(ISBLANK(S3520),"Intersection","Non-Intersection")</f>
        <v>Intersection</v>
      </c>
      <c r="Y3520" t="s">
        <v>1262</v>
      </c>
      <c r="Z3520" t="str">
        <f t="shared" si="791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792"/>
        <v>40909</v>
      </c>
      <c r="D3521" s="4">
        <f t="shared" si="793"/>
        <v>0.26775956284153007</v>
      </c>
      <c r="E3521" s="3">
        <f t="shared" si="794"/>
        <v>2012</v>
      </c>
      <c r="F3521" s="3">
        <f t="shared" si="795"/>
        <v>4</v>
      </c>
      <c r="G3521" s="3">
        <f t="shared" si="796"/>
        <v>8</v>
      </c>
      <c r="H3521" s="3">
        <f t="shared" si="797"/>
        <v>2</v>
      </c>
      <c r="I3521" s="3">
        <f t="shared" si="798"/>
        <v>19</v>
      </c>
      <c r="J3521" s="3">
        <f t="shared" si="799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00"/>
        <v>YES</v>
      </c>
      <c r="Q3521" t="str">
        <f t="shared" si="801"/>
        <v>NO</v>
      </c>
      <c r="R3521" t="str">
        <f t="shared" si="802"/>
        <v>YES</v>
      </c>
      <c r="S3521">
        <v>625</v>
      </c>
      <c r="T3521" t="s">
        <v>14</v>
      </c>
      <c r="U3521" t="str">
        <f t="shared" si="789"/>
        <v>Massachusetts Ave</v>
      </c>
      <c r="W3521" t="str">
        <f t="shared" si="790"/>
        <v/>
      </c>
      <c r="X3521" t="str">
        <f>IF(ISBLANK(S3521),"Intersection","Non-Intersection")</f>
        <v>Non-Intersection</v>
      </c>
      <c r="Y3521" t="s">
        <v>1528</v>
      </c>
      <c r="Z3521" t="str">
        <f t="shared" si="791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792"/>
        <v>40909</v>
      </c>
      <c r="D3522" s="4">
        <f t="shared" si="793"/>
        <v>0.26775956284153007</v>
      </c>
      <c r="E3522" s="3">
        <f t="shared" si="794"/>
        <v>2012</v>
      </c>
      <c r="F3522" s="3">
        <f t="shared" si="795"/>
        <v>4</v>
      </c>
      <c r="G3522" s="3">
        <f t="shared" si="796"/>
        <v>8</v>
      </c>
      <c r="H3522" s="3">
        <f t="shared" si="797"/>
        <v>2</v>
      </c>
      <c r="I3522" s="3">
        <f t="shared" si="798"/>
        <v>22</v>
      </c>
      <c r="J3522" s="3">
        <f t="shared" si="799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00"/>
        <v>YES</v>
      </c>
      <c r="Q3522" t="str">
        <f t="shared" si="801"/>
        <v>NO</v>
      </c>
      <c r="R3522" t="str">
        <f t="shared" si="802"/>
        <v>NO</v>
      </c>
      <c r="T3522" t="s">
        <v>195</v>
      </c>
      <c r="U3522" t="str">
        <f t="shared" si="789"/>
        <v>Sidney St</v>
      </c>
      <c r="V3522" t="s">
        <v>958</v>
      </c>
      <c r="W3522" t="str">
        <f t="shared" si="790"/>
        <v>Pacific St</v>
      </c>
      <c r="X3522" t="str">
        <f>IF(ISBLANK(S3522),"Intersection","Non-Intersection")</f>
        <v>Intersection</v>
      </c>
      <c r="Y3522" t="s">
        <v>1415</v>
      </c>
      <c r="Z3522" t="str">
        <f t="shared" si="791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792"/>
        <v>40909</v>
      </c>
      <c r="D3523" s="4">
        <f t="shared" si="793"/>
        <v>0.27049180327868855</v>
      </c>
      <c r="E3523" s="3">
        <f t="shared" si="794"/>
        <v>2012</v>
      </c>
      <c r="F3523" s="3">
        <f t="shared" si="795"/>
        <v>4</v>
      </c>
      <c r="G3523" s="3">
        <f t="shared" si="796"/>
        <v>9</v>
      </c>
      <c r="H3523" s="3">
        <f t="shared" si="797"/>
        <v>17</v>
      </c>
      <c r="I3523" s="3">
        <f t="shared" si="798"/>
        <v>19</v>
      </c>
      <c r="J3523" s="3">
        <f t="shared" si="799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00"/>
        <v>YES</v>
      </c>
      <c r="Q3523" t="str">
        <f t="shared" si="801"/>
        <v>NO</v>
      </c>
      <c r="R3523" t="str">
        <f t="shared" si="802"/>
        <v>NO</v>
      </c>
      <c r="T3523" t="s">
        <v>198</v>
      </c>
      <c r="U3523" t="str">
        <f t="shared" ref="U3523:U3586" si="803">TRIM(PROPER(T3523))</f>
        <v>Mount Auburn St</v>
      </c>
      <c r="V3523" t="s">
        <v>42</v>
      </c>
      <c r="W3523" t="str">
        <f t="shared" ref="W3523:W3586" si="804">TRIM(PROPER(V3523))</f>
        <v>Putnam Ave</v>
      </c>
      <c r="X3523" t="str">
        <f>IF(ISBLANK(S3523),"Intersection","Non-Intersection")</f>
        <v>Intersection</v>
      </c>
      <c r="Y3523" t="s">
        <v>285</v>
      </c>
      <c r="Z3523" t="str">
        <f t="shared" ref="Z3523:Z3586" si="805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792"/>
        <v>40909</v>
      </c>
      <c r="D3524" s="4">
        <f t="shared" si="793"/>
        <v>0.27049180327868855</v>
      </c>
      <c r="E3524" s="3">
        <f t="shared" si="794"/>
        <v>2012</v>
      </c>
      <c r="F3524" s="3">
        <f t="shared" si="795"/>
        <v>4</v>
      </c>
      <c r="G3524" s="3">
        <f t="shared" si="796"/>
        <v>9</v>
      </c>
      <c r="H3524" s="3">
        <f t="shared" si="797"/>
        <v>22</v>
      </c>
      <c r="I3524" s="3">
        <f t="shared" si="798"/>
        <v>28</v>
      </c>
      <c r="J3524" s="3">
        <f t="shared" si="799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00"/>
        <v>YES</v>
      </c>
      <c r="Q3524" t="str">
        <f t="shared" si="801"/>
        <v>NO</v>
      </c>
      <c r="R3524" t="str">
        <f t="shared" si="802"/>
        <v>NO</v>
      </c>
      <c r="S3524">
        <v>55</v>
      </c>
      <c r="T3524" t="s">
        <v>108</v>
      </c>
      <c r="U3524" t="str">
        <f t="shared" si="803"/>
        <v>Franklin St</v>
      </c>
      <c r="W3524" t="str">
        <f t="shared" si="804"/>
        <v/>
      </c>
      <c r="X3524" t="str">
        <f>IF(ISBLANK(S3524),"Intersection","Non-Intersection")</f>
        <v>Non-Intersection</v>
      </c>
      <c r="Y3524" t="s">
        <v>4390</v>
      </c>
      <c r="Z3524" t="str">
        <f t="shared" si="805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792"/>
        <v>40909</v>
      </c>
      <c r="D3525" s="4">
        <f t="shared" si="793"/>
        <v>0.27049180327868855</v>
      </c>
      <c r="E3525" s="3">
        <f t="shared" si="794"/>
        <v>2012</v>
      </c>
      <c r="F3525" s="3">
        <f t="shared" si="795"/>
        <v>4</v>
      </c>
      <c r="G3525" s="3">
        <f t="shared" si="796"/>
        <v>9</v>
      </c>
      <c r="H3525" s="3">
        <f t="shared" si="797"/>
        <v>23</v>
      </c>
      <c r="I3525" s="3">
        <f t="shared" si="798"/>
        <v>4</v>
      </c>
      <c r="J3525" s="3">
        <f t="shared" si="799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00"/>
        <v>YES</v>
      </c>
      <c r="Q3525" t="str">
        <f t="shared" si="801"/>
        <v>YES</v>
      </c>
      <c r="R3525" t="str">
        <f t="shared" si="802"/>
        <v>NO</v>
      </c>
      <c r="T3525" t="s">
        <v>32</v>
      </c>
      <c r="U3525" t="str">
        <f t="shared" si="803"/>
        <v>Main St</v>
      </c>
      <c r="V3525" t="s">
        <v>796</v>
      </c>
      <c r="W3525" t="str">
        <f t="shared" si="804"/>
        <v>Portland St</v>
      </c>
      <c r="X3525" t="str">
        <f>IF(ISBLANK(S3525),"Intersection","Non-Intersection")</f>
        <v>Intersection</v>
      </c>
      <c r="Y3525" t="s">
        <v>932</v>
      </c>
      <c r="Z3525" t="str">
        <f t="shared" si="805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792"/>
        <v>40909</v>
      </c>
      <c r="D3526" s="4">
        <f t="shared" si="793"/>
        <v>0.27322404371584702</v>
      </c>
      <c r="E3526" s="3">
        <f t="shared" si="794"/>
        <v>2012</v>
      </c>
      <c r="F3526" s="3">
        <f t="shared" si="795"/>
        <v>4</v>
      </c>
      <c r="G3526" s="3">
        <f t="shared" si="796"/>
        <v>10</v>
      </c>
      <c r="H3526" s="3">
        <f t="shared" si="797"/>
        <v>9</v>
      </c>
      <c r="I3526" s="3">
        <f t="shared" si="798"/>
        <v>20</v>
      </c>
      <c r="J3526" s="3">
        <f t="shared" si="799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00"/>
        <v>YES</v>
      </c>
      <c r="Q3526" t="str">
        <f t="shared" si="801"/>
        <v>NO</v>
      </c>
      <c r="R3526" t="str">
        <f t="shared" si="802"/>
        <v>NO</v>
      </c>
      <c r="T3526" t="s">
        <v>186</v>
      </c>
      <c r="U3526" t="str">
        <f t="shared" si="803"/>
        <v>Concord Ave</v>
      </c>
      <c r="V3526" t="s">
        <v>459</v>
      </c>
      <c r="W3526" t="str">
        <f t="shared" si="804"/>
        <v>Fayerweather St</v>
      </c>
      <c r="X3526" t="str">
        <f>IF(ISBLANK(S3526),"Intersection","Non-Intersection")</f>
        <v>Intersection</v>
      </c>
      <c r="Y3526" t="s">
        <v>4392</v>
      </c>
      <c r="Z3526" t="str">
        <f t="shared" si="805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792"/>
        <v>40909</v>
      </c>
      <c r="D3527" s="4">
        <f t="shared" si="793"/>
        <v>0.27322404371584702</v>
      </c>
      <c r="E3527" s="3">
        <f t="shared" si="794"/>
        <v>2012</v>
      </c>
      <c r="F3527" s="3">
        <f t="shared" si="795"/>
        <v>4</v>
      </c>
      <c r="G3527" s="3">
        <f t="shared" si="796"/>
        <v>10</v>
      </c>
      <c r="H3527" s="3">
        <f t="shared" si="797"/>
        <v>15</v>
      </c>
      <c r="I3527" s="3">
        <f t="shared" si="798"/>
        <v>10</v>
      </c>
      <c r="J3527" s="3">
        <f t="shared" si="799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00"/>
        <v>YES</v>
      </c>
      <c r="Q3527" t="str">
        <f t="shared" si="801"/>
        <v>NO</v>
      </c>
      <c r="R3527" t="str">
        <f t="shared" si="802"/>
        <v>YES</v>
      </c>
      <c r="T3527" t="s">
        <v>19</v>
      </c>
      <c r="U3527" t="str">
        <f t="shared" si="803"/>
        <v>Cambridge St</v>
      </c>
      <c r="V3527" t="s">
        <v>379</v>
      </c>
      <c r="W3527" t="str">
        <f t="shared" si="804"/>
        <v>Second St</v>
      </c>
      <c r="X3527" t="str">
        <f>IF(ISBLANK(S3527),"Intersection","Non-Intersection")</f>
        <v>Intersection</v>
      </c>
      <c r="Y3527" t="s">
        <v>2200</v>
      </c>
      <c r="Z3527" t="str">
        <f t="shared" si="805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792"/>
        <v>40909</v>
      </c>
      <c r="D3528" s="4">
        <f t="shared" si="793"/>
        <v>0.27595628415300544</v>
      </c>
      <c r="E3528" s="3">
        <f t="shared" si="794"/>
        <v>2012</v>
      </c>
      <c r="F3528" s="3">
        <f t="shared" si="795"/>
        <v>4</v>
      </c>
      <c r="G3528" s="3">
        <f t="shared" si="796"/>
        <v>11</v>
      </c>
      <c r="H3528" s="3">
        <f t="shared" si="797"/>
        <v>15</v>
      </c>
      <c r="I3528" s="3">
        <f t="shared" si="798"/>
        <v>40</v>
      </c>
      <c r="J3528" s="3">
        <f t="shared" si="799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00"/>
        <v>YES</v>
      </c>
      <c r="Q3528" t="str">
        <f t="shared" si="801"/>
        <v>NO</v>
      </c>
      <c r="R3528" t="str">
        <f t="shared" si="802"/>
        <v>NO</v>
      </c>
      <c r="T3528" t="s">
        <v>14</v>
      </c>
      <c r="U3528" t="str">
        <f t="shared" si="803"/>
        <v>Massachusetts Ave</v>
      </c>
      <c r="V3528" t="s">
        <v>1316</v>
      </c>
      <c r="W3528" t="str">
        <f t="shared" si="804"/>
        <v>State St</v>
      </c>
      <c r="X3528" t="str">
        <f>IF(ISBLANK(S3528),"Intersection","Non-Intersection")</f>
        <v>Intersection</v>
      </c>
      <c r="Y3528" t="s">
        <v>1317</v>
      </c>
      <c r="Z3528" t="str">
        <f t="shared" si="805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792"/>
        <v>40909</v>
      </c>
      <c r="D3529" s="4">
        <f t="shared" si="793"/>
        <v>0.27868852459016391</v>
      </c>
      <c r="E3529" s="3">
        <f t="shared" si="794"/>
        <v>2012</v>
      </c>
      <c r="F3529" s="3">
        <f t="shared" si="795"/>
        <v>4</v>
      </c>
      <c r="G3529" s="3">
        <f t="shared" si="796"/>
        <v>12</v>
      </c>
      <c r="H3529" s="3">
        <f t="shared" si="797"/>
        <v>17</v>
      </c>
      <c r="I3529" s="3">
        <f t="shared" si="798"/>
        <v>10</v>
      </c>
      <c r="J3529" s="3">
        <f t="shared" si="799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00"/>
        <v>YES</v>
      </c>
      <c r="Q3529" t="str">
        <f t="shared" si="801"/>
        <v>NO</v>
      </c>
      <c r="R3529" t="str">
        <f t="shared" si="802"/>
        <v>NO</v>
      </c>
      <c r="T3529" t="s">
        <v>19</v>
      </c>
      <c r="U3529" t="str">
        <f t="shared" si="803"/>
        <v>Cambridge St</v>
      </c>
      <c r="V3529" t="s">
        <v>1520</v>
      </c>
      <c r="W3529" t="str">
        <f t="shared" si="804"/>
        <v>Fayette St</v>
      </c>
      <c r="X3529" t="str">
        <f>IF(ISBLANK(S3529),"Intersection","Non-Intersection")</f>
        <v>Intersection</v>
      </c>
      <c r="Y3529" t="s">
        <v>1521</v>
      </c>
      <c r="Z3529" t="str">
        <f t="shared" si="805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792"/>
        <v>40909</v>
      </c>
      <c r="D3530" s="4">
        <f t="shared" si="793"/>
        <v>0.27868852459016391</v>
      </c>
      <c r="E3530" s="3">
        <f t="shared" si="794"/>
        <v>2012</v>
      </c>
      <c r="F3530" s="3">
        <f t="shared" si="795"/>
        <v>4</v>
      </c>
      <c r="G3530" s="3">
        <f t="shared" si="796"/>
        <v>12</v>
      </c>
      <c r="H3530" s="3">
        <f t="shared" si="797"/>
        <v>9</v>
      </c>
      <c r="I3530" s="3">
        <f t="shared" si="798"/>
        <v>30</v>
      </c>
      <c r="J3530" s="3">
        <f t="shared" si="799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00"/>
        <v>YES</v>
      </c>
      <c r="Q3530" t="str">
        <f t="shared" si="801"/>
        <v>NO</v>
      </c>
      <c r="R3530" t="str">
        <f t="shared" si="802"/>
        <v>NO</v>
      </c>
      <c r="T3530" t="s">
        <v>902</v>
      </c>
      <c r="U3530" t="str">
        <f t="shared" si="803"/>
        <v>Frost St</v>
      </c>
      <c r="V3530" t="s">
        <v>675</v>
      </c>
      <c r="W3530" t="str">
        <f t="shared" si="804"/>
        <v>Roseland St</v>
      </c>
      <c r="X3530" t="str">
        <f>IF(ISBLANK(S3530),"Intersection","Non-Intersection")</f>
        <v>Intersection</v>
      </c>
      <c r="Y3530" t="s">
        <v>4393</v>
      </c>
      <c r="Z3530" t="str">
        <f t="shared" si="805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792"/>
        <v>40909</v>
      </c>
      <c r="D3531" s="4">
        <f t="shared" si="793"/>
        <v>0.27868852459016391</v>
      </c>
      <c r="E3531" s="3">
        <f t="shared" si="794"/>
        <v>2012</v>
      </c>
      <c r="F3531" s="3">
        <f t="shared" si="795"/>
        <v>4</v>
      </c>
      <c r="G3531" s="3">
        <f t="shared" si="796"/>
        <v>12</v>
      </c>
      <c r="H3531" s="3">
        <f t="shared" si="797"/>
        <v>7</v>
      </c>
      <c r="I3531" s="3">
        <f t="shared" si="798"/>
        <v>12</v>
      </c>
      <c r="J3531" s="3">
        <f t="shared" si="799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00"/>
        <v>YES</v>
      </c>
      <c r="Q3531" t="str">
        <f t="shared" si="801"/>
        <v>NO</v>
      </c>
      <c r="R3531" t="str">
        <f t="shared" si="802"/>
        <v>NO</v>
      </c>
      <c r="T3531" t="s">
        <v>1752</v>
      </c>
      <c r="U3531" t="str">
        <f t="shared" si="803"/>
        <v>Cambridgepark Dr</v>
      </c>
      <c r="W3531" t="str">
        <f t="shared" si="804"/>
        <v/>
      </c>
      <c r="X3531" t="str">
        <f>IF(ISBLANK(S3531),"Intersection","Non-Intersection")</f>
        <v>Intersection</v>
      </c>
      <c r="Y3531" t="s">
        <v>2096</v>
      </c>
      <c r="Z3531" t="str">
        <f t="shared" si="805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792"/>
        <v>40909</v>
      </c>
      <c r="D3532" s="4">
        <f t="shared" si="793"/>
        <v>0.28142076502732238</v>
      </c>
      <c r="E3532" s="3">
        <f t="shared" si="794"/>
        <v>2012</v>
      </c>
      <c r="F3532" s="3">
        <f t="shared" si="795"/>
        <v>4</v>
      </c>
      <c r="G3532" s="3">
        <f t="shared" si="796"/>
        <v>13</v>
      </c>
      <c r="H3532" s="3">
        <f t="shared" si="797"/>
        <v>12</v>
      </c>
      <c r="I3532" s="3">
        <f t="shared" si="798"/>
        <v>0</v>
      </c>
      <c r="J3532" s="3">
        <f t="shared" si="799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00"/>
        <v>YES</v>
      </c>
      <c r="Q3532" t="str">
        <f t="shared" si="801"/>
        <v>YES</v>
      </c>
      <c r="R3532" t="str">
        <f t="shared" si="802"/>
        <v>NO</v>
      </c>
      <c r="T3532" t="s">
        <v>796</v>
      </c>
      <c r="U3532" t="str">
        <f t="shared" si="803"/>
        <v>Portland St</v>
      </c>
      <c r="V3532" t="s">
        <v>74</v>
      </c>
      <c r="W3532" t="str">
        <f t="shared" si="804"/>
        <v>Hampshire St</v>
      </c>
      <c r="X3532" t="str">
        <f>IF(ISBLANK(S3532),"Intersection","Non-Intersection")</f>
        <v>Intersection</v>
      </c>
      <c r="Y3532" t="s">
        <v>4394</v>
      </c>
      <c r="Z3532" t="str">
        <f t="shared" si="805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792"/>
        <v>40909</v>
      </c>
      <c r="D3533" s="4">
        <f t="shared" si="793"/>
        <v>0.28142076502732238</v>
      </c>
      <c r="E3533" s="3">
        <f t="shared" si="794"/>
        <v>2012</v>
      </c>
      <c r="F3533" s="3">
        <f t="shared" si="795"/>
        <v>4</v>
      </c>
      <c r="G3533" s="3">
        <f t="shared" si="796"/>
        <v>13</v>
      </c>
      <c r="H3533" s="3">
        <f t="shared" si="797"/>
        <v>8</v>
      </c>
      <c r="I3533" s="3">
        <f t="shared" si="798"/>
        <v>35</v>
      </c>
      <c r="J3533" s="3">
        <f t="shared" si="799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00"/>
        <v>YES</v>
      </c>
      <c r="Q3533" t="str">
        <f t="shared" si="801"/>
        <v>NO</v>
      </c>
      <c r="R3533" t="str">
        <f t="shared" si="802"/>
        <v>NO</v>
      </c>
      <c r="T3533" t="s">
        <v>14</v>
      </c>
      <c r="U3533" t="str">
        <f t="shared" si="803"/>
        <v>Massachusetts Ave</v>
      </c>
      <c r="V3533" t="s">
        <v>550</v>
      </c>
      <c r="W3533" t="str">
        <f t="shared" si="804"/>
        <v>Upland Rd</v>
      </c>
      <c r="X3533" t="str">
        <f>IF(ISBLANK(S3533),"Intersection","Non-Intersection")</f>
        <v>Intersection</v>
      </c>
      <c r="Y3533" t="s">
        <v>551</v>
      </c>
      <c r="Z3533" t="str">
        <f t="shared" si="805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792"/>
        <v>40909</v>
      </c>
      <c r="D3534" s="4">
        <f t="shared" si="793"/>
        <v>0.28142076502732238</v>
      </c>
      <c r="E3534" s="3">
        <f t="shared" si="794"/>
        <v>2012</v>
      </c>
      <c r="F3534" s="3">
        <f t="shared" si="795"/>
        <v>4</v>
      </c>
      <c r="G3534" s="3">
        <f t="shared" si="796"/>
        <v>13</v>
      </c>
      <c r="H3534" s="3">
        <f t="shared" si="797"/>
        <v>16</v>
      </c>
      <c r="I3534" s="3">
        <f t="shared" si="798"/>
        <v>19</v>
      </c>
      <c r="J3534" s="3">
        <f t="shared" si="799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00"/>
        <v>YES</v>
      </c>
      <c r="Q3534" t="str">
        <f t="shared" si="801"/>
        <v>NO</v>
      </c>
      <c r="R3534" t="str">
        <f t="shared" si="802"/>
        <v>NO</v>
      </c>
      <c r="T3534" t="s">
        <v>198</v>
      </c>
      <c r="U3534" t="str">
        <f t="shared" si="803"/>
        <v>Mount Auburn St</v>
      </c>
      <c r="V3534" t="s">
        <v>464</v>
      </c>
      <c r="W3534" t="str">
        <f t="shared" si="804"/>
        <v>Aberdeen Way</v>
      </c>
      <c r="X3534" t="str">
        <f>IF(ISBLANK(S3534),"Intersection","Non-Intersection")</f>
        <v>Intersection</v>
      </c>
      <c r="Y3534" t="s">
        <v>1666</v>
      </c>
      <c r="Z3534" t="str">
        <f t="shared" si="805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792"/>
        <v>40909</v>
      </c>
      <c r="D3535" s="4">
        <f t="shared" si="793"/>
        <v>0.28142076502732238</v>
      </c>
      <c r="E3535" s="3">
        <f t="shared" si="794"/>
        <v>2012</v>
      </c>
      <c r="F3535" s="3">
        <f t="shared" si="795"/>
        <v>4</v>
      </c>
      <c r="G3535" s="3">
        <f t="shared" si="796"/>
        <v>13</v>
      </c>
      <c r="H3535" s="3">
        <f t="shared" si="797"/>
        <v>10</v>
      </c>
      <c r="I3535" s="3">
        <f t="shared" si="798"/>
        <v>44</v>
      </c>
      <c r="J3535" s="3">
        <f t="shared" si="799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00"/>
        <v>NO</v>
      </c>
      <c r="Q3535" t="str">
        <f t="shared" si="801"/>
        <v>NO</v>
      </c>
      <c r="R3535" t="str">
        <f t="shared" si="802"/>
        <v>NO</v>
      </c>
      <c r="T3535" t="s">
        <v>199</v>
      </c>
      <c r="U3535" t="str">
        <f t="shared" si="803"/>
        <v>Brattle St</v>
      </c>
      <c r="V3535" t="s">
        <v>409</v>
      </c>
      <c r="W3535" t="str">
        <f t="shared" si="804"/>
        <v>Appleton St</v>
      </c>
      <c r="X3535" t="str">
        <f>IF(ISBLANK(S3535),"Intersection","Non-Intersection")</f>
        <v>Intersection</v>
      </c>
      <c r="Y3535" t="s">
        <v>4395</v>
      </c>
      <c r="Z3535" t="str">
        <f t="shared" si="805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792"/>
        <v>40909</v>
      </c>
      <c r="D3536" s="4">
        <f t="shared" si="793"/>
        <v>0.28142076502732238</v>
      </c>
      <c r="E3536" s="3">
        <f t="shared" si="794"/>
        <v>2012</v>
      </c>
      <c r="F3536" s="3">
        <f t="shared" si="795"/>
        <v>4</v>
      </c>
      <c r="G3536" s="3">
        <f t="shared" si="796"/>
        <v>13</v>
      </c>
      <c r="H3536" s="3">
        <f t="shared" si="797"/>
        <v>9</v>
      </c>
      <c r="I3536" s="3">
        <f t="shared" si="798"/>
        <v>0</v>
      </c>
      <c r="J3536" s="3">
        <f t="shared" si="799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00"/>
        <v>YES</v>
      </c>
      <c r="Q3536" t="str">
        <f t="shared" si="801"/>
        <v>YES</v>
      </c>
      <c r="R3536" t="str">
        <f t="shared" si="802"/>
        <v>NO</v>
      </c>
      <c r="S3536">
        <v>24</v>
      </c>
      <c r="T3536" t="s">
        <v>325</v>
      </c>
      <c r="U3536" t="str">
        <f t="shared" si="803"/>
        <v>Eliot St</v>
      </c>
      <c r="W3536" t="str">
        <f t="shared" si="804"/>
        <v/>
      </c>
      <c r="X3536" t="str">
        <f>IF(ISBLANK(S3536),"Intersection","Non-Intersection")</f>
        <v>Non-Intersection</v>
      </c>
      <c r="Y3536" t="s">
        <v>4396</v>
      </c>
      <c r="Z3536" t="str">
        <f t="shared" si="805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792"/>
        <v>40909</v>
      </c>
      <c r="D3537" s="4">
        <f t="shared" si="793"/>
        <v>0.28142076502732238</v>
      </c>
      <c r="E3537" s="3">
        <f t="shared" si="794"/>
        <v>2012</v>
      </c>
      <c r="F3537" s="3">
        <f t="shared" si="795"/>
        <v>4</v>
      </c>
      <c r="G3537" s="3">
        <f t="shared" si="796"/>
        <v>13</v>
      </c>
      <c r="H3537" s="3">
        <f t="shared" si="797"/>
        <v>9</v>
      </c>
      <c r="I3537" s="3">
        <f t="shared" si="798"/>
        <v>0</v>
      </c>
      <c r="J3537" s="3">
        <f t="shared" si="799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00"/>
        <v>YES</v>
      </c>
      <c r="Q3537" t="str">
        <f t="shared" si="801"/>
        <v>NO</v>
      </c>
      <c r="R3537" t="str">
        <f t="shared" si="802"/>
        <v>NO</v>
      </c>
      <c r="T3537" t="s">
        <v>129</v>
      </c>
      <c r="U3537" t="str">
        <f t="shared" si="803"/>
        <v>Cardinal Medeiros Ave</v>
      </c>
      <c r="V3537" t="s">
        <v>209</v>
      </c>
      <c r="W3537" t="str">
        <f t="shared" si="804"/>
        <v>Binney St</v>
      </c>
      <c r="X3537" t="str">
        <f>IF(ISBLANK(S3537),"Intersection","Non-Intersection")</f>
        <v>Intersection</v>
      </c>
      <c r="Y3537" t="s">
        <v>646</v>
      </c>
      <c r="Z3537" t="str">
        <f t="shared" si="805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792"/>
        <v>40909</v>
      </c>
      <c r="D3538" s="4">
        <f t="shared" si="793"/>
        <v>0.28415300546448086</v>
      </c>
      <c r="E3538" s="3">
        <f t="shared" si="794"/>
        <v>2012</v>
      </c>
      <c r="F3538" s="3">
        <f t="shared" si="795"/>
        <v>4</v>
      </c>
      <c r="G3538" s="3">
        <f t="shared" si="796"/>
        <v>14</v>
      </c>
      <c r="H3538" s="3">
        <f t="shared" si="797"/>
        <v>10</v>
      </c>
      <c r="I3538" s="3">
        <f t="shared" si="798"/>
        <v>47</v>
      </c>
      <c r="J3538" s="3">
        <f t="shared" si="799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00"/>
        <v>YES</v>
      </c>
      <c r="Q3538" t="str">
        <f t="shared" si="801"/>
        <v>NO</v>
      </c>
      <c r="R3538" t="str">
        <f t="shared" si="802"/>
        <v>NO</v>
      </c>
      <c r="S3538">
        <v>244</v>
      </c>
      <c r="T3538" t="s">
        <v>142</v>
      </c>
      <c r="U3538" t="str">
        <f t="shared" si="803"/>
        <v>Huron Ave</v>
      </c>
      <c r="W3538" t="str">
        <f t="shared" si="804"/>
        <v/>
      </c>
      <c r="X3538" t="str">
        <f>IF(ISBLANK(S3538),"Intersection","Non-Intersection")</f>
        <v>Non-Intersection</v>
      </c>
      <c r="Y3538" t="s">
        <v>3013</v>
      </c>
      <c r="Z3538" t="str">
        <f t="shared" si="805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792"/>
        <v>40909</v>
      </c>
      <c r="D3539" s="4">
        <f t="shared" si="793"/>
        <v>0.28415300546448086</v>
      </c>
      <c r="E3539" s="3">
        <f t="shared" si="794"/>
        <v>2012</v>
      </c>
      <c r="F3539" s="3">
        <f t="shared" si="795"/>
        <v>4</v>
      </c>
      <c r="G3539" s="3">
        <f t="shared" si="796"/>
        <v>14</v>
      </c>
      <c r="H3539" s="3">
        <f t="shared" si="797"/>
        <v>14</v>
      </c>
      <c r="I3539" s="3">
        <f t="shared" si="798"/>
        <v>0</v>
      </c>
      <c r="J3539" s="3">
        <f t="shared" si="799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00"/>
        <v>YES</v>
      </c>
      <c r="Q3539" t="str">
        <f t="shared" si="801"/>
        <v>NO</v>
      </c>
      <c r="R3539" t="str">
        <f t="shared" si="802"/>
        <v>NO</v>
      </c>
      <c r="S3539">
        <v>27</v>
      </c>
      <c r="T3539" t="s">
        <v>1149</v>
      </c>
      <c r="U3539" t="str">
        <f t="shared" si="803"/>
        <v>Jefferson St</v>
      </c>
      <c r="W3539" t="str">
        <f t="shared" si="804"/>
        <v/>
      </c>
      <c r="X3539" t="str">
        <f>IF(ISBLANK(S3539),"Intersection","Non-Intersection")</f>
        <v>Non-Intersection</v>
      </c>
      <c r="Y3539" t="s">
        <v>4398</v>
      </c>
      <c r="Z3539" t="str">
        <f t="shared" si="805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792"/>
        <v>40909</v>
      </c>
      <c r="D3540" s="4">
        <f t="shared" si="793"/>
        <v>0.28688524590163933</v>
      </c>
      <c r="E3540" s="3">
        <f t="shared" si="794"/>
        <v>2012</v>
      </c>
      <c r="F3540" s="3">
        <f t="shared" si="795"/>
        <v>4</v>
      </c>
      <c r="G3540" s="3">
        <f t="shared" si="796"/>
        <v>15</v>
      </c>
      <c r="H3540" s="3">
        <f t="shared" si="797"/>
        <v>21</v>
      </c>
      <c r="I3540" s="3">
        <f t="shared" si="798"/>
        <v>47</v>
      </c>
      <c r="J3540" s="3">
        <f t="shared" si="799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00"/>
        <v>YES</v>
      </c>
      <c r="Q3540" t="str">
        <f t="shared" si="801"/>
        <v>NO</v>
      </c>
      <c r="R3540" t="str">
        <f t="shared" si="802"/>
        <v>NO</v>
      </c>
      <c r="T3540" t="s">
        <v>146</v>
      </c>
      <c r="U3540" t="str">
        <f t="shared" si="803"/>
        <v>Spring St</v>
      </c>
      <c r="V3540" t="s">
        <v>3698</v>
      </c>
      <c r="W3540" t="str">
        <f t="shared" si="804"/>
        <v>Lopez Ave</v>
      </c>
      <c r="X3540" t="str">
        <f>IF(ISBLANK(S3540),"Intersection","Non-Intersection")</f>
        <v>Intersection</v>
      </c>
      <c r="Y3540" t="s">
        <v>4400</v>
      </c>
      <c r="Z3540" t="str">
        <f t="shared" si="805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06">EOMONTH(B3541,MONTH(B3541)*-1)+1</f>
        <v>40909</v>
      </c>
      <c r="D3541" s="4">
        <f t="shared" ref="D3541:D3603" si="807">YEARFRAC(C3541,B3541,1)</f>
        <v>0.2896174863387978</v>
      </c>
      <c r="E3541" s="3">
        <f t="shared" ref="E3541:E3603" si="808">YEAR(B3541)</f>
        <v>2012</v>
      </c>
      <c r="F3541" s="3">
        <f t="shared" ref="F3541:F3603" si="809">MONTH(B3541)</f>
        <v>4</v>
      </c>
      <c r="G3541" s="3">
        <f t="shared" ref="G3541:G3603" si="810">DAY(B3541)</f>
        <v>16</v>
      </c>
      <c r="H3541" s="3">
        <f t="shared" ref="H3541:H3603" si="811">HOUR(B3541)</f>
        <v>19</v>
      </c>
      <c r="I3541" s="3">
        <f t="shared" ref="I3541:I3603" si="812">MINUTE(B3541)</f>
        <v>51</v>
      </c>
      <c r="J3541" s="3">
        <f t="shared" ref="J3541:J3603" si="813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14">IF(OR(N3541="Auto",O3541="Auto"),"YES",IF(OR(N3541="Taxi",O3541="Taxi"),"YES",IF(OR(N3541="Van",O3541="Van"),"YES",IF(OR(N3541="Truck",O3541="Truck"),"YES","NO"))))</f>
        <v>YES</v>
      </c>
      <c r="Q3541" t="str">
        <f t="shared" ref="Q3541:Q3603" si="815">IF(OR(N3541="Bicycle",O3541="Bicycle"),"YES","NO")</f>
        <v>NO</v>
      </c>
      <c r="R3541" t="str">
        <f t="shared" ref="R3541:R3603" si="816">IF(OR(N3541="Pedestrian",O3541="Pedestrian"),"YES","NO")</f>
        <v>NO</v>
      </c>
      <c r="S3541">
        <v>400</v>
      </c>
      <c r="T3541" t="s">
        <v>129</v>
      </c>
      <c r="U3541" t="str">
        <f t="shared" si="803"/>
        <v>Cardinal Medeiros Ave</v>
      </c>
      <c r="W3541" t="str">
        <f t="shared" si="804"/>
        <v/>
      </c>
      <c r="X3541" t="str">
        <f>IF(ISBLANK(S3541),"Intersection","Non-Intersection")</f>
        <v>Non-Intersection</v>
      </c>
      <c r="Y3541" t="s">
        <v>4402</v>
      </c>
      <c r="Z3541" t="str">
        <f t="shared" si="805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06"/>
        <v>40909</v>
      </c>
      <c r="D3542" s="4">
        <f t="shared" si="807"/>
        <v>0.29234972677595628</v>
      </c>
      <c r="E3542" s="3">
        <f t="shared" si="808"/>
        <v>2012</v>
      </c>
      <c r="F3542" s="3">
        <f t="shared" si="809"/>
        <v>4</v>
      </c>
      <c r="G3542" s="3">
        <f t="shared" si="810"/>
        <v>17</v>
      </c>
      <c r="H3542" s="3">
        <f t="shared" si="811"/>
        <v>12</v>
      </c>
      <c r="I3542" s="3">
        <f t="shared" si="812"/>
        <v>20</v>
      </c>
      <c r="J3542" s="3">
        <f t="shared" si="813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14"/>
        <v>YES</v>
      </c>
      <c r="Q3542" t="str">
        <f t="shared" si="815"/>
        <v>NO</v>
      </c>
      <c r="R3542" t="str">
        <f t="shared" si="816"/>
        <v>NO</v>
      </c>
      <c r="T3542" t="s">
        <v>342</v>
      </c>
      <c r="U3542" t="str">
        <f t="shared" si="803"/>
        <v>Prospect St</v>
      </c>
      <c r="V3542" t="s">
        <v>133</v>
      </c>
      <c r="W3542" t="str">
        <f t="shared" si="804"/>
        <v>Harvard St</v>
      </c>
      <c r="X3542" t="str">
        <f>IF(ISBLANK(S3542),"Intersection","Non-Intersection")</f>
        <v>Intersection</v>
      </c>
      <c r="Y3542" t="s">
        <v>884</v>
      </c>
      <c r="Z3542" t="str">
        <f t="shared" si="805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06"/>
        <v>40909</v>
      </c>
      <c r="D3543" s="4">
        <f t="shared" si="807"/>
        <v>0.29508196721311475</v>
      </c>
      <c r="E3543" s="3">
        <f t="shared" si="808"/>
        <v>2012</v>
      </c>
      <c r="F3543" s="3">
        <f t="shared" si="809"/>
        <v>4</v>
      </c>
      <c r="G3543" s="3">
        <f t="shared" si="810"/>
        <v>18</v>
      </c>
      <c r="H3543" s="3">
        <f t="shared" si="811"/>
        <v>8</v>
      </c>
      <c r="I3543" s="3">
        <f t="shared" si="812"/>
        <v>19</v>
      </c>
      <c r="J3543" s="3">
        <f t="shared" si="813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14"/>
        <v>YES</v>
      </c>
      <c r="Q3543" t="str">
        <f t="shared" si="815"/>
        <v>NO</v>
      </c>
      <c r="R3543" t="str">
        <f t="shared" si="816"/>
        <v>NO</v>
      </c>
      <c r="T3543" t="s">
        <v>453</v>
      </c>
      <c r="U3543" t="str">
        <f t="shared" si="803"/>
        <v>Brookline St</v>
      </c>
      <c r="V3543" t="s">
        <v>108</v>
      </c>
      <c r="W3543" t="str">
        <f t="shared" si="804"/>
        <v>Franklin St</v>
      </c>
      <c r="X3543" t="str">
        <f>IF(ISBLANK(S3543),"Intersection","Non-Intersection")</f>
        <v>Intersection</v>
      </c>
      <c r="Y3543" t="s">
        <v>3184</v>
      </c>
      <c r="Z3543" t="str">
        <f t="shared" si="805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06"/>
        <v>40909</v>
      </c>
      <c r="D3544" s="4">
        <f t="shared" si="807"/>
        <v>0.29508196721311475</v>
      </c>
      <c r="E3544" s="3">
        <f t="shared" si="808"/>
        <v>2012</v>
      </c>
      <c r="F3544" s="3">
        <f t="shared" si="809"/>
        <v>4</v>
      </c>
      <c r="G3544" s="3">
        <f t="shared" si="810"/>
        <v>18</v>
      </c>
      <c r="H3544" s="3">
        <f t="shared" si="811"/>
        <v>14</v>
      </c>
      <c r="I3544" s="3">
        <f t="shared" si="812"/>
        <v>39</v>
      </c>
      <c r="J3544" s="3">
        <f t="shared" si="813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14"/>
        <v>YES</v>
      </c>
      <c r="Q3544" t="str">
        <f t="shared" si="815"/>
        <v>NO</v>
      </c>
      <c r="R3544" t="str">
        <f t="shared" si="816"/>
        <v>NO</v>
      </c>
      <c r="T3544" t="s">
        <v>506</v>
      </c>
      <c r="U3544" t="str">
        <f t="shared" si="803"/>
        <v>Bigelow St</v>
      </c>
      <c r="W3544" t="str">
        <f t="shared" si="804"/>
        <v/>
      </c>
      <c r="X3544" t="str">
        <f>IF(ISBLANK(S3544),"Intersection","Non-Intersection")</f>
        <v>Intersection</v>
      </c>
      <c r="Y3544" t="s">
        <v>4404</v>
      </c>
      <c r="Z3544" t="str">
        <f t="shared" si="805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06"/>
        <v>40909</v>
      </c>
      <c r="D3545" s="4">
        <f t="shared" si="807"/>
        <v>0.29781420765027322</v>
      </c>
      <c r="E3545" s="3">
        <f t="shared" si="808"/>
        <v>2012</v>
      </c>
      <c r="F3545" s="3">
        <f t="shared" si="809"/>
        <v>4</v>
      </c>
      <c r="G3545" s="3">
        <f t="shared" si="810"/>
        <v>19</v>
      </c>
      <c r="H3545" s="3">
        <f t="shared" si="811"/>
        <v>13</v>
      </c>
      <c r="I3545" s="3">
        <f t="shared" si="812"/>
        <v>25</v>
      </c>
      <c r="J3545" s="3">
        <f t="shared" si="813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14"/>
        <v>NO</v>
      </c>
      <c r="Q3545" t="str">
        <f t="shared" si="815"/>
        <v>NO</v>
      </c>
      <c r="R3545" t="str">
        <f t="shared" si="816"/>
        <v>NO</v>
      </c>
      <c r="T3545" t="s">
        <v>4405</v>
      </c>
      <c r="U3545" t="str">
        <f t="shared" si="803"/>
        <v>Madison Ave</v>
      </c>
      <c r="V3545" t="s">
        <v>186</v>
      </c>
      <c r="W3545" t="str">
        <f t="shared" si="804"/>
        <v>Concord Ave</v>
      </c>
      <c r="X3545" t="str">
        <f>IF(ISBLANK(S3545),"Intersection","Non-Intersection")</f>
        <v>Intersection</v>
      </c>
      <c r="Y3545" t="s">
        <v>4406</v>
      </c>
      <c r="Z3545" t="str">
        <f t="shared" si="805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06"/>
        <v>40909</v>
      </c>
      <c r="D3546" s="4">
        <f t="shared" si="807"/>
        <v>0.29781420765027322</v>
      </c>
      <c r="E3546" s="3">
        <f t="shared" si="808"/>
        <v>2012</v>
      </c>
      <c r="F3546" s="3">
        <f t="shared" si="809"/>
        <v>4</v>
      </c>
      <c r="G3546" s="3">
        <f t="shared" si="810"/>
        <v>19</v>
      </c>
      <c r="H3546" s="3">
        <f t="shared" si="811"/>
        <v>17</v>
      </c>
      <c r="I3546" s="3">
        <f t="shared" si="812"/>
        <v>29</v>
      </c>
      <c r="J3546" s="3">
        <f t="shared" si="813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14"/>
        <v>YES</v>
      </c>
      <c r="Q3546" t="str">
        <f t="shared" si="815"/>
        <v>YES</v>
      </c>
      <c r="R3546" t="str">
        <f t="shared" si="816"/>
        <v>NO</v>
      </c>
      <c r="T3546" t="s">
        <v>1502</v>
      </c>
      <c r="U3546" t="str">
        <f t="shared" si="803"/>
        <v>Gore St</v>
      </c>
      <c r="V3546" t="s">
        <v>3385</v>
      </c>
      <c r="W3546" t="str">
        <f t="shared" si="804"/>
        <v>Seventh St</v>
      </c>
      <c r="X3546" t="str">
        <f>IF(ISBLANK(S3546),"Intersection","Non-Intersection")</f>
        <v>Intersection</v>
      </c>
      <c r="Y3546" t="s">
        <v>4408</v>
      </c>
      <c r="Z3546" t="str">
        <f t="shared" si="805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06"/>
        <v>40909</v>
      </c>
      <c r="D3547" s="4">
        <f t="shared" si="807"/>
        <v>0.30054644808743169</v>
      </c>
      <c r="E3547" s="3">
        <f t="shared" si="808"/>
        <v>2012</v>
      </c>
      <c r="F3547" s="3">
        <f t="shared" si="809"/>
        <v>4</v>
      </c>
      <c r="G3547" s="3">
        <f t="shared" si="810"/>
        <v>20</v>
      </c>
      <c r="H3547" s="3">
        <f t="shared" si="811"/>
        <v>12</v>
      </c>
      <c r="I3547" s="3">
        <f t="shared" si="812"/>
        <v>11</v>
      </c>
      <c r="J3547" s="3">
        <f t="shared" si="813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14"/>
        <v>YES</v>
      </c>
      <c r="Q3547" t="str">
        <f t="shared" si="815"/>
        <v>NO</v>
      </c>
      <c r="R3547" t="str">
        <f t="shared" si="816"/>
        <v>YES</v>
      </c>
      <c r="S3547">
        <v>628</v>
      </c>
      <c r="T3547" t="s">
        <v>14</v>
      </c>
      <c r="U3547" t="str">
        <f t="shared" si="803"/>
        <v>Massachusetts Ave</v>
      </c>
      <c r="W3547" t="str">
        <f t="shared" si="804"/>
        <v/>
      </c>
      <c r="X3547" t="str">
        <f>IF(ISBLANK(S3547),"Intersection","Non-Intersection")</f>
        <v>Non-Intersection</v>
      </c>
      <c r="Y3547" t="s">
        <v>4410</v>
      </c>
      <c r="Z3547" t="str">
        <f t="shared" si="805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06"/>
        <v>40909</v>
      </c>
      <c r="D3548" s="4">
        <f t="shared" si="807"/>
        <v>0.30054644808743169</v>
      </c>
      <c r="E3548" s="3">
        <f t="shared" si="808"/>
        <v>2012</v>
      </c>
      <c r="F3548" s="3">
        <f t="shared" si="809"/>
        <v>4</v>
      </c>
      <c r="G3548" s="3">
        <f t="shared" si="810"/>
        <v>20</v>
      </c>
      <c r="H3548" s="3">
        <f t="shared" si="811"/>
        <v>12</v>
      </c>
      <c r="I3548" s="3">
        <f t="shared" si="812"/>
        <v>45</v>
      </c>
      <c r="J3548" s="3">
        <f t="shared" si="813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14"/>
        <v>YES</v>
      </c>
      <c r="Q3548" t="str">
        <f t="shared" si="815"/>
        <v>NO</v>
      </c>
      <c r="R3548" t="str">
        <f t="shared" si="816"/>
        <v>YES</v>
      </c>
      <c r="T3548" t="s">
        <v>14</v>
      </c>
      <c r="U3548" t="str">
        <f t="shared" si="803"/>
        <v>Massachusetts Ave</v>
      </c>
      <c r="V3548" t="s">
        <v>1307</v>
      </c>
      <c r="W3548" t="str">
        <f t="shared" si="804"/>
        <v>Creighton St</v>
      </c>
      <c r="X3548" t="str">
        <f>IF(ISBLANK(S3548),"Intersection","Non-Intersection")</f>
        <v>Intersection</v>
      </c>
      <c r="Y3548" t="s">
        <v>3483</v>
      </c>
      <c r="Z3548" t="str">
        <f t="shared" si="805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06"/>
        <v>40909</v>
      </c>
      <c r="D3549" s="4">
        <f t="shared" si="807"/>
        <v>0.30054644808743169</v>
      </c>
      <c r="E3549" s="3">
        <f t="shared" si="808"/>
        <v>2012</v>
      </c>
      <c r="F3549" s="3">
        <f t="shared" si="809"/>
        <v>4</v>
      </c>
      <c r="G3549" s="3">
        <f t="shared" si="810"/>
        <v>20</v>
      </c>
      <c r="H3549" s="3">
        <f t="shared" si="811"/>
        <v>13</v>
      </c>
      <c r="I3549" s="3">
        <f t="shared" si="812"/>
        <v>27</v>
      </c>
      <c r="J3549" s="3">
        <f t="shared" si="813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14"/>
        <v>YES</v>
      </c>
      <c r="Q3549" t="str">
        <f t="shared" si="815"/>
        <v>YES</v>
      </c>
      <c r="R3549" t="str">
        <f t="shared" si="816"/>
        <v>NO</v>
      </c>
      <c r="S3549">
        <v>1617</v>
      </c>
      <c r="T3549" t="s">
        <v>14</v>
      </c>
      <c r="U3549" t="str">
        <f t="shared" si="803"/>
        <v>Massachusetts Ave</v>
      </c>
      <c r="W3549" t="str">
        <f t="shared" si="804"/>
        <v/>
      </c>
      <c r="X3549" t="str">
        <f>IF(ISBLANK(S3549),"Intersection","Non-Intersection")</f>
        <v>Non-Intersection</v>
      </c>
      <c r="Y3549" t="s">
        <v>4412</v>
      </c>
      <c r="Z3549" t="str">
        <f t="shared" si="805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06"/>
        <v>40909</v>
      </c>
      <c r="D3550" s="4">
        <f t="shared" si="807"/>
        <v>0.30054644808743169</v>
      </c>
      <c r="E3550" s="3">
        <f t="shared" si="808"/>
        <v>2012</v>
      </c>
      <c r="F3550" s="3">
        <f t="shared" si="809"/>
        <v>4</v>
      </c>
      <c r="G3550" s="3">
        <f t="shared" si="810"/>
        <v>20</v>
      </c>
      <c r="H3550" s="3">
        <f t="shared" si="811"/>
        <v>15</v>
      </c>
      <c r="I3550" s="3">
        <f t="shared" si="812"/>
        <v>24</v>
      </c>
      <c r="J3550" s="3">
        <f t="shared" si="813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14"/>
        <v>YES</v>
      </c>
      <c r="Q3550" t="str">
        <f t="shared" si="815"/>
        <v>NO</v>
      </c>
      <c r="R3550" t="str">
        <f t="shared" si="816"/>
        <v>NO</v>
      </c>
      <c r="T3550" t="s">
        <v>14</v>
      </c>
      <c r="U3550" t="str">
        <f t="shared" si="803"/>
        <v>Massachusetts Ave</v>
      </c>
      <c r="V3550" t="s">
        <v>57</v>
      </c>
      <c r="W3550" t="str">
        <f t="shared" si="804"/>
        <v>Everett St</v>
      </c>
      <c r="X3550" t="str">
        <f>IF(ISBLANK(S3550),"Intersection","Non-Intersection")</f>
        <v>Intersection</v>
      </c>
      <c r="Y3550" t="s">
        <v>58</v>
      </c>
      <c r="Z3550" t="str">
        <f t="shared" si="805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06"/>
        <v>40909</v>
      </c>
      <c r="D3551" s="4">
        <f t="shared" si="807"/>
        <v>0.30054644808743169</v>
      </c>
      <c r="E3551" s="3">
        <f t="shared" si="808"/>
        <v>2012</v>
      </c>
      <c r="F3551" s="3">
        <f t="shared" si="809"/>
        <v>4</v>
      </c>
      <c r="G3551" s="3">
        <f t="shared" si="810"/>
        <v>20</v>
      </c>
      <c r="H3551" s="3">
        <f t="shared" si="811"/>
        <v>18</v>
      </c>
      <c r="I3551" s="3">
        <f t="shared" si="812"/>
        <v>58</v>
      </c>
      <c r="J3551" s="3">
        <f t="shared" si="813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14"/>
        <v>YES</v>
      </c>
      <c r="Q3551" t="str">
        <f t="shared" si="815"/>
        <v>NO</v>
      </c>
      <c r="R3551" t="str">
        <f t="shared" si="816"/>
        <v>NO</v>
      </c>
      <c r="S3551">
        <v>111</v>
      </c>
      <c r="T3551" t="s">
        <v>993</v>
      </c>
      <c r="U3551" t="str">
        <f t="shared" si="803"/>
        <v>Fifth St</v>
      </c>
      <c r="V3551" t="s">
        <v>365</v>
      </c>
      <c r="W3551" t="str">
        <f t="shared" si="804"/>
        <v>Hurley St</v>
      </c>
      <c r="X3551" t="str">
        <f>IF(ISBLANK(S3551),"Intersection","Non-Intersection")</f>
        <v>Non-Intersection</v>
      </c>
      <c r="Y3551" t="s">
        <v>4414</v>
      </c>
      <c r="Z3551" t="str">
        <f t="shared" si="805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06"/>
        <v>40909</v>
      </c>
      <c r="D3552" s="4">
        <f t="shared" si="807"/>
        <v>0.30054644808743169</v>
      </c>
      <c r="E3552" s="3">
        <f t="shared" si="808"/>
        <v>2012</v>
      </c>
      <c r="F3552" s="3">
        <f t="shared" si="809"/>
        <v>4</v>
      </c>
      <c r="G3552" s="3">
        <f t="shared" si="810"/>
        <v>20</v>
      </c>
      <c r="H3552" s="3">
        <f t="shared" si="811"/>
        <v>16</v>
      </c>
      <c r="I3552" s="3">
        <f t="shared" si="812"/>
        <v>14</v>
      </c>
      <c r="J3552" s="3">
        <f t="shared" si="813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14"/>
        <v>YES</v>
      </c>
      <c r="Q3552" t="str">
        <f t="shared" si="815"/>
        <v>YES</v>
      </c>
      <c r="R3552" t="str">
        <f t="shared" si="816"/>
        <v>NO</v>
      </c>
      <c r="T3552" t="s">
        <v>14</v>
      </c>
      <c r="U3552" t="str">
        <f t="shared" si="803"/>
        <v>Massachusetts Ave</v>
      </c>
      <c r="V3552" t="s">
        <v>1316</v>
      </c>
      <c r="W3552" t="str">
        <f t="shared" si="804"/>
        <v>State St</v>
      </c>
      <c r="X3552" t="str">
        <f>IF(ISBLANK(S3552),"Intersection","Non-Intersection")</f>
        <v>Intersection</v>
      </c>
      <c r="Y3552" t="s">
        <v>1317</v>
      </c>
      <c r="Z3552" t="str">
        <f t="shared" si="805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06"/>
        <v>40909</v>
      </c>
      <c r="D3553" s="4">
        <f t="shared" si="807"/>
        <v>0.30054644808743169</v>
      </c>
      <c r="E3553" s="3">
        <f t="shared" si="808"/>
        <v>2012</v>
      </c>
      <c r="F3553" s="3">
        <f t="shared" si="809"/>
        <v>4</v>
      </c>
      <c r="G3553" s="3">
        <f t="shared" si="810"/>
        <v>20</v>
      </c>
      <c r="H3553" s="3">
        <f t="shared" si="811"/>
        <v>7</v>
      </c>
      <c r="I3553" s="3">
        <f t="shared" si="812"/>
        <v>15</v>
      </c>
      <c r="J3553" s="3">
        <f t="shared" si="813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14"/>
        <v>YES</v>
      </c>
      <c r="Q3553" t="str">
        <f t="shared" si="815"/>
        <v>NO</v>
      </c>
      <c r="R3553" t="str">
        <f t="shared" si="816"/>
        <v>YES</v>
      </c>
      <c r="T3553" t="s">
        <v>199</v>
      </c>
      <c r="U3553" t="str">
        <f t="shared" si="803"/>
        <v>Brattle St</v>
      </c>
      <c r="V3553" t="s">
        <v>459</v>
      </c>
      <c r="W3553" t="str">
        <f t="shared" si="804"/>
        <v>Fayerweather St</v>
      </c>
      <c r="X3553" t="str">
        <f>IF(ISBLANK(S3553),"Intersection","Non-Intersection")</f>
        <v>Intersection</v>
      </c>
      <c r="Y3553" t="s">
        <v>4416</v>
      </c>
      <c r="Z3553" t="str">
        <f t="shared" si="805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06"/>
        <v>40909</v>
      </c>
      <c r="D3554" s="4">
        <f t="shared" si="807"/>
        <v>0.30327868852459017</v>
      </c>
      <c r="E3554" s="3">
        <f t="shared" si="808"/>
        <v>2012</v>
      </c>
      <c r="F3554" s="3">
        <f t="shared" si="809"/>
        <v>4</v>
      </c>
      <c r="G3554" s="3">
        <f t="shared" si="810"/>
        <v>21</v>
      </c>
      <c r="H3554" s="3">
        <f t="shared" si="811"/>
        <v>0</v>
      </c>
      <c r="I3554" s="3">
        <f t="shared" si="812"/>
        <v>42</v>
      </c>
      <c r="J3554" s="3">
        <f t="shared" si="813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14"/>
        <v>YES</v>
      </c>
      <c r="Q3554" t="str">
        <f t="shared" si="815"/>
        <v>NO</v>
      </c>
      <c r="R3554" t="str">
        <f t="shared" si="816"/>
        <v>YES</v>
      </c>
      <c r="T3554" t="s">
        <v>167</v>
      </c>
      <c r="U3554" t="str">
        <f t="shared" si="803"/>
        <v>Wendell St</v>
      </c>
      <c r="V3554" t="s">
        <v>166</v>
      </c>
      <c r="W3554" t="str">
        <f t="shared" si="804"/>
        <v>Oxford Ave</v>
      </c>
      <c r="X3554" t="str">
        <f>IF(ISBLANK(S3554),"Intersection","Non-Intersection")</f>
        <v>Intersection</v>
      </c>
      <c r="Y3554" t="s">
        <v>4418</v>
      </c>
      <c r="Z3554" t="str">
        <f t="shared" si="805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06"/>
        <v>40909</v>
      </c>
      <c r="D3555" s="4">
        <f t="shared" si="807"/>
        <v>0.30327868852459017</v>
      </c>
      <c r="E3555" s="3">
        <f t="shared" si="808"/>
        <v>2012</v>
      </c>
      <c r="F3555" s="3">
        <f t="shared" si="809"/>
        <v>4</v>
      </c>
      <c r="G3555" s="3">
        <f t="shared" si="810"/>
        <v>21</v>
      </c>
      <c r="H3555" s="3">
        <f t="shared" si="811"/>
        <v>5</v>
      </c>
      <c r="I3555" s="3">
        <f t="shared" si="812"/>
        <v>33</v>
      </c>
      <c r="J3555" s="3">
        <f t="shared" si="813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14"/>
        <v>YES</v>
      </c>
      <c r="Q3555" t="str">
        <f t="shared" si="815"/>
        <v>NO</v>
      </c>
      <c r="R3555" t="str">
        <f t="shared" si="816"/>
        <v>NO</v>
      </c>
      <c r="S3555">
        <v>83</v>
      </c>
      <c r="T3555" t="s">
        <v>805</v>
      </c>
      <c r="U3555" t="str">
        <f t="shared" si="803"/>
        <v>Trowbridge St</v>
      </c>
      <c r="W3555" t="str">
        <f t="shared" si="804"/>
        <v/>
      </c>
      <c r="X3555" t="str">
        <f>IF(ISBLANK(S3555),"Intersection","Non-Intersection")</f>
        <v>Non-Intersection</v>
      </c>
      <c r="Y3555" t="s">
        <v>4420</v>
      </c>
      <c r="Z3555" t="str">
        <f t="shared" si="805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06"/>
        <v>40909</v>
      </c>
      <c r="D3556" s="4">
        <f t="shared" si="807"/>
        <v>0.30327868852459017</v>
      </c>
      <c r="E3556" s="3">
        <f t="shared" si="808"/>
        <v>2012</v>
      </c>
      <c r="F3556" s="3">
        <f t="shared" si="809"/>
        <v>4</v>
      </c>
      <c r="G3556" s="3">
        <f t="shared" si="810"/>
        <v>21</v>
      </c>
      <c r="H3556" s="3">
        <f t="shared" si="811"/>
        <v>10</v>
      </c>
      <c r="I3556" s="3">
        <f t="shared" si="812"/>
        <v>15</v>
      </c>
      <c r="J3556" s="3">
        <f t="shared" si="813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14"/>
        <v>YES</v>
      </c>
      <c r="Q3556" t="str">
        <f t="shared" si="815"/>
        <v>NO</v>
      </c>
      <c r="R3556" t="str">
        <f t="shared" si="816"/>
        <v>NO</v>
      </c>
      <c r="T3556" t="s">
        <v>186</v>
      </c>
      <c r="U3556" t="str">
        <f t="shared" si="803"/>
        <v>Concord Ave</v>
      </c>
      <c r="V3556" t="s">
        <v>2463</v>
      </c>
      <c r="W3556" t="str">
        <f t="shared" si="804"/>
        <v>Spinelli Pl</v>
      </c>
      <c r="X3556" t="str">
        <f>IF(ISBLANK(S3556),"Intersection","Non-Intersection")</f>
        <v>Intersection</v>
      </c>
      <c r="Y3556" t="s">
        <v>4422</v>
      </c>
      <c r="Z3556" t="str">
        <f t="shared" si="805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06"/>
        <v>40909</v>
      </c>
      <c r="D3557" s="4">
        <f t="shared" si="807"/>
        <v>0.30327868852459017</v>
      </c>
      <c r="E3557" s="3">
        <f t="shared" si="808"/>
        <v>2012</v>
      </c>
      <c r="F3557" s="3">
        <f t="shared" si="809"/>
        <v>4</v>
      </c>
      <c r="G3557" s="3">
        <f t="shared" si="810"/>
        <v>21</v>
      </c>
      <c r="H3557" s="3">
        <f t="shared" si="811"/>
        <v>20</v>
      </c>
      <c r="I3557" s="3">
        <f t="shared" si="812"/>
        <v>0</v>
      </c>
      <c r="J3557" s="3">
        <f t="shared" si="813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14"/>
        <v>YES</v>
      </c>
      <c r="Q3557" t="str">
        <f t="shared" si="815"/>
        <v>NO</v>
      </c>
      <c r="R3557" t="str">
        <f t="shared" si="816"/>
        <v>NO</v>
      </c>
      <c r="T3557" t="s">
        <v>449</v>
      </c>
      <c r="U3557" t="str">
        <f t="shared" si="803"/>
        <v>Appian Way</v>
      </c>
      <c r="W3557" t="str">
        <f t="shared" si="804"/>
        <v/>
      </c>
      <c r="X3557" t="str">
        <f>IF(ISBLANK(S3557),"Intersection","Non-Intersection")</f>
        <v>Intersection</v>
      </c>
      <c r="Y3557" t="s">
        <v>4424</v>
      </c>
      <c r="Z3557" t="str">
        <f t="shared" si="805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06"/>
        <v>40909</v>
      </c>
      <c r="D3558" s="4">
        <f t="shared" si="807"/>
        <v>0.30327868852459017</v>
      </c>
      <c r="E3558" s="3">
        <f t="shared" si="808"/>
        <v>2012</v>
      </c>
      <c r="F3558" s="3">
        <f t="shared" si="809"/>
        <v>4</v>
      </c>
      <c r="G3558" s="3">
        <f t="shared" si="810"/>
        <v>21</v>
      </c>
      <c r="H3558" s="3">
        <f t="shared" si="811"/>
        <v>23</v>
      </c>
      <c r="I3558" s="3">
        <f t="shared" si="812"/>
        <v>10</v>
      </c>
      <c r="J3558" s="3">
        <f t="shared" si="813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14"/>
        <v>YES</v>
      </c>
      <c r="Q3558" t="str">
        <f t="shared" si="815"/>
        <v>NO</v>
      </c>
      <c r="R3558" t="str">
        <f t="shared" si="816"/>
        <v>NO</v>
      </c>
      <c r="T3558" t="s">
        <v>14</v>
      </c>
      <c r="U3558" t="str">
        <f t="shared" si="803"/>
        <v>Massachusetts Ave</v>
      </c>
      <c r="V3558" t="s">
        <v>119</v>
      </c>
      <c r="W3558" t="str">
        <f t="shared" si="804"/>
        <v>Albany St</v>
      </c>
      <c r="X3558" t="str">
        <f>IF(ISBLANK(S3558),"Intersection","Non-Intersection")</f>
        <v>Intersection</v>
      </c>
      <c r="Y3558" t="s">
        <v>247</v>
      </c>
      <c r="Z3558" t="str">
        <f t="shared" si="805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06"/>
        <v>40909</v>
      </c>
      <c r="D3559" s="4">
        <f t="shared" si="807"/>
        <v>0.30327868852459017</v>
      </c>
      <c r="E3559" s="3">
        <f t="shared" si="808"/>
        <v>2012</v>
      </c>
      <c r="F3559" s="3">
        <f t="shared" si="809"/>
        <v>4</v>
      </c>
      <c r="G3559" s="3">
        <f t="shared" si="810"/>
        <v>21</v>
      </c>
      <c r="H3559" s="3">
        <f t="shared" si="811"/>
        <v>18</v>
      </c>
      <c r="I3559" s="3">
        <f t="shared" si="812"/>
        <v>0</v>
      </c>
      <c r="J3559" s="3">
        <f t="shared" si="813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14"/>
        <v>YES</v>
      </c>
      <c r="Q3559" t="str">
        <f t="shared" si="815"/>
        <v>NO</v>
      </c>
      <c r="R3559" t="str">
        <f t="shared" si="816"/>
        <v>NO</v>
      </c>
      <c r="S3559">
        <v>41</v>
      </c>
      <c r="T3559" t="s">
        <v>167</v>
      </c>
      <c r="U3559" t="str">
        <f t="shared" si="803"/>
        <v>Wendell St</v>
      </c>
      <c r="W3559" t="str">
        <f t="shared" si="804"/>
        <v/>
      </c>
      <c r="X3559" t="str">
        <f>IF(ISBLANK(S3559),"Intersection","Non-Intersection")</f>
        <v>Non-Intersection</v>
      </c>
      <c r="Y3559" t="s">
        <v>4425</v>
      </c>
      <c r="Z3559" t="str">
        <f t="shared" si="805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06"/>
        <v>40909</v>
      </c>
      <c r="D3560" s="4">
        <f t="shared" si="807"/>
        <v>0.30327868852459017</v>
      </c>
      <c r="E3560" s="3">
        <f t="shared" si="808"/>
        <v>2012</v>
      </c>
      <c r="F3560" s="3">
        <f t="shared" si="809"/>
        <v>4</v>
      </c>
      <c r="G3560" s="3">
        <f t="shared" si="810"/>
        <v>21</v>
      </c>
      <c r="H3560" s="3">
        <f t="shared" si="811"/>
        <v>15</v>
      </c>
      <c r="I3560" s="3">
        <f t="shared" si="812"/>
        <v>56</v>
      </c>
      <c r="J3560" s="3">
        <f t="shared" si="813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14"/>
        <v>YES</v>
      </c>
      <c r="Q3560" t="str">
        <f t="shared" si="815"/>
        <v>YES</v>
      </c>
      <c r="R3560" t="str">
        <f t="shared" si="816"/>
        <v>NO</v>
      </c>
      <c r="T3560" t="s">
        <v>105</v>
      </c>
      <c r="U3560" t="str">
        <f t="shared" si="803"/>
        <v>Broadway</v>
      </c>
      <c r="V3560" t="s">
        <v>134</v>
      </c>
      <c r="W3560" t="str">
        <f t="shared" si="804"/>
        <v>Quincy St</v>
      </c>
      <c r="X3560" t="str">
        <f>IF(ISBLANK(S3560),"Intersection","Non-Intersection")</f>
        <v>Intersection</v>
      </c>
      <c r="Y3560" t="s">
        <v>838</v>
      </c>
      <c r="Z3560" t="str">
        <f t="shared" si="805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06"/>
        <v>40909</v>
      </c>
      <c r="D3561" s="4">
        <f t="shared" si="807"/>
        <v>0.30601092896174864</v>
      </c>
      <c r="E3561" s="3">
        <f t="shared" si="808"/>
        <v>2012</v>
      </c>
      <c r="F3561" s="3">
        <f t="shared" si="809"/>
        <v>4</v>
      </c>
      <c r="G3561" s="3">
        <f t="shared" si="810"/>
        <v>22</v>
      </c>
      <c r="H3561" s="3">
        <f t="shared" si="811"/>
        <v>15</v>
      </c>
      <c r="I3561" s="3">
        <f t="shared" si="812"/>
        <v>0</v>
      </c>
      <c r="J3561" s="3">
        <f t="shared" si="813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14"/>
        <v>YES</v>
      </c>
      <c r="Q3561" t="str">
        <f t="shared" si="815"/>
        <v>NO</v>
      </c>
      <c r="R3561" t="str">
        <f t="shared" si="816"/>
        <v>NO</v>
      </c>
      <c r="S3561">
        <v>100</v>
      </c>
      <c r="T3561" t="s">
        <v>1062</v>
      </c>
      <c r="U3561" t="str">
        <f t="shared" si="803"/>
        <v>Cambridgeside Pl</v>
      </c>
      <c r="W3561" t="str">
        <f t="shared" si="804"/>
        <v/>
      </c>
      <c r="X3561" t="str">
        <f>IF(ISBLANK(S3561),"Intersection","Non-Intersection")</f>
        <v>Non-Intersection</v>
      </c>
      <c r="Y3561" t="s">
        <v>1143</v>
      </c>
      <c r="Z3561" t="str">
        <f t="shared" si="805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06"/>
        <v>40909</v>
      </c>
      <c r="D3562" s="4">
        <f t="shared" si="807"/>
        <v>0.30601092896174864</v>
      </c>
      <c r="E3562" s="3">
        <f t="shared" si="808"/>
        <v>2012</v>
      </c>
      <c r="F3562" s="3">
        <f t="shared" si="809"/>
        <v>4</v>
      </c>
      <c r="G3562" s="3">
        <f t="shared" si="810"/>
        <v>22</v>
      </c>
      <c r="H3562" s="3">
        <f t="shared" si="811"/>
        <v>15</v>
      </c>
      <c r="I3562" s="3">
        <f t="shared" si="812"/>
        <v>49</v>
      </c>
      <c r="J3562" s="3">
        <f t="shared" si="813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14"/>
        <v>YES</v>
      </c>
      <c r="Q3562" t="str">
        <f t="shared" si="815"/>
        <v>NO</v>
      </c>
      <c r="R3562" t="str">
        <f t="shared" si="816"/>
        <v>NO</v>
      </c>
      <c r="T3562" t="s">
        <v>667</v>
      </c>
      <c r="U3562" t="str">
        <f t="shared" si="803"/>
        <v>Tremont St</v>
      </c>
      <c r="V3562" t="s">
        <v>924</v>
      </c>
      <c r="W3562" t="str">
        <f t="shared" si="804"/>
        <v>Carlisle St</v>
      </c>
      <c r="X3562" t="str">
        <f>IF(ISBLANK(S3562),"Intersection","Non-Intersection")</f>
        <v>Intersection</v>
      </c>
      <c r="Y3562" t="s">
        <v>4427</v>
      </c>
      <c r="Z3562" t="str">
        <f t="shared" si="805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06"/>
        <v>40909</v>
      </c>
      <c r="D3563" s="4">
        <f t="shared" si="807"/>
        <v>0.30601092896174864</v>
      </c>
      <c r="E3563" s="3">
        <f t="shared" si="808"/>
        <v>2012</v>
      </c>
      <c r="F3563" s="3">
        <f t="shared" si="809"/>
        <v>4</v>
      </c>
      <c r="G3563" s="3">
        <f t="shared" si="810"/>
        <v>22</v>
      </c>
      <c r="H3563" s="3">
        <f t="shared" si="811"/>
        <v>20</v>
      </c>
      <c r="I3563" s="3">
        <f t="shared" si="812"/>
        <v>0</v>
      </c>
      <c r="J3563" s="3">
        <f t="shared" si="813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14"/>
        <v>YES</v>
      </c>
      <c r="Q3563" t="str">
        <f t="shared" si="815"/>
        <v>NO</v>
      </c>
      <c r="R3563" t="str">
        <f t="shared" si="816"/>
        <v>NO</v>
      </c>
      <c r="T3563" t="s">
        <v>202</v>
      </c>
      <c r="U3563" t="str">
        <f t="shared" si="803"/>
        <v>Vassar St</v>
      </c>
      <c r="V3563" t="s">
        <v>14</v>
      </c>
      <c r="W3563" t="str">
        <f t="shared" si="804"/>
        <v>Massachusetts Ave</v>
      </c>
      <c r="X3563" t="str">
        <f>IF(ISBLANK(S3563),"Intersection","Non-Intersection")</f>
        <v>Intersection</v>
      </c>
      <c r="Y3563" t="s">
        <v>222</v>
      </c>
      <c r="Z3563" t="str">
        <f t="shared" si="805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06"/>
        <v>40909</v>
      </c>
      <c r="D3564" s="4">
        <f t="shared" si="807"/>
        <v>0.30874316939890711</v>
      </c>
      <c r="E3564" s="3">
        <f t="shared" si="808"/>
        <v>2012</v>
      </c>
      <c r="F3564" s="3">
        <f t="shared" si="809"/>
        <v>4</v>
      </c>
      <c r="G3564" s="3">
        <f t="shared" si="810"/>
        <v>23</v>
      </c>
      <c r="H3564" s="3">
        <f t="shared" si="811"/>
        <v>12</v>
      </c>
      <c r="I3564" s="3">
        <f t="shared" si="812"/>
        <v>20</v>
      </c>
      <c r="J3564" s="3">
        <f t="shared" si="813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14"/>
        <v>YES</v>
      </c>
      <c r="Q3564" t="str">
        <f t="shared" si="815"/>
        <v>NO</v>
      </c>
      <c r="R3564" t="str">
        <f t="shared" si="816"/>
        <v>NO</v>
      </c>
      <c r="T3564" t="s">
        <v>199</v>
      </c>
      <c r="U3564" t="str">
        <f t="shared" si="803"/>
        <v>Brattle St</v>
      </c>
      <c r="V3564" t="s">
        <v>208</v>
      </c>
      <c r="W3564" t="str">
        <f t="shared" si="804"/>
        <v>Sparks St</v>
      </c>
      <c r="X3564" t="str">
        <f>IF(ISBLANK(S3564),"Intersection","Non-Intersection")</f>
        <v>Intersection</v>
      </c>
      <c r="Y3564" t="s">
        <v>442</v>
      </c>
      <c r="Z3564" t="str">
        <f t="shared" si="805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06"/>
        <v>40909</v>
      </c>
      <c r="D3565" s="4">
        <f t="shared" si="807"/>
        <v>0.30874316939890711</v>
      </c>
      <c r="E3565" s="3">
        <f t="shared" si="808"/>
        <v>2012</v>
      </c>
      <c r="F3565" s="3">
        <f t="shared" si="809"/>
        <v>4</v>
      </c>
      <c r="G3565" s="3">
        <f t="shared" si="810"/>
        <v>23</v>
      </c>
      <c r="H3565" s="3">
        <f t="shared" si="811"/>
        <v>18</v>
      </c>
      <c r="I3565" s="3">
        <f t="shared" si="812"/>
        <v>59</v>
      </c>
      <c r="J3565" s="3">
        <f t="shared" si="813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14"/>
        <v>YES</v>
      </c>
      <c r="Q3565" t="str">
        <f t="shared" si="815"/>
        <v>NO</v>
      </c>
      <c r="R3565" t="str">
        <f t="shared" si="816"/>
        <v>YES</v>
      </c>
      <c r="S3565" t="s">
        <v>4428</v>
      </c>
      <c r="T3565" t="s">
        <v>42</v>
      </c>
      <c r="U3565" t="str">
        <f t="shared" si="803"/>
        <v>Putnam Ave</v>
      </c>
      <c r="W3565" t="str">
        <f t="shared" si="804"/>
        <v/>
      </c>
      <c r="X3565" t="str">
        <f>IF(ISBLANK(S3565),"Intersection","Non-Intersection")</f>
        <v>Non-Intersection</v>
      </c>
      <c r="Y3565" t="s">
        <v>4429</v>
      </c>
      <c r="Z3565" t="str">
        <f t="shared" si="805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06"/>
        <v>40909</v>
      </c>
      <c r="D3566" s="4">
        <f t="shared" si="807"/>
        <v>0.30874316939890711</v>
      </c>
      <c r="E3566" s="3">
        <f t="shared" si="808"/>
        <v>2012</v>
      </c>
      <c r="F3566" s="3">
        <f t="shared" si="809"/>
        <v>4</v>
      </c>
      <c r="G3566" s="3">
        <f t="shared" si="810"/>
        <v>23</v>
      </c>
      <c r="H3566" s="3">
        <f t="shared" si="811"/>
        <v>21</v>
      </c>
      <c r="I3566" s="3">
        <f t="shared" si="812"/>
        <v>14</v>
      </c>
      <c r="J3566" s="3">
        <f t="shared" si="813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14"/>
        <v>YES</v>
      </c>
      <c r="Q3566" t="str">
        <f t="shared" si="815"/>
        <v>NO</v>
      </c>
      <c r="R3566" t="str">
        <f t="shared" si="816"/>
        <v>NO</v>
      </c>
      <c r="S3566">
        <v>512</v>
      </c>
      <c r="T3566" t="s">
        <v>14</v>
      </c>
      <c r="U3566" t="str">
        <f t="shared" si="803"/>
        <v>Massachusetts Ave</v>
      </c>
      <c r="V3566" t="s">
        <v>745</v>
      </c>
      <c r="W3566" t="str">
        <f t="shared" si="804"/>
        <v>Norfolk St</v>
      </c>
      <c r="X3566" t="str">
        <f>IF(ISBLANK(S3566),"Intersection","Non-Intersection")</f>
        <v>Non-Intersection</v>
      </c>
      <c r="Y3566" t="s">
        <v>4430</v>
      </c>
      <c r="Z3566" t="str">
        <f t="shared" si="805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06"/>
        <v>40909</v>
      </c>
      <c r="D3567" s="4">
        <f t="shared" si="807"/>
        <v>0.30874316939890711</v>
      </c>
      <c r="E3567" s="3">
        <f t="shared" si="808"/>
        <v>2012</v>
      </c>
      <c r="F3567" s="3">
        <f t="shared" si="809"/>
        <v>4</v>
      </c>
      <c r="G3567" s="3">
        <f t="shared" si="810"/>
        <v>23</v>
      </c>
      <c r="H3567" s="3">
        <f t="shared" si="811"/>
        <v>22</v>
      </c>
      <c r="I3567" s="3">
        <f t="shared" si="812"/>
        <v>30</v>
      </c>
      <c r="J3567" s="3">
        <f t="shared" si="813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14"/>
        <v>YES</v>
      </c>
      <c r="Q3567" t="str">
        <f t="shared" si="815"/>
        <v>NO</v>
      </c>
      <c r="R3567" t="str">
        <f t="shared" si="816"/>
        <v>NO</v>
      </c>
      <c r="T3567" t="s">
        <v>19</v>
      </c>
      <c r="U3567" t="str">
        <f t="shared" si="803"/>
        <v>Cambridge St</v>
      </c>
      <c r="V3567" t="s">
        <v>101</v>
      </c>
      <c r="W3567" t="str">
        <f t="shared" si="804"/>
        <v>Columbia St</v>
      </c>
      <c r="X3567" t="str">
        <f>IF(ISBLANK(S3567),"Intersection","Non-Intersection")</f>
        <v>Intersection</v>
      </c>
      <c r="Y3567" t="s">
        <v>438</v>
      </c>
      <c r="Z3567" t="str">
        <f t="shared" si="805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06"/>
        <v>40909</v>
      </c>
      <c r="D3568" s="4">
        <f t="shared" si="807"/>
        <v>0.30874316939890711</v>
      </c>
      <c r="E3568" s="3">
        <f t="shared" si="808"/>
        <v>2012</v>
      </c>
      <c r="F3568" s="3">
        <f t="shared" si="809"/>
        <v>4</v>
      </c>
      <c r="G3568" s="3">
        <f t="shared" si="810"/>
        <v>23</v>
      </c>
      <c r="H3568" s="3">
        <f t="shared" si="811"/>
        <v>11</v>
      </c>
      <c r="I3568" s="3">
        <f t="shared" si="812"/>
        <v>0</v>
      </c>
      <c r="J3568" s="3">
        <f t="shared" si="813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14"/>
        <v>YES</v>
      </c>
      <c r="Q3568" t="str">
        <f t="shared" si="815"/>
        <v>NO</v>
      </c>
      <c r="R3568" t="str">
        <f t="shared" si="816"/>
        <v>YES</v>
      </c>
      <c r="S3568">
        <v>424</v>
      </c>
      <c r="T3568" t="s">
        <v>14</v>
      </c>
      <c r="U3568" t="str">
        <f t="shared" si="803"/>
        <v>Massachusetts Ave</v>
      </c>
      <c r="W3568" t="str">
        <f t="shared" si="804"/>
        <v/>
      </c>
      <c r="X3568" t="str">
        <f>IF(ISBLANK(S3568),"Intersection","Non-Intersection")</f>
        <v>Non-Intersection</v>
      </c>
      <c r="Y3568" t="s">
        <v>4432</v>
      </c>
      <c r="Z3568" t="str">
        <f t="shared" si="805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06"/>
        <v>40909</v>
      </c>
      <c r="D3569" s="4">
        <f t="shared" si="807"/>
        <v>0.30874316939890711</v>
      </c>
      <c r="E3569" s="3">
        <f t="shared" si="808"/>
        <v>2012</v>
      </c>
      <c r="F3569" s="3">
        <f t="shared" si="809"/>
        <v>4</v>
      </c>
      <c r="G3569" s="3">
        <f t="shared" si="810"/>
        <v>23</v>
      </c>
      <c r="H3569" s="3">
        <f t="shared" si="811"/>
        <v>14</v>
      </c>
      <c r="I3569" s="3">
        <f t="shared" si="812"/>
        <v>0</v>
      </c>
      <c r="J3569" s="3">
        <f t="shared" si="813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14"/>
        <v>YES</v>
      </c>
      <c r="Q3569" t="str">
        <f t="shared" si="815"/>
        <v>NO</v>
      </c>
      <c r="R3569" t="str">
        <f t="shared" si="816"/>
        <v>NO</v>
      </c>
      <c r="T3569" t="s">
        <v>209</v>
      </c>
      <c r="U3569" t="str">
        <f t="shared" si="803"/>
        <v>Binney St</v>
      </c>
      <c r="V3569" t="s">
        <v>260</v>
      </c>
      <c r="W3569" t="str">
        <f t="shared" si="804"/>
        <v>Third St</v>
      </c>
      <c r="X3569" t="str">
        <f>IF(ISBLANK(S3569),"Intersection","Non-Intersection")</f>
        <v>Intersection</v>
      </c>
      <c r="Y3569" t="s">
        <v>531</v>
      </c>
      <c r="Z3569" t="str">
        <f t="shared" si="805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06"/>
        <v>40909</v>
      </c>
      <c r="D3570" s="4">
        <f t="shared" si="807"/>
        <v>0.31147540983606559</v>
      </c>
      <c r="E3570" s="3">
        <f t="shared" si="808"/>
        <v>2012</v>
      </c>
      <c r="F3570" s="3">
        <f t="shared" si="809"/>
        <v>4</v>
      </c>
      <c r="G3570" s="3">
        <f t="shared" si="810"/>
        <v>24</v>
      </c>
      <c r="H3570" s="3">
        <f t="shared" si="811"/>
        <v>9</v>
      </c>
      <c r="I3570" s="3">
        <f t="shared" si="812"/>
        <v>59</v>
      </c>
      <c r="J3570" s="3">
        <f t="shared" si="813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14"/>
        <v>YES</v>
      </c>
      <c r="Q3570" t="str">
        <f t="shared" si="815"/>
        <v>YES</v>
      </c>
      <c r="R3570" t="str">
        <f t="shared" si="816"/>
        <v>NO</v>
      </c>
      <c r="S3570">
        <v>332</v>
      </c>
      <c r="T3570" t="s">
        <v>105</v>
      </c>
      <c r="U3570" t="str">
        <f t="shared" si="803"/>
        <v>Broadway</v>
      </c>
      <c r="W3570" t="str">
        <f t="shared" si="804"/>
        <v/>
      </c>
      <c r="X3570" t="str">
        <f>IF(ISBLANK(S3570),"Intersection","Non-Intersection")</f>
        <v>Non-Intersection</v>
      </c>
      <c r="Y3570" t="s">
        <v>4434</v>
      </c>
      <c r="Z3570" t="str">
        <f t="shared" si="805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06"/>
        <v>40909</v>
      </c>
      <c r="D3571" s="4">
        <f t="shared" si="807"/>
        <v>0.31147540983606559</v>
      </c>
      <c r="E3571" s="3">
        <f t="shared" si="808"/>
        <v>2012</v>
      </c>
      <c r="F3571" s="3">
        <f t="shared" si="809"/>
        <v>4</v>
      </c>
      <c r="G3571" s="3">
        <f t="shared" si="810"/>
        <v>24</v>
      </c>
      <c r="H3571" s="3">
        <f t="shared" si="811"/>
        <v>12</v>
      </c>
      <c r="I3571" s="3">
        <f t="shared" si="812"/>
        <v>59</v>
      </c>
      <c r="J3571" s="3">
        <f t="shared" si="813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14"/>
        <v>YES</v>
      </c>
      <c r="Q3571" t="str">
        <f t="shared" si="815"/>
        <v>NO</v>
      </c>
      <c r="R3571" t="str">
        <f t="shared" si="816"/>
        <v>NO</v>
      </c>
      <c r="T3571" t="s">
        <v>147</v>
      </c>
      <c r="U3571" t="str">
        <f t="shared" si="803"/>
        <v>Sixth St</v>
      </c>
      <c r="V3571" t="s">
        <v>556</v>
      </c>
      <c r="W3571" t="str">
        <f t="shared" si="804"/>
        <v>Bent St</v>
      </c>
      <c r="X3571" t="str">
        <f>IF(ISBLANK(S3571),"Intersection","Non-Intersection")</f>
        <v>Intersection</v>
      </c>
      <c r="Y3571" t="s">
        <v>557</v>
      </c>
      <c r="Z3571" t="str">
        <f t="shared" si="805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06"/>
        <v>40909</v>
      </c>
      <c r="D3572" s="4">
        <f t="shared" si="807"/>
        <v>0.31147540983606559</v>
      </c>
      <c r="E3572" s="3">
        <f t="shared" si="808"/>
        <v>2012</v>
      </c>
      <c r="F3572" s="3">
        <f t="shared" si="809"/>
        <v>4</v>
      </c>
      <c r="G3572" s="3">
        <f t="shared" si="810"/>
        <v>24</v>
      </c>
      <c r="H3572" s="3">
        <f t="shared" si="811"/>
        <v>16</v>
      </c>
      <c r="I3572" s="3">
        <f t="shared" si="812"/>
        <v>30</v>
      </c>
      <c r="J3572" s="3">
        <f t="shared" si="813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14"/>
        <v>YES</v>
      </c>
      <c r="Q3572" t="str">
        <f t="shared" si="815"/>
        <v>NO</v>
      </c>
      <c r="R3572" t="str">
        <f t="shared" si="816"/>
        <v>NO</v>
      </c>
      <c r="S3572">
        <v>60</v>
      </c>
      <c r="T3572" t="s">
        <v>166</v>
      </c>
      <c r="U3572" t="str">
        <f t="shared" si="803"/>
        <v>Oxford Ave</v>
      </c>
      <c r="W3572" t="str">
        <f t="shared" si="804"/>
        <v/>
      </c>
      <c r="X3572" t="str">
        <f>IF(ISBLANK(S3572),"Intersection","Non-Intersection")</f>
        <v>Non-Intersection</v>
      </c>
      <c r="Y3572" t="s">
        <v>2328</v>
      </c>
      <c r="Z3572" t="str">
        <f t="shared" si="805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06"/>
        <v>40909</v>
      </c>
      <c r="D3573" s="4">
        <f t="shared" si="807"/>
        <v>0.31420765027322406</v>
      </c>
      <c r="E3573" s="3">
        <f t="shared" si="808"/>
        <v>2012</v>
      </c>
      <c r="F3573" s="3">
        <f t="shared" si="809"/>
        <v>4</v>
      </c>
      <c r="G3573" s="3">
        <f t="shared" si="810"/>
        <v>25</v>
      </c>
      <c r="H3573" s="3">
        <f t="shared" si="811"/>
        <v>11</v>
      </c>
      <c r="I3573" s="3">
        <f t="shared" si="812"/>
        <v>39</v>
      </c>
      <c r="J3573" s="3">
        <f t="shared" si="813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14"/>
        <v>YES</v>
      </c>
      <c r="Q3573" t="str">
        <f t="shared" si="815"/>
        <v>NO</v>
      </c>
      <c r="R3573" t="str">
        <f t="shared" si="816"/>
        <v>NO</v>
      </c>
      <c r="T3573" t="s">
        <v>27</v>
      </c>
      <c r="U3573" t="str">
        <f t="shared" si="803"/>
        <v>Western Ave</v>
      </c>
      <c r="V3573" t="s">
        <v>757</v>
      </c>
      <c r="W3573" t="str">
        <f t="shared" si="804"/>
        <v>Blackstone St</v>
      </c>
      <c r="X3573" t="str">
        <f>IF(ISBLANK(S3573),"Intersection","Non-Intersection")</f>
        <v>Intersection</v>
      </c>
      <c r="Y3573" t="s">
        <v>1405</v>
      </c>
      <c r="Z3573" t="str">
        <f t="shared" si="805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06"/>
        <v>40909</v>
      </c>
      <c r="D3574" s="4">
        <f t="shared" si="807"/>
        <v>0.31420765027322406</v>
      </c>
      <c r="E3574" s="3">
        <f t="shared" si="808"/>
        <v>2012</v>
      </c>
      <c r="F3574" s="3">
        <f t="shared" si="809"/>
        <v>4</v>
      </c>
      <c r="G3574" s="3">
        <f t="shared" si="810"/>
        <v>25</v>
      </c>
      <c r="H3574" s="3">
        <f t="shared" si="811"/>
        <v>13</v>
      </c>
      <c r="I3574" s="3">
        <f t="shared" si="812"/>
        <v>25</v>
      </c>
      <c r="J3574" s="3">
        <f t="shared" si="813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14"/>
        <v>YES</v>
      </c>
      <c r="Q3574" t="str">
        <f t="shared" si="815"/>
        <v>NO</v>
      </c>
      <c r="R3574" t="str">
        <f t="shared" si="816"/>
        <v>NO</v>
      </c>
      <c r="S3574">
        <v>121</v>
      </c>
      <c r="T3574" t="s">
        <v>155</v>
      </c>
      <c r="U3574" t="str">
        <f t="shared" si="803"/>
        <v>Richdale Ave</v>
      </c>
      <c r="W3574" t="str">
        <f t="shared" si="804"/>
        <v/>
      </c>
      <c r="X3574" t="str">
        <f>IF(ISBLANK(S3574),"Intersection","Non-Intersection")</f>
        <v>Non-Intersection</v>
      </c>
      <c r="Y3574" t="s">
        <v>4436</v>
      </c>
      <c r="Z3574" t="str">
        <f t="shared" si="805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06"/>
        <v>40909</v>
      </c>
      <c r="D3575" s="4">
        <f t="shared" si="807"/>
        <v>0.31420765027322406</v>
      </c>
      <c r="E3575" s="3">
        <f t="shared" si="808"/>
        <v>2012</v>
      </c>
      <c r="F3575" s="3">
        <f t="shared" si="809"/>
        <v>4</v>
      </c>
      <c r="G3575" s="3">
        <f t="shared" si="810"/>
        <v>25</v>
      </c>
      <c r="H3575" s="3">
        <f t="shared" si="811"/>
        <v>14</v>
      </c>
      <c r="I3575" s="3">
        <f t="shared" si="812"/>
        <v>29</v>
      </c>
      <c r="J3575" s="3">
        <f t="shared" si="813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14"/>
        <v>YES</v>
      </c>
      <c r="Q3575" t="str">
        <f t="shared" si="815"/>
        <v>NO</v>
      </c>
      <c r="R3575" t="str">
        <f t="shared" si="816"/>
        <v>NO</v>
      </c>
      <c r="T3575" t="s">
        <v>32</v>
      </c>
      <c r="U3575" t="str">
        <f t="shared" si="803"/>
        <v>Main St</v>
      </c>
      <c r="V3575" t="s">
        <v>796</v>
      </c>
      <c r="W3575" t="str">
        <f t="shared" si="804"/>
        <v>Portland St</v>
      </c>
      <c r="X3575" t="str">
        <f>IF(ISBLANK(S3575),"Intersection","Non-Intersection")</f>
        <v>Intersection</v>
      </c>
      <c r="Y3575" t="s">
        <v>932</v>
      </c>
      <c r="Z3575" t="str">
        <f t="shared" si="805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06"/>
        <v>40909</v>
      </c>
      <c r="D3576" s="4">
        <f t="shared" si="807"/>
        <v>0.31420765027322406</v>
      </c>
      <c r="E3576" s="3">
        <f t="shared" si="808"/>
        <v>2012</v>
      </c>
      <c r="F3576" s="3">
        <f t="shared" si="809"/>
        <v>4</v>
      </c>
      <c r="G3576" s="3">
        <f t="shared" si="810"/>
        <v>25</v>
      </c>
      <c r="H3576" s="3">
        <f t="shared" si="811"/>
        <v>18</v>
      </c>
      <c r="I3576" s="3">
        <f t="shared" si="812"/>
        <v>30</v>
      </c>
      <c r="J3576" s="3">
        <f t="shared" si="813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14"/>
        <v>YES</v>
      </c>
      <c r="Q3576" t="str">
        <f t="shared" si="815"/>
        <v>NO</v>
      </c>
      <c r="R3576" t="str">
        <f t="shared" si="816"/>
        <v>NO</v>
      </c>
      <c r="S3576">
        <v>15</v>
      </c>
      <c r="T3576" t="s">
        <v>37</v>
      </c>
      <c r="U3576" t="str">
        <f t="shared" si="803"/>
        <v>Magazine St</v>
      </c>
      <c r="W3576" t="str">
        <f t="shared" si="804"/>
        <v/>
      </c>
      <c r="X3576" t="str">
        <f>IF(ISBLANK(S3576),"Intersection","Non-Intersection")</f>
        <v>Non-Intersection</v>
      </c>
      <c r="Y3576" t="s">
        <v>4438</v>
      </c>
      <c r="Z3576" t="str">
        <f t="shared" si="805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06"/>
        <v>40909</v>
      </c>
      <c r="D3577" s="4">
        <f t="shared" si="807"/>
        <v>0.31693989071038253</v>
      </c>
      <c r="E3577" s="3">
        <f t="shared" si="808"/>
        <v>2012</v>
      </c>
      <c r="F3577" s="3">
        <f t="shared" si="809"/>
        <v>4</v>
      </c>
      <c r="G3577" s="3">
        <f t="shared" si="810"/>
        <v>26</v>
      </c>
      <c r="H3577" s="3">
        <f t="shared" si="811"/>
        <v>18</v>
      </c>
      <c r="I3577" s="3">
        <f t="shared" si="812"/>
        <v>30</v>
      </c>
      <c r="J3577" s="3">
        <f t="shared" si="813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14"/>
        <v>YES</v>
      </c>
      <c r="Q3577" t="str">
        <f t="shared" si="815"/>
        <v>NO</v>
      </c>
      <c r="R3577" t="str">
        <f t="shared" si="816"/>
        <v>NO</v>
      </c>
      <c r="T3577" t="s">
        <v>291</v>
      </c>
      <c r="U3577" t="str">
        <f t="shared" si="803"/>
        <v>Raymond St</v>
      </c>
      <c r="V3577" t="s">
        <v>550</v>
      </c>
      <c r="W3577" t="str">
        <f t="shared" si="804"/>
        <v>Upland Rd</v>
      </c>
      <c r="X3577" t="str">
        <f>IF(ISBLANK(S3577),"Intersection","Non-Intersection")</f>
        <v>Intersection</v>
      </c>
      <c r="Y3577" t="s">
        <v>4440</v>
      </c>
      <c r="Z3577" t="str">
        <f t="shared" si="805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06"/>
        <v>40909</v>
      </c>
      <c r="D3578" s="4">
        <f t="shared" si="807"/>
        <v>0.31693989071038253</v>
      </c>
      <c r="E3578" s="3">
        <f t="shared" si="808"/>
        <v>2012</v>
      </c>
      <c r="F3578" s="3">
        <f t="shared" si="809"/>
        <v>4</v>
      </c>
      <c r="G3578" s="3">
        <f t="shared" si="810"/>
        <v>26</v>
      </c>
      <c r="H3578" s="3">
        <f t="shared" si="811"/>
        <v>11</v>
      </c>
      <c r="I3578" s="3">
        <f t="shared" si="812"/>
        <v>10</v>
      </c>
      <c r="J3578" s="3">
        <f t="shared" si="813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14"/>
        <v>YES</v>
      </c>
      <c r="Q3578" t="str">
        <f t="shared" si="815"/>
        <v>NO</v>
      </c>
      <c r="R3578" t="str">
        <f t="shared" si="816"/>
        <v>NO</v>
      </c>
      <c r="U3578" t="str">
        <f t="shared" si="803"/>
        <v/>
      </c>
      <c r="W3578" t="str">
        <f t="shared" si="804"/>
        <v/>
      </c>
      <c r="X3578" t="str">
        <f>IF(ISBLANK(S3578),"Intersection","Non-Intersection")</f>
        <v>Intersection</v>
      </c>
      <c r="Y3578" t="s">
        <v>717</v>
      </c>
      <c r="Z3578" t="str">
        <f t="shared" si="805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06"/>
        <v>40909</v>
      </c>
      <c r="D3579" s="4">
        <f t="shared" si="807"/>
        <v>0.31693989071038253</v>
      </c>
      <c r="E3579" s="3">
        <f t="shared" si="808"/>
        <v>2012</v>
      </c>
      <c r="F3579" s="3">
        <f t="shared" si="809"/>
        <v>4</v>
      </c>
      <c r="G3579" s="3">
        <f t="shared" si="810"/>
        <v>26</v>
      </c>
      <c r="H3579" s="3">
        <f t="shared" si="811"/>
        <v>14</v>
      </c>
      <c r="I3579" s="3">
        <f t="shared" si="812"/>
        <v>48</v>
      </c>
      <c r="J3579" s="3">
        <f t="shared" si="813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14"/>
        <v>YES</v>
      </c>
      <c r="Q3579" t="str">
        <f t="shared" si="815"/>
        <v>YES</v>
      </c>
      <c r="R3579" t="str">
        <f t="shared" si="816"/>
        <v>NO</v>
      </c>
      <c r="T3579" t="s">
        <v>37</v>
      </c>
      <c r="U3579" t="str">
        <f t="shared" si="803"/>
        <v>Magazine St</v>
      </c>
      <c r="V3579" t="s">
        <v>86</v>
      </c>
      <c r="W3579" t="str">
        <f t="shared" si="804"/>
        <v>Granite St</v>
      </c>
      <c r="X3579" t="str">
        <f>IF(ISBLANK(S3579),"Intersection","Non-Intersection")</f>
        <v>Intersection</v>
      </c>
      <c r="Y3579" t="s">
        <v>2256</v>
      </c>
      <c r="Z3579" t="str">
        <f t="shared" si="805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06"/>
        <v>40909</v>
      </c>
      <c r="D3580" s="4">
        <f t="shared" si="807"/>
        <v>0.31967213114754101</v>
      </c>
      <c r="E3580" s="3">
        <f t="shared" si="808"/>
        <v>2012</v>
      </c>
      <c r="F3580" s="3">
        <f t="shared" si="809"/>
        <v>4</v>
      </c>
      <c r="G3580" s="3">
        <f t="shared" si="810"/>
        <v>27</v>
      </c>
      <c r="H3580" s="3">
        <f t="shared" si="811"/>
        <v>1</v>
      </c>
      <c r="I3580" s="3">
        <f t="shared" si="812"/>
        <v>9</v>
      </c>
      <c r="J3580" s="3">
        <f t="shared" si="813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14"/>
        <v>YES</v>
      </c>
      <c r="Q3580" t="str">
        <f t="shared" si="815"/>
        <v>NO</v>
      </c>
      <c r="R3580" t="str">
        <f t="shared" si="816"/>
        <v>NO</v>
      </c>
      <c r="S3580">
        <v>369</v>
      </c>
      <c r="T3580" t="s">
        <v>27</v>
      </c>
      <c r="U3580" t="str">
        <f t="shared" si="803"/>
        <v>Western Ave</v>
      </c>
      <c r="W3580" t="str">
        <f t="shared" si="804"/>
        <v/>
      </c>
      <c r="X3580" t="str">
        <f>IF(ISBLANK(S3580),"Intersection","Non-Intersection")</f>
        <v>Non-Intersection</v>
      </c>
      <c r="Y3580" t="s">
        <v>4442</v>
      </c>
      <c r="Z3580" t="str">
        <f t="shared" si="805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06"/>
        <v>40909</v>
      </c>
      <c r="D3581" s="4">
        <f t="shared" si="807"/>
        <v>0.31967213114754101</v>
      </c>
      <c r="E3581" s="3">
        <f t="shared" si="808"/>
        <v>2012</v>
      </c>
      <c r="F3581" s="3">
        <f t="shared" si="809"/>
        <v>4</v>
      </c>
      <c r="G3581" s="3">
        <f t="shared" si="810"/>
        <v>27</v>
      </c>
      <c r="H3581" s="3">
        <f t="shared" si="811"/>
        <v>9</v>
      </c>
      <c r="I3581" s="3">
        <f t="shared" si="812"/>
        <v>40</v>
      </c>
      <c r="J3581" s="3">
        <f t="shared" si="813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14"/>
        <v>YES</v>
      </c>
      <c r="Q3581" t="str">
        <f t="shared" si="815"/>
        <v>NO</v>
      </c>
      <c r="R3581" t="str">
        <f t="shared" si="816"/>
        <v>NO</v>
      </c>
      <c r="T3581" t="s">
        <v>178</v>
      </c>
      <c r="U3581" t="str">
        <f t="shared" si="803"/>
        <v>Pleasant St</v>
      </c>
      <c r="V3581" t="s">
        <v>27</v>
      </c>
      <c r="W3581" t="str">
        <f t="shared" si="804"/>
        <v>Western Ave</v>
      </c>
      <c r="X3581" t="str">
        <f>IF(ISBLANK(S3581),"Intersection","Non-Intersection")</f>
        <v>Intersection</v>
      </c>
      <c r="Y3581" t="s">
        <v>4444</v>
      </c>
      <c r="Z3581" t="str">
        <f t="shared" si="805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06"/>
        <v>40909</v>
      </c>
      <c r="D3582" s="4">
        <f t="shared" si="807"/>
        <v>0.31967213114754101</v>
      </c>
      <c r="E3582" s="3">
        <f t="shared" si="808"/>
        <v>2012</v>
      </c>
      <c r="F3582" s="3">
        <f t="shared" si="809"/>
        <v>4</v>
      </c>
      <c r="G3582" s="3">
        <f t="shared" si="810"/>
        <v>27</v>
      </c>
      <c r="H3582" s="3">
        <f t="shared" si="811"/>
        <v>11</v>
      </c>
      <c r="I3582" s="3">
        <f t="shared" si="812"/>
        <v>29</v>
      </c>
      <c r="J3582" s="3">
        <f t="shared" si="813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14"/>
        <v>YES</v>
      </c>
      <c r="Q3582" t="str">
        <f t="shared" si="815"/>
        <v>NO</v>
      </c>
      <c r="R3582" t="str">
        <f t="shared" si="816"/>
        <v>NO</v>
      </c>
      <c r="T3582" t="s">
        <v>14</v>
      </c>
      <c r="U3582" t="str">
        <f t="shared" si="803"/>
        <v>Massachusetts Ave</v>
      </c>
      <c r="V3582" t="s">
        <v>553</v>
      </c>
      <c r="W3582" t="str">
        <f t="shared" si="804"/>
        <v>Cameron Ave</v>
      </c>
      <c r="X3582" t="str">
        <f>IF(ISBLANK(S3582),"Intersection","Non-Intersection")</f>
        <v>Intersection</v>
      </c>
      <c r="Y3582" t="s">
        <v>554</v>
      </c>
      <c r="Z3582" t="str">
        <f t="shared" si="805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06"/>
        <v>40909</v>
      </c>
      <c r="D3583" s="4">
        <f t="shared" si="807"/>
        <v>0.31967213114754101</v>
      </c>
      <c r="E3583" s="3">
        <f t="shared" si="808"/>
        <v>2012</v>
      </c>
      <c r="F3583" s="3">
        <f t="shared" si="809"/>
        <v>4</v>
      </c>
      <c r="G3583" s="3">
        <f t="shared" si="810"/>
        <v>27</v>
      </c>
      <c r="H3583" s="3">
        <f t="shared" si="811"/>
        <v>19</v>
      </c>
      <c r="I3583" s="3">
        <f t="shared" si="812"/>
        <v>12</v>
      </c>
      <c r="J3583" s="3">
        <f t="shared" si="813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14"/>
        <v>YES</v>
      </c>
      <c r="Q3583" t="str">
        <f t="shared" si="815"/>
        <v>YES</v>
      </c>
      <c r="R3583" t="str">
        <f t="shared" si="816"/>
        <v>NO</v>
      </c>
      <c r="T3583" t="s">
        <v>326</v>
      </c>
      <c r="U3583" t="str">
        <f t="shared" si="803"/>
        <v>Jfk St</v>
      </c>
      <c r="V3583" t="s">
        <v>203</v>
      </c>
      <c r="W3583" t="str">
        <f t="shared" si="804"/>
        <v>Memorial Dr</v>
      </c>
      <c r="X3583" t="str">
        <f>IF(ISBLANK(S3583),"Intersection","Non-Intersection")</f>
        <v>Intersection</v>
      </c>
      <c r="Y3583" t="s">
        <v>2827</v>
      </c>
      <c r="Z3583" t="str">
        <f t="shared" si="805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06"/>
        <v>40909</v>
      </c>
      <c r="D3584" s="4">
        <f t="shared" si="807"/>
        <v>0.31967213114754101</v>
      </c>
      <c r="E3584" s="3">
        <f t="shared" si="808"/>
        <v>2012</v>
      </c>
      <c r="F3584" s="3">
        <f t="shared" si="809"/>
        <v>4</v>
      </c>
      <c r="G3584" s="3">
        <f t="shared" si="810"/>
        <v>27</v>
      </c>
      <c r="H3584" s="3">
        <f t="shared" si="811"/>
        <v>11</v>
      </c>
      <c r="I3584" s="3">
        <f t="shared" si="812"/>
        <v>35</v>
      </c>
      <c r="J3584" s="3">
        <f t="shared" si="813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14"/>
        <v>YES</v>
      </c>
      <c r="Q3584" t="str">
        <f t="shared" si="815"/>
        <v>YES</v>
      </c>
      <c r="R3584" t="str">
        <f t="shared" si="816"/>
        <v>NO</v>
      </c>
      <c r="T3584" t="s">
        <v>32</v>
      </c>
      <c r="U3584" t="str">
        <f t="shared" si="803"/>
        <v>Main St</v>
      </c>
      <c r="V3584" t="s">
        <v>105</v>
      </c>
      <c r="W3584" t="str">
        <f t="shared" si="804"/>
        <v>Broadway</v>
      </c>
      <c r="X3584" t="str">
        <f>IF(ISBLANK(S3584),"Intersection","Non-Intersection")</f>
        <v>Intersection</v>
      </c>
      <c r="Y3584" t="s">
        <v>3873</v>
      </c>
      <c r="Z3584" t="str">
        <f t="shared" si="805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06"/>
        <v>40909</v>
      </c>
      <c r="D3585" s="4">
        <f t="shared" si="807"/>
        <v>0.32240437158469948</v>
      </c>
      <c r="E3585" s="3">
        <f t="shared" si="808"/>
        <v>2012</v>
      </c>
      <c r="F3585" s="3">
        <f t="shared" si="809"/>
        <v>4</v>
      </c>
      <c r="G3585" s="3">
        <f t="shared" si="810"/>
        <v>28</v>
      </c>
      <c r="H3585" s="3">
        <f t="shared" si="811"/>
        <v>5</v>
      </c>
      <c r="I3585" s="3">
        <f t="shared" si="812"/>
        <v>45</v>
      </c>
      <c r="J3585" s="3">
        <f t="shared" si="813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14"/>
        <v>YES</v>
      </c>
      <c r="Q3585" t="str">
        <f t="shared" si="815"/>
        <v>NO</v>
      </c>
      <c r="R3585" t="str">
        <f t="shared" si="816"/>
        <v>NO</v>
      </c>
      <c r="S3585">
        <v>1621</v>
      </c>
      <c r="T3585" t="s">
        <v>19</v>
      </c>
      <c r="U3585" t="str">
        <f t="shared" si="803"/>
        <v>Cambridge St</v>
      </c>
      <c r="W3585" t="str">
        <f t="shared" si="804"/>
        <v/>
      </c>
      <c r="X3585" t="str">
        <f>IF(ISBLANK(S3585),"Intersection","Non-Intersection")</f>
        <v>Non-Intersection</v>
      </c>
      <c r="Y3585" t="s">
        <v>2928</v>
      </c>
      <c r="Z3585" t="str">
        <f t="shared" si="805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06"/>
        <v>40909</v>
      </c>
      <c r="D3586" s="4">
        <f t="shared" si="807"/>
        <v>0.32240437158469948</v>
      </c>
      <c r="E3586" s="3">
        <f t="shared" si="808"/>
        <v>2012</v>
      </c>
      <c r="F3586" s="3">
        <f t="shared" si="809"/>
        <v>4</v>
      </c>
      <c r="G3586" s="3">
        <f t="shared" si="810"/>
        <v>28</v>
      </c>
      <c r="H3586" s="3">
        <f t="shared" si="811"/>
        <v>11</v>
      </c>
      <c r="I3586" s="3">
        <f t="shared" si="812"/>
        <v>13</v>
      </c>
      <c r="J3586" s="3">
        <f t="shared" si="813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14"/>
        <v>YES</v>
      </c>
      <c r="Q3586" t="str">
        <f t="shared" si="815"/>
        <v>NO</v>
      </c>
      <c r="R3586" t="str">
        <f t="shared" si="816"/>
        <v>NO</v>
      </c>
      <c r="S3586">
        <v>6</v>
      </c>
      <c r="T3586" t="s">
        <v>1062</v>
      </c>
      <c r="U3586" t="str">
        <f t="shared" si="803"/>
        <v>Cambridgeside Pl</v>
      </c>
      <c r="W3586" t="str">
        <f t="shared" si="804"/>
        <v/>
      </c>
      <c r="X3586" t="str">
        <f>IF(ISBLANK(S3586),"Intersection","Non-Intersection")</f>
        <v>Non-Intersection</v>
      </c>
      <c r="Y3586" t="s">
        <v>4445</v>
      </c>
      <c r="Z3586" t="str">
        <f t="shared" si="805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06"/>
        <v>40909</v>
      </c>
      <c r="D3587" s="4">
        <f t="shared" si="807"/>
        <v>0.32240437158469948</v>
      </c>
      <c r="E3587" s="3">
        <f t="shared" si="808"/>
        <v>2012</v>
      </c>
      <c r="F3587" s="3">
        <f t="shared" si="809"/>
        <v>4</v>
      </c>
      <c r="G3587" s="3">
        <f t="shared" si="810"/>
        <v>28</v>
      </c>
      <c r="H3587" s="3">
        <f t="shared" si="811"/>
        <v>12</v>
      </c>
      <c r="I3587" s="3">
        <f t="shared" si="812"/>
        <v>0</v>
      </c>
      <c r="J3587" s="3">
        <f t="shared" si="813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14"/>
        <v>YES</v>
      </c>
      <c r="Q3587" t="str">
        <f t="shared" si="815"/>
        <v>NO</v>
      </c>
      <c r="R3587" t="str">
        <f t="shared" si="816"/>
        <v>NO</v>
      </c>
      <c r="T3587" t="s">
        <v>365</v>
      </c>
      <c r="U3587" t="str">
        <f t="shared" ref="U3587:U3650" si="817">TRIM(PROPER(T3587))</f>
        <v>Hurley St</v>
      </c>
      <c r="V3587" t="s">
        <v>379</v>
      </c>
      <c r="W3587" t="str">
        <f t="shared" ref="W3587:W3650" si="818">TRIM(PROPER(V3587))</f>
        <v>Second St</v>
      </c>
      <c r="X3587" t="str">
        <f>IF(ISBLANK(S3587),"Intersection","Non-Intersection")</f>
        <v>Intersection</v>
      </c>
      <c r="Y3587" t="s">
        <v>2653</v>
      </c>
      <c r="Z3587" t="str">
        <f t="shared" ref="Z3587:Z3650" si="819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06"/>
        <v>40909</v>
      </c>
      <c r="D3588" s="4">
        <f t="shared" si="807"/>
        <v>0.32240437158469948</v>
      </c>
      <c r="E3588" s="3">
        <f t="shared" si="808"/>
        <v>2012</v>
      </c>
      <c r="F3588" s="3">
        <f t="shared" si="809"/>
        <v>4</v>
      </c>
      <c r="G3588" s="3">
        <f t="shared" si="810"/>
        <v>28</v>
      </c>
      <c r="H3588" s="3">
        <f t="shared" si="811"/>
        <v>15</v>
      </c>
      <c r="I3588" s="3">
        <f t="shared" si="812"/>
        <v>14</v>
      </c>
      <c r="J3588" s="3">
        <f t="shared" si="813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14"/>
        <v>YES</v>
      </c>
      <c r="Q3588" t="str">
        <f t="shared" si="815"/>
        <v>NO</v>
      </c>
      <c r="R3588" t="str">
        <f t="shared" si="816"/>
        <v>NO</v>
      </c>
      <c r="S3588">
        <v>1440</v>
      </c>
      <c r="T3588" t="s">
        <v>14</v>
      </c>
      <c r="U3588" t="str">
        <f t="shared" si="817"/>
        <v>Massachusetts Ave</v>
      </c>
      <c r="W3588" t="str">
        <f t="shared" si="818"/>
        <v/>
      </c>
      <c r="X3588" t="str">
        <f>IF(ISBLANK(S3588),"Intersection","Non-Intersection")</f>
        <v>Non-Intersection</v>
      </c>
      <c r="Y3588" t="s">
        <v>4447</v>
      </c>
      <c r="Z3588" t="str">
        <f t="shared" si="819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06"/>
        <v>40909</v>
      </c>
      <c r="D3589" s="4">
        <f t="shared" si="807"/>
        <v>0.32240437158469948</v>
      </c>
      <c r="E3589" s="3">
        <f t="shared" si="808"/>
        <v>2012</v>
      </c>
      <c r="F3589" s="3">
        <f t="shared" si="809"/>
        <v>4</v>
      </c>
      <c r="G3589" s="3">
        <f t="shared" si="810"/>
        <v>28</v>
      </c>
      <c r="H3589" s="3">
        <f t="shared" si="811"/>
        <v>15</v>
      </c>
      <c r="I3589" s="3">
        <f t="shared" si="812"/>
        <v>18</v>
      </c>
      <c r="J3589" s="3">
        <f t="shared" si="813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14"/>
        <v>YES</v>
      </c>
      <c r="Q3589" t="str">
        <f t="shared" si="815"/>
        <v>NO</v>
      </c>
      <c r="R3589" t="str">
        <f t="shared" si="816"/>
        <v>NO</v>
      </c>
      <c r="S3589" s="2">
        <v>42039</v>
      </c>
      <c r="T3589" t="s">
        <v>105</v>
      </c>
      <c r="U3589" t="str">
        <f t="shared" si="817"/>
        <v>Broadway</v>
      </c>
      <c r="W3589" t="str">
        <f t="shared" si="818"/>
        <v/>
      </c>
      <c r="X3589" t="str">
        <f>IF(ISBLANK(S3589),"Intersection","Non-Intersection")</f>
        <v>Non-Intersection</v>
      </c>
      <c r="Y3589" t="s">
        <v>4449</v>
      </c>
      <c r="Z3589" t="str">
        <f t="shared" si="819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06"/>
        <v>40909</v>
      </c>
      <c r="D3590" s="4">
        <f t="shared" si="807"/>
        <v>0.32240437158469948</v>
      </c>
      <c r="E3590" s="3">
        <f t="shared" si="808"/>
        <v>2012</v>
      </c>
      <c r="F3590" s="3">
        <f t="shared" si="809"/>
        <v>4</v>
      </c>
      <c r="G3590" s="3">
        <f t="shared" si="810"/>
        <v>28</v>
      </c>
      <c r="H3590" s="3">
        <f t="shared" si="811"/>
        <v>18</v>
      </c>
      <c r="I3590" s="3">
        <f t="shared" si="812"/>
        <v>59</v>
      </c>
      <c r="J3590" s="3">
        <f t="shared" si="813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14"/>
        <v>YES</v>
      </c>
      <c r="Q3590" t="str">
        <f t="shared" si="815"/>
        <v>NO</v>
      </c>
      <c r="R3590" t="str">
        <f t="shared" si="816"/>
        <v>NO</v>
      </c>
      <c r="S3590">
        <v>93</v>
      </c>
      <c r="T3590" t="s">
        <v>50</v>
      </c>
      <c r="U3590" t="str">
        <f t="shared" si="817"/>
        <v>Belmont St</v>
      </c>
      <c r="W3590" t="str">
        <f t="shared" si="818"/>
        <v/>
      </c>
      <c r="X3590" t="str">
        <f>IF(ISBLANK(S3590),"Intersection","Non-Intersection")</f>
        <v>Non-Intersection</v>
      </c>
      <c r="Y3590" t="s">
        <v>4451</v>
      </c>
      <c r="Z3590" t="str">
        <f t="shared" si="819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06"/>
        <v>40909</v>
      </c>
      <c r="D3591" s="4">
        <f t="shared" si="807"/>
        <v>0.32240437158469948</v>
      </c>
      <c r="E3591" s="3">
        <f t="shared" si="808"/>
        <v>2012</v>
      </c>
      <c r="F3591" s="3">
        <f t="shared" si="809"/>
        <v>4</v>
      </c>
      <c r="G3591" s="3">
        <f t="shared" si="810"/>
        <v>28</v>
      </c>
      <c r="H3591" s="3">
        <f t="shared" si="811"/>
        <v>20</v>
      </c>
      <c r="I3591" s="3">
        <f t="shared" si="812"/>
        <v>0</v>
      </c>
      <c r="J3591" s="3">
        <f t="shared" si="813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14"/>
        <v>YES</v>
      </c>
      <c r="Q3591" t="str">
        <f t="shared" si="815"/>
        <v>NO</v>
      </c>
      <c r="R3591" t="str">
        <f t="shared" si="816"/>
        <v>NO</v>
      </c>
      <c r="T3591" t="s">
        <v>1062</v>
      </c>
      <c r="U3591" t="str">
        <f t="shared" si="817"/>
        <v>Cambridgeside Pl</v>
      </c>
      <c r="W3591" t="str">
        <f t="shared" si="818"/>
        <v/>
      </c>
      <c r="X3591" t="str">
        <f>IF(ISBLANK(S3591),"Intersection","Non-Intersection")</f>
        <v>Intersection</v>
      </c>
      <c r="Y3591" t="s">
        <v>1283</v>
      </c>
      <c r="Z3591" t="str">
        <f t="shared" si="819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06"/>
        <v>40909</v>
      </c>
      <c r="D3592" s="4">
        <f t="shared" si="807"/>
        <v>0.32240437158469948</v>
      </c>
      <c r="E3592" s="3">
        <f t="shared" si="808"/>
        <v>2012</v>
      </c>
      <c r="F3592" s="3">
        <f t="shared" si="809"/>
        <v>4</v>
      </c>
      <c r="G3592" s="3">
        <f t="shared" si="810"/>
        <v>28</v>
      </c>
      <c r="H3592" s="3">
        <f t="shared" si="811"/>
        <v>12</v>
      </c>
      <c r="I3592" s="3">
        <f t="shared" si="812"/>
        <v>0</v>
      </c>
      <c r="J3592" s="3">
        <f t="shared" si="813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14"/>
        <v>YES</v>
      </c>
      <c r="Q3592" t="str">
        <f t="shared" si="815"/>
        <v>NO</v>
      </c>
      <c r="R3592" t="str">
        <f t="shared" si="816"/>
        <v>NO</v>
      </c>
      <c r="T3592" t="s">
        <v>269</v>
      </c>
      <c r="U3592" t="str">
        <f t="shared" si="817"/>
        <v>Porter Sq</v>
      </c>
      <c r="W3592" t="str">
        <f t="shared" si="818"/>
        <v/>
      </c>
      <c r="X3592" t="str">
        <f>IF(ISBLANK(S3592),"Intersection","Non-Intersection")</f>
        <v>Intersection</v>
      </c>
      <c r="Y3592" t="s">
        <v>923</v>
      </c>
      <c r="Z3592" t="str">
        <f t="shared" si="819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06"/>
        <v>40909</v>
      </c>
      <c r="D3593" s="4">
        <f t="shared" si="807"/>
        <v>0.3251366120218579</v>
      </c>
      <c r="E3593" s="3">
        <f t="shared" si="808"/>
        <v>2012</v>
      </c>
      <c r="F3593" s="3">
        <f t="shared" si="809"/>
        <v>4</v>
      </c>
      <c r="G3593" s="3">
        <f t="shared" si="810"/>
        <v>29</v>
      </c>
      <c r="H3593" s="3">
        <f t="shared" si="811"/>
        <v>2</v>
      </c>
      <c r="I3593" s="3">
        <f t="shared" si="812"/>
        <v>22</v>
      </c>
      <c r="J3593" s="3">
        <f t="shared" si="813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14"/>
        <v>YES</v>
      </c>
      <c r="Q3593" t="str">
        <f t="shared" si="815"/>
        <v>NO</v>
      </c>
      <c r="R3593" t="str">
        <f t="shared" si="816"/>
        <v>NO</v>
      </c>
      <c r="S3593">
        <v>2535</v>
      </c>
      <c r="T3593" t="s">
        <v>14</v>
      </c>
      <c r="U3593" t="str">
        <f t="shared" si="817"/>
        <v>Massachusetts Ave</v>
      </c>
      <c r="W3593" t="str">
        <f t="shared" si="818"/>
        <v/>
      </c>
      <c r="X3593" t="str">
        <f>IF(ISBLANK(S3593),"Intersection","Non-Intersection")</f>
        <v>Non-Intersection</v>
      </c>
      <c r="Y3593" t="s">
        <v>3157</v>
      </c>
      <c r="Z3593" t="str">
        <f t="shared" si="819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06"/>
        <v>40909</v>
      </c>
      <c r="D3594" s="4">
        <f t="shared" si="807"/>
        <v>0.3251366120218579</v>
      </c>
      <c r="E3594" s="3">
        <f t="shared" si="808"/>
        <v>2012</v>
      </c>
      <c r="F3594" s="3">
        <f t="shared" si="809"/>
        <v>4</v>
      </c>
      <c r="G3594" s="3">
        <f t="shared" si="810"/>
        <v>29</v>
      </c>
      <c r="H3594" s="3">
        <f t="shared" si="811"/>
        <v>10</v>
      </c>
      <c r="I3594" s="3">
        <f t="shared" si="812"/>
        <v>14</v>
      </c>
      <c r="J3594" s="3">
        <f t="shared" si="813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14"/>
        <v>YES</v>
      </c>
      <c r="Q3594" t="str">
        <f t="shared" si="815"/>
        <v>YES</v>
      </c>
      <c r="R3594" t="str">
        <f t="shared" si="816"/>
        <v>NO</v>
      </c>
      <c r="T3594" t="s">
        <v>19</v>
      </c>
      <c r="U3594" t="str">
        <f t="shared" si="817"/>
        <v>Cambridge St</v>
      </c>
      <c r="V3594" t="s">
        <v>2609</v>
      </c>
      <c r="W3594" t="str">
        <f t="shared" si="818"/>
        <v>Parker St</v>
      </c>
      <c r="X3594" t="str">
        <f>IF(ISBLANK(S3594),"Intersection","Non-Intersection")</f>
        <v>Intersection</v>
      </c>
      <c r="Y3594" t="s">
        <v>4453</v>
      </c>
      <c r="Z3594" t="str">
        <f t="shared" si="819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06"/>
        <v>40909</v>
      </c>
      <c r="D3595" s="4">
        <f t="shared" si="807"/>
        <v>0.32786885245901637</v>
      </c>
      <c r="E3595" s="3">
        <f t="shared" si="808"/>
        <v>2012</v>
      </c>
      <c r="F3595" s="3">
        <f t="shared" si="809"/>
        <v>4</v>
      </c>
      <c r="G3595" s="3">
        <f t="shared" si="810"/>
        <v>30</v>
      </c>
      <c r="H3595" s="3">
        <f t="shared" si="811"/>
        <v>8</v>
      </c>
      <c r="I3595" s="3">
        <f t="shared" si="812"/>
        <v>29</v>
      </c>
      <c r="J3595" s="3">
        <f t="shared" si="813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14"/>
        <v>YES</v>
      </c>
      <c r="Q3595" t="str">
        <f t="shared" si="815"/>
        <v>NO</v>
      </c>
      <c r="R3595" t="str">
        <f t="shared" si="816"/>
        <v>NO</v>
      </c>
      <c r="S3595">
        <v>25</v>
      </c>
      <c r="T3595" t="s">
        <v>3487</v>
      </c>
      <c r="U3595" t="str">
        <f t="shared" si="817"/>
        <v>Eighth St</v>
      </c>
      <c r="W3595" t="str">
        <f t="shared" si="818"/>
        <v/>
      </c>
      <c r="X3595" t="str">
        <f>IF(ISBLANK(S3595),"Intersection","Non-Intersection")</f>
        <v>Non-Intersection</v>
      </c>
      <c r="Y3595" t="s">
        <v>3488</v>
      </c>
      <c r="Z3595" t="str">
        <f t="shared" si="819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06"/>
        <v>40909</v>
      </c>
      <c r="D3596" s="4">
        <f t="shared" si="807"/>
        <v>0.33060109289617484</v>
      </c>
      <c r="E3596" s="3">
        <f t="shared" si="808"/>
        <v>2012</v>
      </c>
      <c r="F3596" s="3">
        <f t="shared" si="809"/>
        <v>5</v>
      </c>
      <c r="G3596" s="3">
        <f t="shared" si="810"/>
        <v>1</v>
      </c>
      <c r="H3596" s="3">
        <f t="shared" si="811"/>
        <v>12</v>
      </c>
      <c r="I3596" s="3">
        <f t="shared" si="812"/>
        <v>20</v>
      </c>
      <c r="J3596" s="3">
        <f t="shared" si="813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14"/>
        <v>YES</v>
      </c>
      <c r="Q3596" t="str">
        <f t="shared" si="815"/>
        <v>NO</v>
      </c>
      <c r="R3596" t="str">
        <f t="shared" si="816"/>
        <v>NO</v>
      </c>
      <c r="T3596" t="s">
        <v>14</v>
      </c>
      <c r="U3596" t="str">
        <f t="shared" si="817"/>
        <v>Massachusetts Ave</v>
      </c>
      <c r="V3596" t="s">
        <v>104</v>
      </c>
      <c r="W3596" t="str">
        <f t="shared" si="818"/>
        <v>Inman St</v>
      </c>
      <c r="X3596" t="str">
        <f>IF(ISBLANK(S3596),"Intersection","Non-Intersection")</f>
        <v>Intersection</v>
      </c>
      <c r="Y3596" t="s">
        <v>1129</v>
      </c>
      <c r="Z3596" t="str">
        <f t="shared" si="819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06"/>
        <v>40909</v>
      </c>
      <c r="D3597" s="4">
        <f t="shared" si="807"/>
        <v>0.33060109289617484</v>
      </c>
      <c r="E3597" s="3">
        <f t="shared" si="808"/>
        <v>2012</v>
      </c>
      <c r="F3597" s="3">
        <f t="shared" si="809"/>
        <v>5</v>
      </c>
      <c r="G3597" s="3">
        <f t="shared" si="810"/>
        <v>1</v>
      </c>
      <c r="H3597" s="3">
        <f t="shared" si="811"/>
        <v>17</v>
      </c>
      <c r="I3597" s="3">
        <f t="shared" si="812"/>
        <v>29</v>
      </c>
      <c r="J3597" s="3">
        <f t="shared" si="813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14"/>
        <v>NO</v>
      </c>
      <c r="Q3597" t="str">
        <f t="shared" si="815"/>
        <v>NO</v>
      </c>
      <c r="R3597" t="str">
        <f t="shared" si="816"/>
        <v>NO</v>
      </c>
      <c r="T3597" t="s">
        <v>296</v>
      </c>
      <c r="U3597" t="str">
        <f t="shared" si="817"/>
        <v>Mason St</v>
      </c>
      <c r="V3597" t="s">
        <v>399</v>
      </c>
      <c r="W3597" t="str">
        <f t="shared" si="818"/>
        <v>Phillips Pl</v>
      </c>
      <c r="X3597" t="str">
        <f>IF(ISBLANK(S3597),"Intersection","Non-Intersection")</f>
        <v>Intersection</v>
      </c>
      <c r="Y3597" t="s">
        <v>400</v>
      </c>
      <c r="Z3597" t="str">
        <f t="shared" si="819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06"/>
        <v>40909</v>
      </c>
      <c r="D3598" s="4">
        <f t="shared" si="807"/>
        <v>0.33060109289617484</v>
      </c>
      <c r="E3598" s="3">
        <f t="shared" si="808"/>
        <v>2012</v>
      </c>
      <c r="F3598" s="3">
        <f t="shared" si="809"/>
        <v>5</v>
      </c>
      <c r="G3598" s="3">
        <f t="shared" si="810"/>
        <v>1</v>
      </c>
      <c r="H3598" s="3">
        <f t="shared" si="811"/>
        <v>8</v>
      </c>
      <c r="I3598" s="3">
        <f t="shared" si="812"/>
        <v>57</v>
      </c>
      <c r="J3598" s="3">
        <f t="shared" si="813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14"/>
        <v>YES</v>
      </c>
      <c r="Q3598" t="str">
        <f t="shared" si="815"/>
        <v>NO</v>
      </c>
      <c r="R3598" t="str">
        <f t="shared" si="816"/>
        <v>NO</v>
      </c>
      <c r="S3598">
        <v>33</v>
      </c>
      <c r="T3598" t="s">
        <v>4454</v>
      </c>
      <c r="U3598" t="str">
        <f t="shared" si="817"/>
        <v>St Sauveur Ct</v>
      </c>
      <c r="W3598" t="str">
        <f t="shared" si="818"/>
        <v/>
      </c>
      <c r="X3598" t="str">
        <f>IF(ISBLANK(S3598),"Intersection","Non-Intersection")</f>
        <v>Non-Intersection</v>
      </c>
      <c r="Y3598" t="s">
        <v>4455</v>
      </c>
      <c r="Z3598" t="str">
        <f t="shared" si="819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06"/>
        <v>40909</v>
      </c>
      <c r="D3599" s="4">
        <f t="shared" si="807"/>
        <v>0.33333333333333331</v>
      </c>
      <c r="E3599" s="3">
        <f t="shared" si="808"/>
        <v>2012</v>
      </c>
      <c r="F3599" s="3">
        <f t="shared" si="809"/>
        <v>5</v>
      </c>
      <c r="G3599" s="3">
        <f t="shared" si="810"/>
        <v>2</v>
      </c>
      <c r="H3599" s="3">
        <f t="shared" si="811"/>
        <v>7</v>
      </c>
      <c r="I3599" s="3">
        <f t="shared" si="812"/>
        <v>50</v>
      </c>
      <c r="J3599" s="3">
        <f t="shared" si="813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14"/>
        <v>YES</v>
      </c>
      <c r="Q3599" t="str">
        <f t="shared" si="815"/>
        <v>NO</v>
      </c>
      <c r="R3599" t="str">
        <f t="shared" si="816"/>
        <v>NO</v>
      </c>
      <c r="T3599" t="s">
        <v>14</v>
      </c>
      <c r="U3599" t="str">
        <f t="shared" si="817"/>
        <v>Massachusetts Ave</v>
      </c>
      <c r="V3599" t="s">
        <v>1492</v>
      </c>
      <c r="W3599" t="str">
        <f t="shared" si="818"/>
        <v>Exeter Park</v>
      </c>
      <c r="X3599" t="str">
        <f>IF(ISBLANK(S3599),"Intersection","Non-Intersection")</f>
        <v>Intersection</v>
      </c>
      <c r="Y3599" t="s">
        <v>1493</v>
      </c>
      <c r="Z3599" t="str">
        <f t="shared" si="819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06"/>
        <v>40909</v>
      </c>
      <c r="D3600" s="4">
        <f t="shared" si="807"/>
        <v>0.33333333333333331</v>
      </c>
      <c r="E3600" s="3">
        <f t="shared" si="808"/>
        <v>2012</v>
      </c>
      <c r="F3600" s="3">
        <f t="shared" si="809"/>
        <v>5</v>
      </c>
      <c r="G3600" s="3">
        <f t="shared" si="810"/>
        <v>2</v>
      </c>
      <c r="H3600" s="3">
        <f t="shared" si="811"/>
        <v>21</v>
      </c>
      <c r="I3600" s="3">
        <f t="shared" si="812"/>
        <v>40</v>
      </c>
      <c r="J3600" s="3">
        <f t="shared" si="813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14"/>
        <v>YES</v>
      </c>
      <c r="Q3600" t="str">
        <f t="shared" si="815"/>
        <v>NO</v>
      </c>
      <c r="R3600" t="str">
        <f t="shared" si="816"/>
        <v>NO</v>
      </c>
      <c r="T3600" t="s">
        <v>14</v>
      </c>
      <c r="U3600" t="str">
        <f t="shared" si="817"/>
        <v>Massachusetts Ave</v>
      </c>
      <c r="V3600" t="s">
        <v>501</v>
      </c>
      <c r="W3600" t="str">
        <f t="shared" si="818"/>
        <v>Garfield St</v>
      </c>
      <c r="X3600" t="str">
        <f>IF(ISBLANK(S3600),"Intersection","Non-Intersection")</f>
        <v>Intersection</v>
      </c>
      <c r="Y3600" t="s">
        <v>2128</v>
      </c>
      <c r="Z3600" t="str">
        <f t="shared" si="819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06"/>
        <v>40909</v>
      </c>
      <c r="D3601" s="4">
        <f t="shared" si="807"/>
        <v>0.33333333333333331</v>
      </c>
      <c r="E3601" s="3">
        <f t="shared" si="808"/>
        <v>2012</v>
      </c>
      <c r="F3601" s="3">
        <f t="shared" si="809"/>
        <v>5</v>
      </c>
      <c r="G3601" s="3">
        <f t="shared" si="810"/>
        <v>2</v>
      </c>
      <c r="H3601" s="3">
        <f t="shared" si="811"/>
        <v>10</v>
      </c>
      <c r="I3601" s="3">
        <f t="shared" si="812"/>
        <v>22</v>
      </c>
      <c r="J3601" s="3">
        <f t="shared" si="813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14"/>
        <v>YES</v>
      </c>
      <c r="Q3601" t="str">
        <f t="shared" si="815"/>
        <v>NO</v>
      </c>
      <c r="R3601" t="str">
        <f t="shared" si="816"/>
        <v>NO</v>
      </c>
      <c r="T3601" t="s">
        <v>238</v>
      </c>
      <c r="U3601" t="str">
        <f t="shared" si="817"/>
        <v>Kirkland St</v>
      </c>
      <c r="V3601" t="s">
        <v>166</v>
      </c>
      <c r="W3601" t="str">
        <f t="shared" si="818"/>
        <v>Oxford Ave</v>
      </c>
      <c r="X3601" t="str">
        <f>IF(ISBLANK(S3601),"Intersection","Non-Intersection")</f>
        <v>Intersection</v>
      </c>
      <c r="Y3601" t="s">
        <v>4457</v>
      </c>
      <c r="Z3601" t="str">
        <f t="shared" si="819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06"/>
        <v>40909</v>
      </c>
      <c r="D3602" s="4">
        <f t="shared" si="807"/>
        <v>0.33606557377049179</v>
      </c>
      <c r="E3602" s="3">
        <f t="shared" si="808"/>
        <v>2012</v>
      </c>
      <c r="F3602" s="3">
        <f t="shared" si="809"/>
        <v>5</v>
      </c>
      <c r="G3602" s="3">
        <f t="shared" si="810"/>
        <v>3</v>
      </c>
      <c r="H3602" s="3">
        <f t="shared" si="811"/>
        <v>22</v>
      </c>
      <c r="I3602" s="3">
        <f t="shared" si="812"/>
        <v>44</v>
      </c>
      <c r="J3602" s="3">
        <f t="shared" si="813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14"/>
        <v>YES</v>
      </c>
      <c r="Q3602" t="str">
        <f t="shared" si="815"/>
        <v>NO</v>
      </c>
      <c r="R3602" t="str">
        <f t="shared" si="816"/>
        <v>NO</v>
      </c>
      <c r="S3602">
        <v>1643</v>
      </c>
      <c r="T3602" t="s">
        <v>19</v>
      </c>
      <c r="U3602" t="str">
        <f t="shared" si="817"/>
        <v>Cambridge St</v>
      </c>
      <c r="W3602" t="str">
        <f t="shared" si="818"/>
        <v/>
      </c>
      <c r="X3602" t="str">
        <f>IF(ISBLANK(S3602),"Intersection","Non-Intersection")</f>
        <v>Non-Intersection</v>
      </c>
      <c r="Y3602" t="s">
        <v>4459</v>
      </c>
      <c r="Z3602" t="str">
        <f t="shared" si="819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06"/>
        <v>40909</v>
      </c>
      <c r="D3603" s="4">
        <f t="shared" si="807"/>
        <v>0.33606557377049179</v>
      </c>
      <c r="E3603" s="3">
        <f t="shared" si="808"/>
        <v>2012</v>
      </c>
      <c r="F3603" s="3">
        <f t="shared" si="809"/>
        <v>5</v>
      </c>
      <c r="G3603" s="3">
        <f t="shared" si="810"/>
        <v>3</v>
      </c>
      <c r="H3603" s="3">
        <f t="shared" si="811"/>
        <v>18</v>
      </c>
      <c r="I3603" s="3">
        <f t="shared" si="812"/>
        <v>0</v>
      </c>
      <c r="J3603" s="3">
        <f t="shared" si="813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14"/>
        <v>YES</v>
      </c>
      <c r="Q3603" t="str">
        <f t="shared" si="815"/>
        <v>NO</v>
      </c>
      <c r="R3603" t="str">
        <f t="shared" si="816"/>
        <v>NO</v>
      </c>
      <c r="S3603">
        <v>33</v>
      </c>
      <c r="T3603" t="s">
        <v>186</v>
      </c>
      <c r="U3603" t="str">
        <f t="shared" si="817"/>
        <v>Concord Ave</v>
      </c>
      <c r="W3603" t="str">
        <f t="shared" si="818"/>
        <v/>
      </c>
      <c r="X3603" t="str">
        <f>IF(ISBLANK(S3603),"Intersection","Non-Intersection")</f>
        <v>Non-Intersection</v>
      </c>
      <c r="Y3603" t="s">
        <v>4461</v>
      </c>
      <c r="Z3603" t="str">
        <f t="shared" si="819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20">EOMONTH(B3604,MONTH(B3604)*-1)+1</f>
        <v>40909</v>
      </c>
      <c r="D3604" s="4">
        <f t="shared" ref="D3604:D3664" si="821">YEARFRAC(C3604,B3604,1)</f>
        <v>0.33606557377049179</v>
      </c>
      <c r="E3604" s="3">
        <f t="shared" ref="E3604:E3664" si="822">YEAR(B3604)</f>
        <v>2012</v>
      </c>
      <c r="F3604" s="3">
        <f t="shared" ref="F3604:F3664" si="823">MONTH(B3604)</f>
        <v>5</v>
      </c>
      <c r="G3604" s="3">
        <f t="shared" ref="G3604:G3664" si="824">DAY(B3604)</f>
        <v>3</v>
      </c>
      <c r="H3604" s="3">
        <f t="shared" ref="H3604:H3664" si="825">HOUR(B3604)</f>
        <v>18</v>
      </c>
      <c r="I3604" s="3">
        <f t="shared" ref="I3604:I3664" si="826">MINUTE(B3604)</f>
        <v>59</v>
      </c>
      <c r="J3604" s="3">
        <f t="shared" ref="J3604:J3664" si="827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28">IF(OR(N3604="Auto",O3604="Auto"),"YES",IF(OR(N3604="Taxi",O3604="Taxi"),"YES",IF(OR(N3604="Van",O3604="Van"),"YES",IF(OR(N3604="Truck",O3604="Truck"),"YES","NO"))))</f>
        <v>YES</v>
      </c>
      <c r="Q3604" t="str">
        <f t="shared" ref="Q3604:Q3664" si="829">IF(OR(N3604="Bicycle",O3604="Bicycle"),"YES","NO")</f>
        <v>NO</v>
      </c>
      <c r="R3604" t="str">
        <f t="shared" ref="R3604:R3664" si="830">IF(OR(N3604="Pedestrian",O3604="Pedestrian"),"YES","NO")</f>
        <v>NO</v>
      </c>
      <c r="S3604">
        <v>10</v>
      </c>
      <c r="T3604" t="s">
        <v>185</v>
      </c>
      <c r="U3604" t="str">
        <f t="shared" si="817"/>
        <v>Garden St</v>
      </c>
      <c r="W3604" t="str">
        <f t="shared" si="818"/>
        <v/>
      </c>
      <c r="X3604" t="str">
        <f>IF(ISBLANK(S3604),"Intersection","Non-Intersection")</f>
        <v>Non-Intersection</v>
      </c>
      <c r="Y3604" t="s">
        <v>4463</v>
      </c>
      <c r="Z3604" t="str">
        <f t="shared" si="819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20"/>
        <v>40909</v>
      </c>
      <c r="D3605" s="4">
        <f t="shared" si="821"/>
        <v>0.33606557377049179</v>
      </c>
      <c r="E3605" s="3">
        <f t="shared" si="822"/>
        <v>2012</v>
      </c>
      <c r="F3605" s="3">
        <f t="shared" si="823"/>
        <v>5</v>
      </c>
      <c r="G3605" s="3">
        <f t="shared" si="824"/>
        <v>3</v>
      </c>
      <c r="H3605" s="3">
        <f t="shared" si="825"/>
        <v>7</v>
      </c>
      <c r="I3605" s="3">
        <f t="shared" si="826"/>
        <v>44</v>
      </c>
      <c r="J3605" s="3">
        <f t="shared" si="827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28"/>
        <v>YES</v>
      </c>
      <c r="Q3605" t="str">
        <f t="shared" si="829"/>
        <v>NO</v>
      </c>
      <c r="R3605" t="str">
        <f t="shared" si="830"/>
        <v>YES</v>
      </c>
      <c r="T3605" t="s">
        <v>326</v>
      </c>
      <c r="U3605" t="str">
        <f t="shared" si="817"/>
        <v>Jfk St</v>
      </c>
      <c r="V3605" t="s">
        <v>198</v>
      </c>
      <c r="W3605" t="str">
        <f t="shared" si="818"/>
        <v>Mount Auburn St</v>
      </c>
      <c r="X3605" t="str">
        <f>IF(ISBLANK(S3605),"Intersection","Non-Intersection")</f>
        <v>Intersection</v>
      </c>
      <c r="Y3605" t="s">
        <v>385</v>
      </c>
      <c r="Z3605" t="str">
        <f t="shared" si="819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20"/>
        <v>40909</v>
      </c>
      <c r="D3606" s="4">
        <f t="shared" si="821"/>
        <v>0.33606557377049179</v>
      </c>
      <c r="E3606" s="3">
        <f t="shared" si="822"/>
        <v>2012</v>
      </c>
      <c r="F3606" s="3">
        <f t="shared" si="823"/>
        <v>5</v>
      </c>
      <c r="G3606" s="3">
        <f t="shared" si="824"/>
        <v>3</v>
      </c>
      <c r="H3606" s="3">
        <f t="shared" si="825"/>
        <v>10</v>
      </c>
      <c r="I3606" s="3">
        <f t="shared" si="826"/>
        <v>0</v>
      </c>
      <c r="J3606" s="3">
        <f t="shared" si="827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28"/>
        <v>YES</v>
      </c>
      <c r="Q3606" t="str">
        <f t="shared" si="829"/>
        <v>NO</v>
      </c>
      <c r="R3606" t="str">
        <f t="shared" si="830"/>
        <v>NO</v>
      </c>
      <c r="T3606" t="s">
        <v>14</v>
      </c>
      <c r="U3606" t="str">
        <f t="shared" si="817"/>
        <v>Massachusetts Ave</v>
      </c>
      <c r="V3606" t="s">
        <v>167</v>
      </c>
      <c r="W3606" t="str">
        <f t="shared" si="818"/>
        <v>Wendell St</v>
      </c>
      <c r="X3606" t="str">
        <f>IF(ISBLANK(S3606),"Intersection","Non-Intersection")</f>
        <v>Intersection</v>
      </c>
      <c r="Y3606" t="s">
        <v>817</v>
      </c>
      <c r="Z3606" t="str">
        <f t="shared" si="819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20"/>
        <v>40909</v>
      </c>
      <c r="D3607" s="4">
        <f t="shared" si="821"/>
        <v>0.33606557377049179</v>
      </c>
      <c r="E3607" s="3">
        <f t="shared" si="822"/>
        <v>2012</v>
      </c>
      <c r="F3607" s="3">
        <f t="shared" si="823"/>
        <v>5</v>
      </c>
      <c r="G3607" s="3">
        <f t="shared" si="824"/>
        <v>3</v>
      </c>
      <c r="H3607" s="3">
        <f t="shared" si="825"/>
        <v>17</v>
      </c>
      <c r="I3607" s="3">
        <f t="shared" si="826"/>
        <v>4</v>
      </c>
      <c r="J3607" s="3">
        <f t="shared" si="827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28"/>
        <v>YES</v>
      </c>
      <c r="Q3607" t="str">
        <f t="shared" si="829"/>
        <v>YES</v>
      </c>
      <c r="R3607" t="str">
        <f t="shared" si="830"/>
        <v>NO</v>
      </c>
      <c r="S3607">
        <v>1414</v>
      </c>
      <c r="T3607" t="s">
        <v>19</v>
      </c>
      <c r="U3607" t="str">
        <f t="shared" si="817"/>
        <v>Cambridge St</v>
      </c>
      <c r="W3607" t="str">
        <f t="shared" si="818"/>
        <v/>
      </c>
      <c r="X3607" t="str">
        <f>IF(ISBLANK(S3607),"Intersection","Non-Intersection")</f>
        <v>Non-Intersection</v>
      </c>
      <c r="Y3607" t="s">
        <v>4465</v>
      </c>
      <c r="Z3607" t="str">
        <f t="shared" si="819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20"/>
        <v>40909</v>
      </c>
      <c r="D3608" s="4">
        <f t="shared" si="821"/>
        <v>0.33606557377049179</v>
      </c>
      <c r="E3608" s="3">
        <f t="shared" si="822"/>
        <v>2012</v>
      </c>
      <c r="F3608" s="3">
        <f t="shared" si="823"/>
        <v>5</v>
      </c>
      <c r="G3608" s="3">
        <f t="shared" si="824"/>
        <v>3</v>
      </c>
      <c r="H3608" s="3">
        <f t="shared" si="825"/>
        <v>20</v>
      </c>
      <c r="I3608" s="3">
        <f t="shared" si="826"/>
        <v>42</v>
      </c>
      <c r="J3608" s="3">
        <f t="shared" si="827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28"/>
        <v>YES</v>
      </c>
      <c r="Q3608" t="str">
        <f t="shared" si="829"/>
        <v>NO</v>
      </c>
      <c r="R3608" t="str">
        <f t="shared" si="830"/>
        <v>NO</v>
      </c>
      <c r="S3608">
        <v>20</v>
      </c>
      <c r="T3608" t="s">
        <v>342</v>
      </c>
      <c r="U3608" t="str">
        <f t="shared" si="817"/>
        <v>Prospect St</v>
      </c>
      <c r="W3608" t="str">
        <f t="shared" si="818"/>
        <v/>
      </c>
      <c r="X3608" t="str">
        <f>IF(ISBLANK(S3608),"Intersection","Non-Intersection")</f>
        <v>Non-Intersection</v>
      </c>
      <c r="Y3608" t="s">
        <v>4467</v>
      </c>
      <c r="Z3608" t="str">
        <f t="shared" si="819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20"/>
        <v>40909</v>
      </c>
      <c r="D3609" s="4">
        <f t="shared" si="821"/>
        <v>0.33606557377049179</v>
      </c>
      <c r="E3609" s="3">
        <f t="shared" si="822"/>
        <v>2012</v>
      </c>
      <c r="F3609" s="3">
        <f t="shared" si="823"/>
        <v>5</v>
      </c>
      <c r="G3609" s="3">
        <f t="shared" si="824"/>
        <v>3</v>
      </c>
      <c r="H3609" s="3">
        <f t="shared" si="825"/>
        <v>22</v>
      </c>
      <c r="I3609" s="3">
        <f t="shared" si="826"/>
        <v>30</v>
      </c>
      <c r="J3609" s="3">
        <f t="shared" si="827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28"/>
        <v>YES</v>
      </c>
      <c r="Q3609" t="str">
        <f t="shared" si="829"/>
        <v>NO</v>
      </c>
      <c r="R3609" t="str">
        <f t="shared" si="830"/>
        <v>NO</v>
      </c>
      <c r="S3609">
        <v>70</v>
      </c>
      <c r="T3609" t="s">
        <v>15</v>
      </c>
      <c r="U3609" t="str">
        <f t="shared" si="817"/>
        <v>Rindge Ave</v>
      </c>
      <c r="W3609" t="str">
        <f t="shared" si="818"/>
        <v/>
      </c>
      <c r="X3609" t="str">
        <f>IF(ISBLANK(S3609),"Intersection","Non-Intersection")</f>
        <v>Non-Intersection</v>
      </c>
      <c r="Y3609" t="s">
        <v>4469</v>
      </c>
      <c r="Z3609" t="str">
        <f t="shared" si="819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20"/>
        <v>40909</v>
      </c>
      <c r="D3610" s="4">
        <f t="shared" si="821"/>
        <v>0.33606557377049179</v>
      </c>
      <c r="E3610" s="3">
        <f t="shared" si="822"/>
        <v>2012</v>
      </c>
      <c r="F3610" s="3">
        <f t="shared" si="823"/>
        <v>5</v>
      </c>
      <c r="G3610" s="3">
        <f t="shared" si="824"/>
        <v>3</v>
      </c>
      <c r="H3610" s="3">
        <f t="shared" si="825"/>
        <v>9</v>
      </c>
      <c r="I3610" s="3">
        <f t="shared" si="826"/>
        <v>47</v>
      </c>
      <c r="J3610" s="3">
        <f t="shared" si="827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28"/>
        <v>YES</v>
      </c>
      <c r="Q3610" t="str">
        <f t="shared" si="829"/>
        <v>NO</v>
      </c>
      <c r="R3610" t="str">
        <f t="shared" si="830"/>
        <v>NO</v>
      </c>
      <c r="S3610">
        <v>77</v>
      </c>
      <c r="T3610" t="s">
        <v>198</v>
      </c>
      <c r="U3610" t="str">
        <f t="shared" si="817"/>
        <v>Mount Auburn St</v>
      </c>
      <c r="W3610" t="str">
        <f t="shared" si="818"/>
        <v/>
      </c>
      <c r="X3610" t="str">
        <f>IF(ISBLANK(S3610),"Intersection","Non-Intersection")</f>
        <v>Non-Intersection</v>
      </c>
      <c r="Y3610" t="s">
        <v>4471</v>
      </c>
      <c r="Z3610" t="str">
        <f t="shared" si="819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20"/>
        <v>40909</v>
      </c>
      <c r="D3611" s="4">
        <f t="shared" si="821"/>
        <v>0.33879781420765026</v>
      </c>
      <c r="E3611" s="3">
        <f t="shared" si="822"/>
        <v>2012</v>
      </c>
      <c r="F3611" s="3">
        <f t="shared" si="823"/>
        <v>5</v>
      </c>
      <c r="G3611" s="3">
        <f t="shared" si="824"/>
        <v>4</v>
      </c>
      <c r="H3611" s="3">
        <f t="shared" si="825"/>
        <v>8</v>
      </c>
      <c r="I3611" s="3">
        <f t="shared" si="826"/>
        <v>19</v>
      </c>
      <c r="J3611" s="3">
        <f t="shared" si="827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28"/>
        <v>YES</v>
      </c>
      <c r="Q3611" t="str">
        <f t="shared" si="829"/>
        <v>NO</v>
      </c>
      <c r="R3611" t="str">
        <f t="shared" si="830"/>
        <v>NO</v>
      </c>
      <c r="T3611" t="s">
        <v>14</v>
      </c>
      <c r="U3611" t="str">
        <f t="shared" si="817"/>
        <v>Massachusetts Ave</v>
      </c>
      <c r="V3611" t="s">
        <v>70</v>
      </c>
      <c r="W3611" t="str">
        <f t="shared" si="818"/>
        <v>Pearl St</v>
      </c>
      <c r="X3611" t="str">
        <f>IF(ISBLANK(S3611),"Intersection","Non-Intersection")</f>
        <v>Intersection</v>
      </c>
      <c r="Y3611" t="s">
        <v>855</v>
      </c>
      <c r="Z3611" t="str">
        <f t="shared" si="819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20"/>
        <v>40909</v>
      </c>
      <c r="D3612" s="4">
        <f t="shared" si="821"/>
        <v>0.33879781420765026</v>
      </c>
      <c r="E3612" s="3">
        <f t="shared" si="822"/>
        <v>2012</v>
      </c>
      <c r="F3612" s="3">
        <f t="shared" si="823"/>
        <v>5</v>
      </c>
      <c r="G3612" s="3">
        <f t="shared" si="824"/>
        <v>4</v>
      </c>
      <c r="H3612" s="3">
        <f t="shared" si="825"/>
        <v>20</v>
      </c>
      <c r="I3612" s="3">
        <f t="shared" si="826"/>
        <v>10</v>
      </c>
      <c r="J3612" s="3">
        <f t="shared" si="827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28"/>
        <v>YES</v>
      </c>
      <c r="Q3612" t="str">
        <f t="shared" si="829"/>
        <v>NO</v>
      </c>
      <c r="R3612" t="str">
        <f t="shared" si="830"/>
        <v>NO</v>
      </c>
      <c r="T3612" t="s">
        <v>185</v>
      </c>
      <c r="U3612" t="str">
        <f t="shared" si="817"/>
        <v>Garden St</v>
      </c>
      <c r="V3612" t="s">
        <v>449</v>
      </c>
      <c r="W3612" t="str">
        <f t="shared" si="818"/>
        <v>Appian Way</v>
      </c>
      <c r="X3612" t="str">
        <f>IF(ISBLANK(S3612),"Intersection","Non-Intersection")</f>
        <v>Intersection</v>
      </c>
      <c r="Y3612" t="s">
        <v>729</v>
      </c>
      <c r="Z3612" t="str">
        <f t="shared" si="819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20"/>
        <v>40909</v>
      </c>
      <c r="D3613" s="4">
        <f t="shared" si="821"/>
        <v>0.33879781420765026</v>
      </c>
      <c r="E3613" s="3">
        <f t="shared" si="822"/>
        <v>2012</v>
      </c>
      <c r="F3613" s="3">
        <f t="shared" si="823"/>
        <v>5</v>
      </c>
      <c r="G3613" s="3">
        <f t="shared" si="824"/>
        <v>4</v>
      </c>
      <c r="H3613" s="3">
        <f t="shared" si="825"/>
        <v>9</v>
      </c>
      <c r="I3613" s="3">
        <f t="shared" si="826"/>
        <v>14</v>
      </c>
      <c r="J3613" s="3">
        <f t="shared" si="827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28"/>
        <v>YES</v>
      </c>
      <c r="Q3613" t="str">
        <f t="shared" si="829"/>
        <v>NO</v>
      </c>
      <c r="R3613" t="str">
        <f t="shared" si="830"/>
        <v>NO</v>
      </c>
      <c r="T3613" t="s">
        <v>142</v>
      </c>
      <c r="U3613" t="str">
        <f t="shared" si="817"/>
        <v>Huron Ave</v>
      </c>
      <c r="V3613" t="s">
        <v>186</v>
      </c>
      <c r="W3613" t="str">
        <f t="shared" si="818"/>
        <v>Concord Ave</v>
      </c>
      <c r="X3613" t="str">
        <f>IF(ISBLANK(S3613),"Intersection","Non-Intersection")</f>
        <v>Intersection</v>
      </c>
      <c r="Y3613" t="s">
        <v>3917</v>
      </c>
      <c r="Z3613" t="str">
        <f t="shared" si="819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20"/>
        <v>40909</v>
      </c>
      <c r="D3614" s="4">
        <f t="shared" si="821"/>
        <v>0.33879781420765026</v>
      </c>
      <c r="E3614" s="3">
        <f t="shared" si="822"/>
        <v>2012</v>
      </c>
      <c r="F3614" s="3">
        <f t="shared" si="823"/>
        <v>5</v>
      </c>
      <c r="G3614" s="3">
        <f t="shared" si="824"/>
        <v>4</v>
      </c>
      <c r="H3614" s="3">
        <f t="shared" si="825"/>
        <v>20</v>
      </c>
      <c r="I3614" s="3">
        <f t="shared" si="826"/>
        <v>0</v>
      </c>
      <c r="J3614" s="3">
        <f t="shared" si="827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28"/>
        <v>YES</v>
      </c>
      <c r="Q3614" t="str">
        <f t="shared" si="829"/>
        <v>NO</v>
      </c>
      <c r="R3614" t="str">
        <f t="shared" si="830"/>
        <v>NO</v>
      </c>
      <c r="T3614" t="s">
        <v>41</v>
      </c>
      <c r="U3614" t="str">
        <f t="shared" si="817"/>
        <v>River St</v>
      </c>
      <c r="V3614" t="s">
        <v>1119</v>
      </c>
      <c r="W3614" t="str">
        <f t="shared" si="818"/>
        <v>Cottage St</v>
      </c>
      <c r="X3614" t="str">
        <f>IF(ISBLANK(S3614),"Intersection","Non-Intersection")</f>
        <v>Intersection</v>
      </c>
      <c r="Y3614" t="s">
        <v>4475</v>
      </c>
      <c r="Z3614" t="str">
        <f t="shared" si="819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20"/>
        <v>40909</v>
      </c>
      <c r="D3615" s="4">
        <f t="shared" si="821"/>
        <v>0.34153005464480873</v>
      </c>
      <c r="E3615" s="3">
        <f t="shared" si="822"/>
        <v>2012</v>
      </c>
      <c r="F3615" s="3">
        <f t="shared" si="823"/>
        <v>5</v>
      </c>
      <c r="G3615" s="3">
        <f t="shared" si="824"/>
        <v>5</v>
      </c>
      <c r="H3615" s="3">
        <f t="shared" si="825"/>
        <v>7</v>
      </c>
      <c r="I3615" s="3">
        <f t="shared" si="826"/>
        <v>21</v>
      </c>
      <c r="J3615" s="3">
        <f t="shared" si="827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28"/>
        <v>YES</v>
      </c>
      <c r="Q3615" t="str">
        <f t="shared" si="829"/>
        <v>YES</v>
      </c>
      <c r="R3615" t="str">
        <f t="shared" si="830"/>
        <v>NO</v>
      </c>
      <c r="S3615">
        <v>98</v>
      </c>
      <c r="T3615" t="s">
        <v>74</v>
      </c>
      <c r="U3615" t="str">
        <f t="shared" si="817"/>
        <v>Hampshire St</v>
      </c>
      <c r="W3615" t="str">
        <f t="shared" si="818"/>
        <v/>
      </c>
      <c r="X3615" t="str">
        <f>IF(ISBLANK(S3615),"Intersection","Non-Intersection")</f>
        <v>Non-Intersection</v>
      </c>
      <c r="Y3615" t="s">
        <v>4476</v>
      </c>
      <c r="Z3615" t="str">
        <f t="shared" si="819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20"/>
        <v>40909</v>
      </c>
      <c r="D3616" s="4">
        <f t="shared" si="821"/>
        <v>0.34153005464480873</v>
      </c>
      <c r="E3616" s="3">
        <f t="shared" si="822"/>
        <v>2012</v>
      </c>
      <c r="F3616" s="3">
        <f t="shared" si="823"/>
        <v>5</v>
      </c>
      <c r="G3616" s="3">
        <f t="shared" si="824"/>
        <v>5</v>
      </c>
      <c r="H3616" s="3">
        <f t="shared" si="825"/>
        <v>11</v>
      </c>
      <c r="I3616" s="3">
        <f t="shared" si="826"/>
        <v>29</v>
      </c>
      <c r="J3616" s="3">
        <f t="shared" si="827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28"/>
        <v>YES</v>
      </c>
      <c r="Q3616" t="str">
        <f t="shared" si="829"/>
        <v>NO</v>
      </c>
      <c r="R3616" t="str">
        <f t="shared" si="830"/>
        <v>NO</v>
      </c>
      <c r="T3616" t="s">
        <v>101</v>
      </c>
      <c r="U3616" t="str">
        <f t="shared" si="817"/>
        <v>Columbia St</v>
      </c>
      <c r="V3616" t="s">
        <v>4196</v>
      </c>
      <c r="W3616" t="str">
        <f t="shared" si="818"/>
        <v>Harrington Ter</v>
      </c>
      <c r="X3616" t="str">
        <f>IF(ISBLANK(S3616),"Intersection","Non-Intersection")</f>
        <v>Intersection</v>
      </c>
      <c r="Y3616" t="s">
        <v>4478</v>
      </c>
      <c r="Z3616" t="str">
        <f t="shared" si="819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20"/>
        <v>40909</v>
      </c>
      <c r="D3617" s="4">
        <f t="shared" si="821"/>
        <v>0.34153005464480873</v>
      </c>
      <c r="E3617" s="3">
        <f t="shared" si="822"/>
        <v>2012</v>
      </c>
      <c r="F3617" s="3">
        <f t="shared" si="823"/>
        <v>5</v>
      </c>
      <c r="G3617" s="3">
        <f t="shared" si="824"/>
        <v>5</v>
      </c>
      <c r="H3617" s="3">
        <f t="shared" si="825"/>
        <v>13</v>
      </c>
      <c r="I3617" s="3">
        <f t="shared" si="826"/>
        <v>5</v>
      </c>
      <c r="J3617" s="3">
        <f t="shared" si="827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28"/>
        <v>YES</v>
      </c>
      <c r="Q3617" t="str">
        <f t="shared" si="829"/>
        <v>NO</v>
      </c>
      <c r="R3617" t="str">
        <f t="shared" si="830"/>
        <v>NO</v>
      </c>
      <c r="T3617" t="s">
        <v>185</v>
      </c>
      <c r="U3617" t="str">
        <f t="shared" si="817"/>
        <v>Garden St</v>
      </c>
      <c r="V3617" t="s">
        <v>449</v>
      </c>
      <c r="W3617" t="str">
        <f t="shared" si="818"/>
        <v>Appian Way</v>
      </c>
      <c r="X3617" t="str">
        <f>IF(ISBLANK(S3617),"Intersection","Non-Intersection")</f>
        <v>Intersection</v>
      </c>
      <c r="Y3617" t="s">
        <v>729</v>
      </c>
      <c r="Z3617" t="str">
        <f t="shared" si="819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20"/>
        <v>40909</v>
      </c>
      <c r="D3618" s="4">
        <f t="shared" si="821"/>
        <v>0.34153005464480873</v>
      </c>
      <c r="E3618" s="3">
        <f t="shared" si="822"/>
        <v>2012</v>
      </c>
      <c r="F3618" s="3">
        <f t="shared" si="823"/>
        <v>5</v>
      </c>
      <c r="G3618" s="3">
        <f t="shared" si="824"/>
        <v>5</v>
      </c>
      <c r="H3618" s="3">
        <f t="shared" si="825"/>
        <v>13</v>
      </c>
      <c r="I3618" s="3">
        <f t="shared" si="826"/>
        <v>25</v>
      </c>
      <c r="J3618" s="3">
        <f t="shared" si="827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28"/>
        <v>YES</v>
      </c>
      <c r="Q3618" t="str">
        <f t="shared" si="829"/>
        <v>NO</v>
      </c>
      <c r="R3618" t="str">
        <f t="shared" si="830"/>
        <v>NO</v>
      </c>
      <c r="T3618" t="s">
        <v>587</v>
      </c>
      <c r="U3618" t="str">
        <f t="shared" si="817"/>
        <v>Webster Ave</v>
      </c>
      <c r="V3618" t="s">
        <v>75</v>
      </c>
      <c r="W3618" t="str">
        <f t="shared" si="818"/>
        <v>Elm St</v>
      </c>
      <c r="X3618" t="str">
        <f>IF(ISBLANK(S3618),"Intersection","Non-Intersection")</f>
        <v>Intersection</v>
      </c>
      <c r="Y3618" t="s">
        <v>597</v>
      </c>
      <c r="Z3618" t="str">
        <f t="shared" si="819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20"/>
        <v>40909</v>
      </c>
      <c r="D3619" s="4">
        <f t="shared" si="821"/>
        <v>0.34153005464480873</v>
      </c>
      <c r="E3619" s="3">
        <f t="shared" si="822"/>
        <v>2012</v>
      </c>
      <c r="F3619" s="3">
        <f t="shared" si="823"/>
        <v>5</v>
      </c>
      <c r="G3619" s="3">
        <f t="shared" si="824"/>
        <v>5</v>
      </c>
      <c r="H3619" s="3">
        <f t="shared" si="825"/>
        <v>13</v>
      </c>
      <c r="I3619" s="3">
        <f t="shared" si="826"/>
        <v>54</v>
      </c>
      <c r="J3619" s="3">
        <f t="shared" si="827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28"/>
        <v>YES</v>
      </c>
      <c r="Q3619" t="str">
        <f t="shared" si="829"/>
        <v>NO</v>
      </c>
      <c r="R3619" t="str">
        <f t="shared" si="830"/>
        <v>YES</v>
      </c>
      <c r="S3619">
        <v>1878</v>
      </c>
      <c r="T3619" t="s">
        <v>14</v>
      </c>
      <c r="U3619" t="str">
        <f t="shared" si="817"/>
        <v>Massachusetts Ave</v>
      </c>
      <c r="W3619" t="str">
        <f t="shared" si="818"/>
        <v/>
      </c>
      <c r="X3619" t="str">
        <f>IF(ISBLANK(S3619),"Intersection","Non-Intersection")</f>
        <v>Non-Intersection</v>
      </c>
      <c r="Y3619" t="s">
        <v>4480</v>
      </c>
      <c r="Z3619" t="str">
        <f t="shared" si="819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20"/>
        <v>40909</v>
      </c>
      <c r="D3620" s="4">
        <f t="shared" si="821"/>
        <v>0.34153005464480873</v>
      </c>
      <c r="E3620" s="3">
        <f t="shared" si="822"/>
        <v>2012</v>
      </c>
      <c r="F3620" s="3">
        <f t="shared" si="823"/>
        <v>5</v>
      </c>
      <c r="G3620" s="3">
        <f t="shared" si="824"/>
        <v>5</v>
      </c>
      <c r="H3620" s="3">
        <f t="shared" si="825"/>
        <v>15</v>
      </c>
      <c r="I3620" s="3">
        <f t="shared" si="826"/>
        <v>4</v>
      </c>
      <c r="J3620" s="3">
        <f t="shared" si="827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28"/>
        <v>YES</v>
      </c>
      <c r="Q3620" t="str">
        <f t="shared" si="829"/>
        <v>YES</v>
      </c>
      <c r="R3620" t="str">
        <f t="shared" si="830"/>
        <v>NO</v>
      </c>
      <c r="T3620" t="s">
        <v>186</v>
      </c>
      <c r="U3620" t="str">
        <f t="shared" si="817"/>
        <v>Concord Ave</v>
      </c>
      <c r="V3620" t="s">
        <v>1320</v>
      </c>
      <c r="W3620" t="str">
        <f t="shared" si="818"/>
        <v>Craigie St</v>
      </c>
      <c r="X3620" t="str">
        <f>IF(ISBLANK(S3620),"Intersection","Non-Intersection")</f>
        <v>Intersection</v>
      </c>
      <c r="Y3620" t="s">
        <v>3289</v>
      </c>
      <c r="Z3620" t="str">
        <f t="shared" si="819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20"/>
        <v>40909</v>
      </c>
      <c r="D3621" s="4">
        <f t="shared" si="821"/>
        <v>0.34426229508196721</v>
      </c>
      <c r="E3621" s="3">
        <f t="shared" si="822"/>
        <v>2012</v>
      </c>
      <c r="F3621" s="3">
        <f t="shared" si="823"/>
        <v>5</v>
      </c>
      <c r="G3621" s="3">
        <f t="shared" si="824"/>
        <v>6</v>
      </c>
      <c r="H3621" s="3">
        <f t="shared" si="825"/>
        <v>14</v>
      </c>
      <c r="I3621" s="3">
        <f t="shared" si="826"/>
        <v>0</v>
      </c>
      <c r="J3621" s="3">
        <f t="shared" si="827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28"/>
        <v>YES</v>
      </c>
      <c r="Q3621" t="str">
        <f t="shared" si="829"/>
        <v>YES</v>
      </c>
      <c r="R3621" t="str">
        <f t="shared" si="830"/>
        <v>NO</v>
      </c>
      <c r="S3621">
        <v>44</v>
      </c>
      <c r="T3621" t="s">
        <v>326</v>
      </c>
      <c r="U3621" t="str">
        <f t="shared" si="817"/>
        <v>Jfk St</v>
      </c>
      <c r="V3621" t="s">
        <v>198</v>
      </c>
      <c r="W3621" t="str">
        <f t="shared" si="818"/>
        <v>Mount Auburn St</v>
      </c>
      <c r="X3621" t="str">
        <f>IF(ISBLANK(S3621),"Intersection","Non-Intersection")</f>
        <v>Non-Intersection</v>
      </c>
      <c r="Y3621" t="s">
        <v>4482</v>
      </c>
      <c r="Z3621" t="str">
        <f t="shared" si="819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20"/>
        <v>40909</v>
      </c>
      <c r="D3622" s="4">
        <f t="shared" si="821"/>
        <v>0.34426229508196721</v>
      </c>
      <c r="E3622" s="3">
        <f t="shared" si="822"/>
        <v>2012</v>
      </c>
      <c r="F3622" s="3">
        <f t="shared" si="823"/>
        <v>5</v>
      </c>
      <c r="G3622" s="3">
        <f t="shared" si="824"/>
        <v>6</v>
      </c>
      <c r="H3622" s="3">
        <f t="shared" si="825"/>
        <v>18</v>
      </c>
      <c r="I3622" s="3">
        <f t="shared" si="826"/>
        <v>0</v>
      </c>
      <c r="J3622" s="3">
        <f t="shared" si="827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28"/>
        <v>YES</v>
      </c>
      <c r="Q3622" t="str">
        <f t="shared" si="829"/>
        <v>NO</v>
      </c>
      <c r="R3622" t="str">
        <f t="shared" si="830"/>
        <v>NO</v>
      </c>
      <c r="S3622">
        <v>2600</v>
      </c>
      <c r="T3622" t="s">
        <v>14</v>
      </c>
      <c r="U3622" t="str">
        <f t="shared" si="817"/>
        <v>Massachusetts Ave</v>
      </c>
      <c r="W3622" t="str">
        <f t="shared" si="818"/>
        <v/>
      </c>
      <c r="X3622" t="str">
        <f>IF(ISBLANK(S3622),"Intersection","Non-Intersection")</f>
        <v>Non-Intersection</v>
      </c>
      <c r="Y3622" t="s">
        <v>4484</v>
      </c>
      <c r="Z3622" t="str">
        <f t="shared" si="819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20"/>
        <v>40909</v>
      </c>
      <c r="D3623" s="4">
        <f t="shared" si="821"/>
        <v>0.34426229508196721</v>
      </c>
      <c r="E3623" s="3">
        <f t="shared" si="822"/>
        <v>2012</v>
      </c>
      <c r="F3623" s="3">
        <f t="shared" si="823"/>
        <v>5</v>
      </c>
      <c r="G3623" s="3">
        <f t="shared" si="824"/>
        <v>6</v>
      </c>
      <c r="H3623" s="3">
        <f t="shared" si="825"/>
        <v>9</v>
      </c>
      <c r="I3623" s="3">
        <f t="shared" si="826"/>
        <v>36</v>
      </c>
      <c r="J3623" s="3">
        <f t="shared" si="827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28"/>
        <v>YES</v>
      </c>
      <c r="Q3623" t="str">
        <f t="shared" si="829"/>
        <v>NO</v>
      </c>
      <c r="R3623" t="str">
        <f t="shared" si="830"/>
        <v>NO</v>
      </c>
      <c r="T3623" t="s">
        <v>216</v>
      </c>
      <c r="U3623" t="str">
        <f t="shared" si="817"/>
        <v>Washington Ave</v>
      </c>
      <c r="V3623" t="s">
        <v>1189</v>
      </c>
      <c r="W3623" t="str">
        <f t="shared" si="818"/>
        <v>Pine St</v>
      </c>
      <c r="X3623" t="str">
        <f>IF(ISBLANK(S3623),"Intersection","Non-Intersection")</f>
        <v>Intersection</v>
      </c>
      <c r="Y3623" t="s">
        <v>4486</v>
      </c>
      <c r="Z3623" t="str">
        <f t="shared" si="819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20"/>
        <v>40909</v>
      </c>
      <c r="D3624" s="4">
        <f t="shared" si="821"/>
        <v>0.34426229508196721</v>
      </c>
      <c r="E3624" s="3">
        <f t="shared" si="822"/>
        <v>2012</v>
      </c>
      <c r="F3624" s="3">
        <f t="shared" si="823"/>
        <v>5</v>
      </c>
      <c r="G3624" s="3">
        <f t="shared" si="824"/>
        <v>6</v>
      </c>
      <c r="H3624" s="3">
        <f t="shared" si="825"/>
        <v>20</v>
      </c>
      <c r="I3624" s="3">
        <f t="shared" si="826"/>
        <v>19</v>
      </c>
      <c r="J3624" s="3">
        <f t="shared" si="827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28"/>
        <v>YES</v>
      </c>
      <c r="Q3624" t="str">
        <f t="shared" si="829"/>
        <v>NO</v>
      </c>
      <c r="R3624" t="str">
        <f t="shared" si="830"/>
        <v>NO</v>
      </c>
      <c r="T3624" t="s">
        <v>97</v>
      </c>
      <c r="U3624" t="str">
        <f t="shared" si="817"/>
        <v>Peabody St</v>
      </c>
      <c r="V3624" t="s">
        <v>14</v>
      </c>
      <c r="W3624" t="str">
        <f t="shared" si="818"/>
        <v>Massachusetts Ave</v>
      </c>
      <c r="X3624" t="str">
        <f>IF(ISBLANK(S3624),"Intersection","Non-Intersection")</f>
        <v>Intersection</v>
      </c>
      <c r="Y3624" t="s">
        <v>98</v>
      </c>
      <c r="Z3624" t="str">
        <f t="shared" si="819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20"/>
        <v>40909</v>
      </c>
      <c r="D3625" s="4">
        <f t="shared" si="821"/>
        <v>0.34699453551912568</v>
      </c>
      <c r="E3625" s="3">
        <f t="shared" si="822"/>
        <v>2012</v>
      </c>
      <c r="F3625" s="3">
        <f t="shared" si="823"/>
        <v>5</v>
      </c>
      <c r="G3625" s="3">
        <f t="shared" si="824"/>
        <v>7</v>
      </c>
      <c r="H3625" s="3">
        <f t="shared" si="825"/>
        <v>1</v>
      </c>
      <c r="I3625" s="3">
        <f t="shared" si="826"/>
        <v>30</v>
      </c>
      <c r="J3625" s="3">
        <f t="shared" si="827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28"/>
        <v>YES</v>
      </c>
      <c r="Q3625" t="str">
        <f t="shared" si="829"/>
        <v>NO</v>
      </c>
      <c r="R3625" t="str">
        <f t="shared" si="830"/>
        <v>NO</v>
      </c>
      <c r="T3625" t="s">
        <v>198</v>
      </c>
      <c r="U3625" t="str">
        <f t="shared" si="817"/>
        <v>Mount Auburn St</v>
      </c>
      <c r="V3625" t="s">
        <v>4487</v>
      </c>
      <c r="W3625" t="str">
        <f t="shared" si="818"/>
        <v>Coolidge Hill Rd</v>
      </c>
      <c r="X3625" t="str">
        <f>IF(ISBLANK(S3625),"Intersection","Non-Intersection")</f>
        <v>Intersection</v>
      </c>
      <c r="Y3625" t="s">
        <v>4488</v>
      </c>
      <c r="Z3625" t="str">
        <f t="shared" si="819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20"/>
        <v>40909</v>
      </c>
      <c r="D3626" s="4">
        <f t="shared" si="821"/>
        <v>0.34699453551912568</v>
      </c>
      <c r="E3626" s="3">
        <f t="shared" si="822"/>
        <v>2012</v>
      </c>
      <c r="F3626" s="3">
        <f t="shared" si="823"/>
        <v>5</v>
      </c>
      <c r="G3626" s="3">
        <f t="shared" si="824"/>
        <v>7</v>
      </c>
      <c r="H3626" s="3">
        <f t="shared" si="825"/>
        <v>7</v>
      </c>
      <c r="I3626" s="3">
        <f t="shared" si="826"/>
        <v>6</v>
      </c>
      <c r="J3626" s="3">
        <f t="shared" si="827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28"/>
        <v>YES</v>
      </c>
      <c r="Q3626" t="str">
        <f t="shared" si="829"/>
        <v>NO</v>
      </c>
      <c r="R3626" t="str">
        <f t="shared" si="830"/>
        <v>NO</v>
      </c>
      <c r="T3626" t="s">
        <v>41</v>
      </c>
      <c r="U3626" t="str">
        <f t="shared" si="817"/>
        <v>River St</v>
      </c>
      <c r="V3626" t="s">
        <v>108</v>
      </c>
      <c r="W3626" t="str">
        <f t="shared" si="818"/>
        <v>Franklin St</v>
      </c>
      <c r="X3626" t="str">
        <f>IF(ISBLANK(S3626),"Intersection","Non-Intersection")</f>
        <v>Intersection</v>
      </c>
      <c r="Y3626" t="s">
        <v>427</v>
      </c>
      <c r="Z3626" t="str">
        <f t="shared" si="819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20"/>
        <v>40909</v>
      </c>
      <c r="D3627" s="4">
        <f t="shared" si="821"/>
        <v>0.34699453551912568</v>
      </c>
      <c r="E3627" s="3">
        <f t="shared" si="822"/>
        <v>2012</v>
      </c>
      <c r="F3627" s="3">
        <f t="shared" si="823"/>
        <v>5</v>
      </c>
      <c r="G3627" s="3">
        <f t="shared" si="824"/>
        <v>7</v>
      </c>
      <c r="H3627" s="3">
        <f t="shared" si="825"/>
        <v>15</v>
      </c>
      <c r="I3627" s="3">
        <f t="shared" si="826"/>
        <v>30</v>
      </c>
      <c r="J3627" s="3">
        <f t="shared" si="827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28"/>
        <v>YES</v>
      </c>
      <c r="Q3627" t="str">
        <f t="shared" si="829"/>
        <v>NO</v>
      </c>
      <c r="R3627" t="str">
        <f t="shared" si="830"/>
        <v>NO</v>
      </c>
      <c r="S3627">
        <v>130</v>
      </c>
      <c r="T3627" t="s">
        <v>413</v>
      </c>
      <c r="U3627" t="str">
        <f t="shared" si="817"/>
        <v>Smith Pl</v>
      </c>
      <c r="W3627" t="str">
        <f t="shared" si="818"/>
        <v/>
      </c>
      <c r="X3627" t="str">
        <f>IF(ISBLANK(S3627),"Intersection","Non-Intersection")</f>
        <v>Non-Intersection</v>
      </c>
      <c r="Y3627" t="s">
        <v>4490</v>
      </c>
      <c r="Z3627" t="str">
        <f t="shared" si="819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20"/>
        <v>40909</v>
      </c>
      <c r="D3628" s="4">
        <f t="shared" si="821"/>
        <v>0.34699453551912568</v>
      </c>
      <c r="E3628" s="3">
        <f t="shared" si="822"/>
        <v>2012</v>
      </c>
      <c r="F3628" s="3">
        <f t="shared" si="823"/>
        <v>5</v>
      </c>
      <c r="G3628" s="3">
        <f t="shared" si="824"/>
        <v>7</v>
      </c>
      <c r="H3628" s="3">
        <f t="shared" si="825"/>
        <v>16</v>
      </c>
      <c r="I3628" s="3">
        <f t="shared" si="826"/>
        <v>30</v>
      </c>
      <c r="J3628" s="3">
        <f t="shared" si="827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28"/>
        <v>YES</v>
      </c>
      <c r="Q3628" t="str">
        <f t="shared" si="829"/>
        <v>YES</v>
      </c>
      <c r="R3628" t="str">
        <f t="shared" si="830"/>
        <v>NO</v>
      </c>
      <c r="S3628">
        <v>2</v>
      </c>
      <c r="T3628" t="s">
        <v>4156</v>
      </c>
      <c r="U3628" t="str">
        <f t="shared" si="817"/>
        <v>University Pl</v>
      </c>
      <c r="V3628" t="s">
        <v>4492</v>
      </c>
      <c r="W3628" t="str">
        <f t="shared" si="818"/>
        <v>Mount Auburn Pl</v>
      </c>
      <c r="X3628" t="str">
        <f>IF(ISBLANK(S3628),"Intersection","Non-Intersection")</f>
        <v>Non-Intersection</v>
      </c>
      <c r="Y3628" t="s">
        <v>4493</v>
      </c>
      <c r="Z3628" t="str">
        <f t="shared" si="819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20"/>
        <v>40909</v>
      </c>
      <c r="D3629" s="4">
        <f t="shared" si="821"/>
        <v>0.34699453551912568</v>
      </c>
      <c r="E3629" s="3">
        <f t="shared" si="822"/>
        <v>2012</v>
      </c>
      <c r="F3629" s="3">
        <f t="shared" si="823"/>
        <v>5</v>
      </c>
      <c r="G3629" s="3">
        <f t="shared" si="824"/>
        <v>7</v>
      </c>
      <c r="H3629" s="3">
        <f t="shared" si="825"/>
        <v>17</v>
      </c>
      <c r="I3629" s="3">
        <f t="shared" si="826"/>
        <v>0</v>
      </c>
      <c r="J3629" s="3">
        <f t="shared" si="827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28"/>
        <v>YES</v>
      </c>
      <c r="Q3629" t="str">
        <f t="shared" si="829"/>
        <v>YES</v>
      </c>
      <c r="R3629" t="str">
        <f t="shared" si="830"/>
        <v>NO</v>
      </c>
      <c r="T3629" t="s">
        <v>142</v>
      </c>
      <c r="U3629" t="str">
        <f t="shared" si="817"/>
        <v>Huron Ave</v>
      </c>
      <c r="V3629" t="s">
        <v>409</v>
      </c>
      <c r="W3629" t="str">
        <f t="shared" si="818"/>
        <v>Appleton St</v>
      </c>
      <c r="X3629" t="str">
        <f>IF(ISBLANK(S3629),"Intersection","Non-Intersection")</f>
        <v>Intersection</v>
      </c>
      <c r="Y3629" t="s">
        <v>1329</v>
      </c>
      <c r="Z3629" t="str">
        <f t="shared" si="819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20"/>
        <v>40909</v>
      </c>
      <c r="D3630" s="4">
        <f t="shared" si="821"/>
        <v>0.34699453551912568</v>
      </c>
      <c r="E3630" s="3">
        <f t="shared" si="822"/>
        <v>2012</v>
      </c>
      <c r="F3630" s="3">
        <f t="shared" si="823"/>
        <v>5</v>
      </c>
      <c r="G3630" s="3">
        <f t="shared" si="824"/>
        <v>7</v>
      </c>
      <c r="H3630" s="3">
        <f t="shared" si="825"/>
        <v>8</v>
      </c>
      <c r="I3630" s="3">
        <f t="shared" si="826"/>
        <v>29</v>
      </c>
      <c r="J3630" s="3">
        <f t="shared" si="827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28"/>
        <v>YES</v>
      </c>
      <c r="Q3630" t="str">
        <f t="shared" si="829"/>
        <v>NO</v>
      </c>
      <c r="R3630" t="str">
        <f t="shared" si="830"/>
        <v>YES</v>
      </c>
      <c r="S3630">
        <v>185</v>
      </c>
      <c r="T3630" t="s">
        <v>170</v>
      </c>
      <c r="U3630" t="str">
        <f t="shared" si="817"/>
        <v>Alewife Brook Pky</v>
      </c>
      <c r="W3630" t="str">
        <f t="shared" si="818"/>
        <v/>
      </c>
      <c r="X3630" t="str">
        <f>IF(ISBLANK(S3630),"Intersection","Non-Intersection")</f>
        <v>Non-Intersection</v>
      </c>
      <c r="Y3630" t="s">
        <v>3822</v>
      </c>
      <c r="Z3630" t="str">
        <f t="shared" si="819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20"/>
        <v>40909</v>
      </c>
      <c r="D3631" s="4">
        <f t="shared" si="821"/>
        <v>0.34699453551912568</v>
      </c>
      <c r="E3631" s="3">
        <f t="shared" si="822"/>
        <v>2012</v>
      </c>
      <c r="F3631" s="3">
        <f t="shared" si="823"/>
        <v>5</v>
      </c>
      <c r="G3631" s="3">
        <f t="shared" si="824"/>
        <v>7</v>
      </c>
      <c r="H3631" s="3">
        <f t="shared" si="825"/>
        <v>9</v>
      </c>
      <c r="I3631" s="3">
        <f t="shared" si="826"/>
        <v>0</v>
      </c>
      <c r="J3631" s="3">
        <f t="shared" si="827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28"/>
        <v>YES</v>
      </c>
      <c r="Q3631" t="str">
        <f t="shared" si="829"/>
        <v>NO</v>
      </c>
      <c r="R3631" t="str">
        <f t="shared" si="830"/>
        <v>NO</v>
      </c>
      <c r="S3631">
        <v>33</v>
      </c>
      <c r="T3631" t="s">
        <v>186</v>
      </c>
      <c r="U3631" t="str">
        <f t="shared" si="817"/>
        <v>Concord Ave</v>
      </c>
      <c r="W3631" t="str">
        <f t="shared" si="818"/>
        <v/>
      </c>
      <c r="X3631" t="str">
        <f>IF(ISBLANK(S3631),"Intersection","Non-Intersection")</f>
        <v>Non-Intersection</v>
      </c>
      <c r="Y3631" t="s">
        <v>4461</v>
      </c>
      <c r="Z3631" t="str">
        <f t="shared" si="819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20"/>
        <v>40909</v>
      </c>
      <c r="D3632" s="4">
        <f t="shared" si="821"/>
        <v>0.34699453551912568</v>
      </c>
      <c r="E3632" s="3">
        <f t="shared" si="822"/>
        <v>2012</v>
      </c>
      <c r="F3632" s="3">
        <f t="shared" si="823"/>
        <v>5</v>
      </c>
      <c r="G3632" s="3">
        <f t="shared" si="824"/>
        <v>7</v>
      </c>
      <c r="H3632" s="3">
        <f t="shared" si="825"/>
        <v>18</v>
      </c>
      <c r="I3632" s="3">
        <f t="shared" si="826"/>
        <v>30</v>
      </c>
      <c r="J3632" s="3">
        <f t="shared" si="827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28"/>
        <v>YES</v>
      </c>
      <c r="Q3632" t="str">
        <f t="shared" si="829"/>
        <v>NO</v>
      </c>
      <c r="R3632" t="str">
        <f t="shared" si="830"/>
        <v>NO</v>
      </c>
      <c r="T3632" t="s">
        <v>32</v>
      </c>
      <c r="U3632" t="str">
        <f t="shared" si="817"/>
        <v>Main St</v>
      </c>
      <c r="V3632" t="s">
        <v>189</v>
      </c>
      <c r="W3632" t="str">
        <f t="shared" si="818"/>
        <v>Windsor St</v>
      </c>
      <c r="X3632" t="str">
        <f>IF(ISBLANK(S3632),"Intersection","Non-Intersection")</f>
        <v>Intersection</v>
      </c>
      <c r="Y3632" t="s">
        <v>1737</v>
      </c>
      <c r="Z3632" t="str">
        <f t="shared" si="819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20"/>
        <v>40909</v>
      </c>
      <c r="D3633" s="4">
        <f t="shared" si="821"/>
        <v>0.34972677595628415</v>
      </c>
      <c r="E3633" s="3">
        <f t="shared" si="822"/>
        <v>2012</v>
      </c>
      <c r="F3633" s="3">
        <f t="shared" si="823"/>
        <v>5</v>
      </c>
      <c r="G3633" s="3">
        <f t="shared" si="824"/>
        <v>8</v>
      </c>
      <c r="H3633" s="3">
        <f t="shared" si="825"/>
        <v>17</v>
      </c>
      <c r="I3633" s="3">
        <f t="shared" si="826"/>
        <v>10</v>
      </c>
      <c r="J3633" s="3">
        <f t="shared" si="827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28"/>
        <v>YES</v>
      </c>
      <c r="Q3633" t="str">
        <f t="shared" si="829"/>
        <v>NO</v>
      </c>
      <c r="R3633" t="str">
        <f t="shared" si="830"/>
        <v>NO</v>
      </c>
      <c r="S3633">
        <v>463</v>
      </c>
      <c r="T3633" t="s">
        <v>14</v>
      </c>
      <c r="U3633" t="str">
        <f t="shared" si="817"/>
        <v>Massachusetts Ave</v>
      </c>
      <c r="W3633" t="str">
        <f t="shared" si="818"/>
        <v/>
      </c>
      <c r="X3633" t="str">
        <f>IF(ISBLANK(S3633),"Intersection","Non-Intersection")</f>
        <v>Non-Intersection</v>
      </c>
      <c r="Y3633" t="s">
        <v>4494</v>
      </c>
      <c r="Z3633" t="str">
        <f t="shared" si="819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20"/>
        <v>40909</v>
      </c>
      <c r="D3634" s="4">
        <f t="shared" si="821"/>
        <v>0.34972677595628415</v>
      </c>
      <c r="E3634" s="3">
        <f t="shared" si="822"/>
        <v>2012</v>
      </c>
      <c r="F3634" s="3">
        <f t="shared" si="823"/>
        <v>5</v>
      </c>
      <c r="G3634" s="3">
        <f t="shared" si="824"/>
        <v>8</v>
      </c>
      <c r="H3634" s="3">
        <f t="shared" si="825"/>
        <v>18</v>
      </c>
      <c r="I3634" s="3">
        <f t="shared" si="826"/>
        <v>14</v>
      </c>
      <c r="J3634" s="3">
        <f t="shared" si="827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28"/>
        <v>NO</v>
      </c>
      <c r="Q3634" t="str">
        <f t="shared" si="829"/>
        <v>NO</v>
      </c>
      <c r="R3634" t="str">
        <f t="shared" si="830"/>
        <v>NO</v>
      </c>
      <c r="T3634" t="s">
        <v>958</v>
      </c>
      <c r="U3634" t="str">
        <f t="shared" si="817"/>
        <v>Pacific St</v>
      </c>
      <c r="V3634" t="s">
        <v>249</v>
      </c>
      <c r="W3634" t="str">
        <f t="shared" si="818"/>
        <v>Landsdowne St</v>
      </c>
      <c r="X3634" t="str">
        <f>IF(ISBLANK(S3634),"Intersection","Non-Intersection")</f>
        <v>Intersection</v>
      </c>
      <c r="Y3634" t="s">
        <v>2699</v>
      </c>
      <c r="Z3634" t="str">
        <f t="shared" si="819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20"/>
        <v>40909</v>
      </c>
      <c r="D3635" s="4">
        <f t="shared" si="821"/>
        <v>0.34972677595628415</v>
      </c>
      <c r="E3635" s="3">
        <f t="shared" si="822"/>
        <v>2012</v>
      </c>
      <c r="F3635" s="3">
        <f t="shared" si="823"/>
        <v>5</v>
      </c>
      <c r="G3635" s="3">
        <f t="shared" si="824"/>
        <v>8</v>
      </c>
      <c r="H3635" s="3">
        <f t="shared" si="825"/>
        <v>18</v>
      </c>
      <c r="I3635" s="3">
        <f t="shared" si="826"/>
        <v>59</v>
      </c>
      <c r="J3635" s="3">
        <f t="shared" si="827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28"/>
        <v>YES</v>
      </c>
      <c r="Q3635" t="str">
        <f t="shared" si="829"/>
        <v>NO</v>
      </c>
      <c r="R3635" t="str">
        <f t="shared" si="830"/>
        <v>NO</v>
      </c>
      <c r="S3635">
        <v>328</v>
      </c>
      <c r="T3635" t="s">
        <v>14</v>
      </c>
      <c r="U3635" t="str">
        <f t="shared" si="817"/>
        <v>Massachusetts Ave</v>
      </c>
      <c r="W3635" t="str">
        <f t="shared" si="818"/>
        <v/>
      </c>
      <c r="X3635" t="str">
        <f>IF(ISBLANK(S3635),"Intersection","Non-Intersection")</f>
        <v>Non-Intersection</v>
      </c>
      <c r="Y3635" t="s">
        <v>4496</v>
      </c>
      <c r="Z3635" t="str">
        <f t="shared" si="819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20"/>
        <v>40909</v>
      </c>
      <c r="D3636" s="4">
        <f t="shared" si="821"/>
        <v>0.34972677595628415</v>
      </c>
      <c r="E3636" s="3">
        <f t="shared" si="822"/>
        <v>2012</v>
      </c>
      <c r="F3636" s="3">
        <f t="shared" si="823"/>
        <v>5</v>
      </c>
      <c r="G3636" s="3">
        <f t="shared" si="824"/>
        <v>8</v>
      </c>
      <c r="H3636" s="3">
        <f t="shared" si="825"/>
        <v>10</v>
      </c>
      <c r="I3636" s="3">
        <f t="shared" si="826"/>
        <v>30</v>
      </c>
      <c r="J3636" s="3">
        <f t="shared" si="827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28"/>
        <v>YES</v>
      </c>
      <c r="Q3636" t="str">
        <f t="shared" si="829"/>
        <v>NO</v>
      </c>
      <c r="R3636" t="str">
        <f t="shared" si="830"/>
        <v>NO</v>
      </c>
      <c r="S3636">
        <v>2211</v>
      </c>
      <c r="T3636" t="s">
        <v>14</v>
      </c>
      <c r="U3636" t="str">
        <f t="shared" si="817"/>
        <v>Massachusetts Ave</v>
      </c>
      <c r="W3636" t="str">
        <f t="shared" si="818"/>
        <v/>
      </c>
      <c r="X3636" t="str">
        <f>IF(ISBLANK(S3636),"Intersection","Non-Intersection")</f>
        <v>Non-Intersection</v>
      </c>
      <c r="Y3636" t="s">
        <v>4498</v>
      </c>
      <c r="Z3636" t="str">
        <f t="shared" si="819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20"/>
        <v>40909</v>
      </c>
      <c r="D3637" s="4">
        <f t="shared" si="821"/>
        <v>0.35245901639344263</v>
      </c>
      <c r="E3637" s="3">
        <f t="shared" si="822"/>
        <v>2012</v>
      </c>
      <c r="F3637" s="3">
        <f t="shared" si="823"/>
        <v>5</v>
      </c>
      <c r="G3637" s="3">
        <f t="shared" si="824"/>
        <v>9</v>
      </c>
      <c r="H3637" s="3">
        <f t="shared" si="825"/>
        <v>1</v>
      </c>
      <c r="I3637" s="3">
        <f t="shared" si="826"/>
        <v>47</v>
      </c>
      <c r="J3637" s="3">
        <f t="shared" si="827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28"/>
        <v>YES</v>
      </c>
      <c r="Q3637" t="str">
        <f t="shared" si="829"/>
        <v>NO</v>
      </c>
      <c r="R3637" t="str">
        <f t="shared" si="830"/>
        <v>NO</v>
      </c>
      <c r="T3637" t="s">
        <v>41</v>
      </c>
      <c r="U3637" t="str">
        <f t="shared" si="817"/>
        <v>River St</v>
      </c>
      <c r="V3637" t="s">
        <v>2192</v>
      </c>
      <c r="W3637" t="str">
        <f t="shared" si="818"/>
        <v>Montague St</v>
      </c>
      <c r="X3637" t="str">
        <f>IF(ISBLANK(S3637),"Intersection","Non-Intersection")</f>
        <v>Intersection</v>
      </c>
      <c r="Y3637" t="s">
        <v>4500</v>
      </c>
      <c r="Z3637" t="str">
        <f t="shared" si="819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20"/>
        <v>40909</v>
      </c>
      <c r="D3638" s="4">
        <f t="shared" si="821"/>
        <v>0.35245901639344263</v>
      </c>
      <c r="E3638" s="3">
        <f t="shared" si="822"/>
        <v>2012</v>
      </c>
      <c r="F3638" s="3">
        <f t="shared" si="823"/>
        <v>5</v>
      </c>
      <c r="G3638" s="3">
        <f t="shared" si="824"/>
        <v>9</v>
      </c>
      <c r="H3638" s="3">
        <f t="shared" si="825"/>
        <v>8</v>
      </c>
      <c r="I3638" s="3">
        <f t="shared" si="826"/>
        <v>0</v>
      </c>
      <c r="J3638" s="3">
        <f t="shared" si="827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28"/>
        <v>YES</v>
      </c>
      <c r="Q3638" t="str">
        <f t="shared" si="829"/>
        <v>NO</v>
      </c>
      <c r="R3638" t="str">
        <f t="shared" si="830"/>
        <v>NO</v>
      </c>
      <c r="T3638" t="s">
        <v>133</v>
      </c>
      <c r="U3638" t="str">
        <f t="shared" si="817"/>
        <v>Harvard St</v>
      </c>
      <c r="V3638" t="s">
        <v>134</v>
      </c>
      <c r="W3638" t="str">
        <f t="shared" si="818"/>
        <v>Quincy St</v>
      </c>
      <c r="X3638" t="str">
        <f>IF(ISBLANK(S3638),"Intersection","Non-Intersection")</f>
        <v>Intersection</v>
      </c>
      <c r="Y3638" t="s">
        <v>135</v>
      </c>
      <c r="Z3638" t="str">
        <f t="shared" si="819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20"/>
        <v>40909</v>
      </c>
      <c r="D3639" s="4">
        <f t="shared" si="821"/>
        <v>0.35245901639344263</v>
      </c>
      <c r="E3639" s="3">
        <f t="shared" si="822"/>
        <v>2012</v>
      </c>
      <c r="F3639" s="3">
        <f t="shared" si="823"/>
        <v>5</v>
      </c>
      <c r="G3639" s="3">
        <f t="shared" si="824"/>
        <v>9</v>
      </c>
      <c r="H3639" s="3">
        <f t="shared" si="825"/>
        <v>10</v>
      </c>
      <c r="I3639" s="3">
        <f t="shared" si="826"/>
        <v>25</v>
      </c>
      <c r="J3639" s="3">
        <f t="shared" si="827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28"/>
        <v>YES</v>
      </c>
      <c r="Q3639" t="str">
        <f t="shared" si="829"/>
        <v>YES</v>
      </c>
      <c r="R3639" t="str">
        <f t="shared" si="830"/>
        <v>NO</v>
      </c>
      <c r="T3639" t="s">
        <v>796</v>
      </c>
      <c r="U3639" t="str">
        <f t="shared" si="817"/>
        <v>Portland St</v>
      </c>
      <c r="V3639" t="s">
        <v>74</v>
      </c>
      <c r="W3639" t="str">
        <f t="shared" si="818"/>
        <v>Hampshire St</v>
      </c>
      <c r="X3639" t="str">
        <f>IF(ISBLANK(S3639),"Intersection","Non-Intersection")</f>
        <v>Intersection</v>
      </c>
      <c r="Y3639" t="s">
        <v>4394</v>
      </c>
      <c r="Z3639" t="str">
        <f t="shared" si="819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20"/>
        <v>40909</v>
      </c>
      <c r="D3640" s="4">
        <f t="shared" si="821"/>
        <v>0.35245901639344263</v>
      </c>
      <c r="E3640" s="3">
        <f t="shared" si="822"/>
        <v>2012</v>
      </c>
      <c r="F3640" s="3">
        <f t="shared" si="823"/>
        <v>5</v>
      </c>
      <c r="G3640" s="3">
        <f t="shared" si="824"/>
        <v>9</v>
      </c>
      <c r="H3640" s="3">
        <f t="shared" si="825"/>
        <v>11</v>
      </c>
      <c r="I3640" s="3">
        <f t="shared" si="826"/>
        <v>15</v>
      </c>
      <c r="J3640" s="3">
        <f t="shared" si="827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28"/>
        <v>YES</v>
      </c>
      <c r="Q3640" t="str">
        <f t="shared" si="829"/>
        <v>NO</v>
      </c>
      <c r="R3640" t="str">
        <f t="shared" si="830"/>
        <v>NO</v>
      </c>
      <c r="T3640" t="s">
        <v>105</v>
      </c>
      <c r="U3640" t="str">
        <f t="shared" si="817"/>
        <v>Broadway</v>
      </c>
      <c r="V3640" t="s">
        <v>138</v>
      </c>
      <c r="W3640" t="str">
        <f t="shared" si="818"/>
        <v>Felton St</v>
      </c>
      <c r="X3640" t="str">
        <f>IF(ISBLANK(S3640),"Intersection","Non-Intersection")</f>
        <v>Intersection</v>
      </c>
      <c r="Y3640" t="s">
        <v>139</v>
      </c>
      <c r="Z3640" t="str">
        <f t="shared" si="819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20"/>
        <v>40909</v>
      </c>
      <c r="D3641" s="4">
        <f t="shared" si="821"/>
        <v>0.35245901639344263</v>
      </c>
      <c r="E3641" s="3">
        <f t="shared" si="822"/>
        <v>2012</v>
      </c>
      <c r="F3641" s="3">
        <f t="shared" si="823"/>
        <v>5</v>
      </c>
      <c r="G3641" s="3">
        <f t="shared" si="824"/>
        <v>9</v>
      </c>
      <c r="H3641" s="3">
        <f t="shared" si="825"/>
        <v>7</v>
      </c>
      <c r="I3641" s="3">
        <f t="shared" si="826"/>
        <v>50</v>
      </c>
      <c r="J3641" s="3">
        <f t="shared" si="827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28"/>
        <v>YES</v>
      </c>
      <c r="Q3641" t="str">
        <f t="shared" si="829"/>
        <v>NO</v>
      </c>
      <c r="R3641" t="str">
        <f t="shared" si="830"/>
        <v>NO</v>
      </c>
      <c r="T3641" t="s">
        <v>291</v>
      </c>
      <c r="U3641" t="str">
        <f t="shared" si="817"/>
        <v>Raymond St</v>
      </c>
      <c r="V3641" t="s">
        <v>4502</v>
      </c>
      <c r="W3641" t="str">
        <f t="shared" si="818"/>
        <v>Bates St</v>
      </c>
      <c r="X3641" t="str">
        <f>IF(ISBLANK(S3641),"Intersection","Non-Intersection")</f>
        <v>Intersection</v>
      </c>
      <c r="Y3641" t="s">
        <v>4503</v>
      </c>
      <c r="Z3641" t="str">
        <f t="shared" si="819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20"/>
        <v>40909</v>
      </c>
      <c r="D3642" s="4">
        <f t="shared" si="821"/>
        <v>0.35245901639344263</v>
      </c>
      <c r="E3642" s="3">
        <f t="shared" si="822"/>
        <v>2012</v>
      </c>
      <c r="F3642" s="3">
        <f t="shared" si="823"/>
        <v>5</v>
      </c>
      <c r="G3642" s="3">
        <f t="shared" si="824"/>
        <v>9</v>
      </c>
      <c r="H3642" s="3">
        <f t="shared" si="825"/>
        <v>15</v>
      </c>
      <c r="I3642" s="3">
        <f t="shared" si="826"/>
        <v>33</v>
      </c>
      <c r="J3642" s="3">
        <f t="shared" si="827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28"/>
        <v>YES</v>
      </c>
      <c r="Q3642" t="str">
        <f t="shared" si="829"/>
        <v>NO</v>
      </c>
      <c r="R3642" t="str">
        <f t="shared" si="830"/>
        <v>NO</v>
      </c>
      <c r="T3642" t="s">
        <v>27</v>
      </c>
      <c r="U3642" t="str">
        <f t="shared" si="817"/>
        <v>Western Ave</v>
      </c>
      <c r="V3642" t="s">
        <v>1795</v>
      </c>
      <c r="W3642" t="str">
        <f t="shared" si="818"/>
        <v>Hews St</v>
      </c>
      <c r="X3642" t="str">
        <f>IF(ISBLANK(S3642),"Intersection","Non-Intersection")</f>
        <v>Intersection</v>
      </c>
      <c r="Y3642" t="s">
        <v>4505</v>
      </c>
      <c r="Z3642" t="str">
        <f t="shared" si="819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20"/>
        <v>40909</v>
      </c>
      <c r="D3643" s="4">
        <f t="shared" si="821"/>
        <v>0.35245901639344263</v>
      </c>
      <c r="E3643" s="3">
        <f t="shared" si="822"/>
        <v>2012</v>
      </c>
      <c r="F3643" s="3">
        <f t="shared" si="823"/>
        <v>5</v>
      </c>
      <c r="G3643" s="3">
        <f t="shared" si="824"/>
        <v>9</v>
      </c>
      <c r="H3643" s="3">
        <f t="shared" si="825"/>
        <v>16</v>
      </c>
      <c r="I3643" s="3">
        <f t="shared" si="826"/>
        <v>34</v>
      </c>
      <c r="J3643" s="3">
        <f t="shared" si="827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28"/>
        <v>YES</v>
      </c>
      <c r="Q3643" t="str">
        <f t="shared" si="829"/>
        <v>NO</v>
      </c>
      <c r="R3643" t="str">
        <f t="shared" si="830"/>
        <v>NO</v>
      </c>
      <c r="S3643">
        <v>35</v>
      </c>
      <c r="T3643" t="s">
        <v>268</v>
      </c>
      <c r="U3643" t="str">
        <f t="shared" si="817"/>
        <v>White St</v>
      </c>
      <c r="W3643" t="str">
        <f t="shared" si="818"/>
        <v/>
      </c>
      <c r="X3643" t="str">
        <f>IF(ISBLANK(S3643),"Intersection","Non-Intersection")</f>
        <v>Non-Intersection</v>
      </c>
      <c r="Y3643" t="s">
        <v>933</v>
      </c>
      <c r="Z3643" t="str">
        <f t="shared" si="819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20"/>
        <v>40909</v>
      </c>
      <c r="D3644" s="4">
        <f t="shared" si="821"/>
        <v>0.35245901639344263</v>
      </c>
      <c r="E3644" s="3">
        <f t="shared" si="822"/>
        <v>2012</v>
      </c>
      <c r="F3644" s="3">
        <f t="shared" si="823"/>
        <v>5</v>
      </c>
      <c r="G3644" s="3">
        <f t="shared" si="824"/>
        <v>9</v>
      </c>
      <c r="H3644" s="3">
        <f t="shared" si="825"/>
        <v>8</v>
      </c>
      <c r="I3644" s="3">
        <f t="shared" si="826"/>
        <v>0</v>
      </c>
      <c r="J3644" s="3">
        <f t="shared" si="827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28"/>
        <v>YES</v>
      </c>
      <c r="Q3644" t="str">
        <f t="shared" si="829"/>
        <v>NO</v>
      </c>
      <c r="R3644" t="str">
        <f t="shared" si="830"/>
        <v>NO</v>
      </c>
      <c r="T3644" t="s">
        <v>14</v>
      </c>
      <c r="U3644" t="str">
        <f t="shared" si="817"/>
        <v>Massachusetts Ave</v>
      </c>
      <c r="V3644" t="s">
        <v>15</v>
      </c>
      <c r="W3644" t="str">
        <f t="shared" si="818"/>
        <v>Rindge Ave</v>
      </c>
      <c r="X3644" t="str">
        <f>IF(ISBLANK(S3644),"Intersection","Non-Intersection")</f>
        <v>Intersection</v>
      </c>
      <c r="Y3644" t="s">
        <v>16</v>
      </c>
      <c r="Z3644" t="str">
        <f t="shared" si="819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20"/>
        <v>40909</v>
      </c>
      <c r="D3645" s="4">
        <f t="shared" si="821"/>
        <v>0.35245901639344263</v>
      </c>
      <c r="E3645" s="3">
        <f t="shared" si="822"/>
        <v>2012</v>
      </c>
      <c r="F3645" s="3">
        <f t="shared" si="823"/>
        <v>5</v>
      </c>
      <c r="G3645" s="3">
        <f t="shared" si="824"/>
        <v>9</v>
      </c>
      <c r="H3645" s="3">
        <f t="shared" si="825"/>
        <v>10</v>
      </c>
      <c r="I3645" s="3">
        <f t="shared" si="826"/>
        <v>5</v>
      </c>
      <c r="J3645" s="3">
        <f t="shared" si="827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28"/>
        <v>YES</v>
      </c>
      <c r="Q3645" t="str">
        <f t="shared" si="829"/>
        <v>NO</v>
      </c>
      <c r="R3645" t="str">
        <f t="shared" si="830"/>
        <v>NO</v>
      </c>
      <c r="S3645">
        <v>68</v>
      </c>
      <c r="T3645" t="s">
        <v>4506</v>
      </c>
      <c r="U3645" t="str">
        <f t="shared" si="817"/>
        <v>Haskell St</v>
      </c>
      <c r="W3645" t="str">
        <f t="shared" si="818"/>
        <v/>
      </c>
      <c r="X3645" t="str">
        <f>IF(ISBLANK(S3645),"Intersection","Non-Intersection")</f>
        <v>Non-Intersection</v>
      </c>
      <c r="Y3645" t="s">
        <v>4507</v>
      </c>
      <c r="Z3645" t="str">
        <f t="shared" si="819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20"/>
        <v>40909</v>
      </c>
      <c r="D3646" s="4">
        <f t="shared" si="821"/>
        <v>0.35245901639344263</v>
      </c>
      <c r="E3646" s="3">
        <f t="shared" si="822"/>
        <v>2012</v>
      </c>
      <c r="F3646" s="3">
        <f t="shared" si="823"/>
        <v>5</v>
      </c>
      <c r="G3646" s="3">
        <f t="shared" si="824"/>
        <v>9</v>
      </c>
      <c r="H3646" s="3">
        <f t="shared" si="825"/>
        <v>13</v>
      </c>
      <c r="I3646" s="3">
        <f t="shared" si="826"/>
        <v>30</v>
      </c>
      <c r="J3646" s="3">
        <f t="shared" si="827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28"/>
        <v>YES</v>
      </c>
      <c r="Q3646" t="str">
        <f t="shared" si="829"/>
        <v>NO</v>
      </c>
      <c r="R3646" t="str">
        <f t="shared" si="830"/>
        <v>NO</v>
      </c>
      <c r="S3646">
        <v>1816</v>
      </c>
      <c r="T3646" t="s">
        <v>14</v>
      </c>
      <c r="U3646" t="str">
        <f t="shared" si="817"/>
        <v>Massachusetts Ave</v>
      </c>
      <c r="W3646" t="str">
        <f t="shared" si="818"/>
        <v/>
      </c>
      <c r="X3646" t="str">
        <f>IF(ISBLANK(S3646),"Intersection","Non-Intersection")</f>
        <v>Non-Intersection</v>
      </c>
      <c r="Y3646" t="s">
        <v>4509</v>
      </c>
      <c r="Z3646" t="str">
        <f t="shared" si="819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20"/>
        <v>40909</v>
      </c>
      <c r="D3647" s="4">
        <f t="shared" si="821"/>
        <v>0.35245901639344263</v>
      </c>
      <c r="E3647" s="3">
        <f t="shared" si="822"/>
        <v>2012</v>
      </c>
      <c r="F3647" s="3">
        <f t="shared" si="823"/>
        <v>5</v>
      </c>
      <c r="G3647" s="3">
        <f t="shared" si="824"/>
        <v>9</v>
      </c>
      <c r="H3647" s="3">
        <f t="shared" si="825"/>
        <v>17</v>
      </c>
      <c r="I3647" s="3">
        <f t="shared" si="826"/>
        <v>45</v>
      </c>
      <c r="J3647" s="3">
        <f t="shared" si="827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28"/>
        <v>YES</v>
      </c>
      <c r="Q3647" t="str">
        <f t="shared" si="829"/>
        <v>NO</v>
      </c>
      <c r="R3647" t="str">
        <f t="shared" si="830"/>
        <v>NO</v>
      </c>
      <c r="T3647" t="s">
        <v>423</v>
      </c>
      <c r="U3647" t="str">
        <f t="shared" si="817"/>
        <v>Stearns St</v>
      </c>
      <c r="V3647" t="s">
        <v>45</v>
      </c>
      <c r="W3647" t="str">
        <f t="shared" si="818"/>
        <v>Sherman St</v>
      </c>
      <c r="X3647" t="str">
        <f>IF(ISBLANK(S3647),"Intersection","Non-Intersection")</f>
        <v>Intersection</v>
      </c>
      <c r="Y3647" t="s">
        <v>4510</v>
      </c>
      <c r="Z3647" t="str">
        <f t="shared" si="819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20"/>
        <v>40909</v>
      </c>
      <c r="D3648" s="4">
        <f t="shared" si="821"/>
        <v>0.35245901639344263</v>
      </c>
      <c r="E3648" s="3">
        <f t="shared" si="822"/>
        <v>2012</v>
      </c>
      <c r="F3648" s="3">
        <f t="shared" si="823"/>
        <v>5</v>
      </c>
      <c r="G3648" s="3">
        <f t="shared" si="824"/>
        <v>9</v>
      </c>
      <c r="H3648" s="3">
        <f t="shared" si="825"/>
        <v>19</v>
      </c>
      <c r="I3648" s="3">
        <f t="shared" si="826"/>
        <v>18</v>
      </c>
      <c r="J3648" s="3">
        <f t="shared" si="827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28"/>
        <v>YES</v>
      </c>
      <c r="Q3648" t="str">
        <f t="shared" si="829"/>
        <v>NO</v>
      </c>
      <c r="R3648" t="str">
        <f t="shared" si="830"/>
        <v>NO</v>
      </c>
      <c r="S3648">
        <v>11</v>
      </c>
      <c r="T3648" t="s">
        <v>315</v>
      </c>
      <c r="U3648" t="str">
        <f t="shared" si="817"/>
        <v>Essex St</v>
      </c>
      <c r="W3648" t="str">
        <f t="shared" si="818"/>
        <v/>
      </c>
      <c r="X3648" t="str">
        <f>IF(ISBLANK(S3648),"Intersection","Non-Intersection")</f>
        <v>Non-Intersection</v>
      </c>
      <c r="Y3648" t="s">
        <v>4512</v>
      </c>
      <c r="Z3648" t="str">
        <f t="shared" si="819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20"/>
        <v>40909</v>
      </c>
      <c r="D3649" s="4">
        <f t="shared" si="821"/>
        <v>0.3551912568306011</v>
      </c>
      <c r="E3649" s="3">
        <f t="shared" si="822"/>
        <v>2012</v>
      </c>
      <c r="F3649" s="3">
        <f t="shared" si="823"/>
        <v>5</v>
      </c>
      <c r="G3649" s="3">
        <f t="shared" si="824"/>
        <v>10</v>
      </c>
      <c r="H3649" s="3">
        <f t="shared" si="825"/>
        <v>7</v>
      </c>
      <c r="I3649" s="3">
        <f t="shared" si="826"/>
        <v>54</v>
      </c>
      <c r="J3649" s="3">
        <f t="shared" si="827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28"/>
        <v>YES</v>
      </c>
      <c r="Q3649" t="str">
        <f t="shared" si="829"/>
        <v>NO</v>
      </c>
      <c r="R3649" t="str">
        <f t="shared" si="830"/>
        <v>NO</v>
      </c>
      <c r="T3649" t="s">
        <v>14</v>
      </c>
      <c r="U3649" t="str">
        <f t="shared" si="817"/>
        <v>Massachusetts Ave</v>
      </c>
      <c r="V3649" t="s">
        <v>1032</v>
      </c>
      <c r="W3649" t="str">
        <f t="shared" si="818"/>
        <v>Meacham Rd</v>
      </c>
      <c r="X3649" t="str">
        <f>IF(ISBLANK(S3649),"Intersection","Non-Intersection")</f>
        <v>Intersection</v>
      </c>
      <c r="Y3649" t="s">
        <v>1033</v>
      </c>
      <c r="Z3649" t="str">
        <f t="shared" si="819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20"/>
        <v>40909</v>
      </c>
      <c r="D3650" s="4">
        <f t="shared" si="821"/>
        <v>0.3551912568306011</v>
      </c>
      <c r="E3650" s="3">
        <f t="shared" si="822"/>
        <v>2012</v>
      </c>
      <c r="F3650" s="3">
        <f t="shared" si="823"/>
        <v>5</v>
      </c>
      <c r="G3650" s="3">
        <f t="shared" si="824"/>
        <v>10</v>
      </c>
      <c r="H3650" s="3">
        <f t="shared" si="825"/>
        <v>11</v>
      </c>
      <c r="I3650" s="3">
        <f t="shared" si="826"/>
        <v>35</v>
      </c>
      <c r="J3650" s="3">
        <f t="shared" si="827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28"/>
        <v>YES</v>
      </c>
      <c r="Q3650" t="str">
        <f t="shared" si="829"/>
        <v>YES</v>
      </c>
      <c r="R3650" t="str">
        <f t="shared" si="830"/>
        <v>NO</v>
      </c>
      <c r="S3650">
        <v>16</v>
      </c>
      <c r="T3650" t="s">
        <v>185</v>
      </c>
      <c r="U3650" t="str">
        <f t="shared" si="817"/>
        <v>Garden St</v>
      </c>
      <c r="W3650" t="str">
        <f t="shared" si="818"/>
        <v/>
      </c>
      <c r="X3650" t="str">
        <f>IF(ISBLANK(S3650),"Intersection","Non-Intersection")</f>
        <v>Non-Intersection</v>
      </c>
      <c r="Y3650" t="s">
        <v>882</v>
      </c>
      <c r="Z3650" t="str">
        <f t="shared" si="819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20"/>
        <v>40909</v>
      </c>
      <c r="D3651" s="4">
        <f t="shared" si="821"/>
        <v>0.3551912568306011</v>
      </c>
      <c r="E3651" s="3">
        <f t="shared" si="822"/>
        <v>2012</v>
      </c>
      <c r="F3651" s="3">
        <f t="shared" si="823"/>
        <v>5</v>
      </c>
      <c r="G3651" s="3">
        <f t="shared" si="824"/>
        <v>10</v>
      </c>
      <c r="H3651" s="3">
        <f t="shared" si="825"/>
        <v>17</v>
      </c>
      <c r="I3651" s="3">
        <f t="shared" si="826"/>
        <v>44</v>
      </c>
      <c r="J3651" s="3">
        <f t="shared" si="827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28"/>
        <v>YES</v>
      </c>
      <c r="Q3651" t="str">
        <f t="shared" si="829"/>
        <v>NO</v>
      </c>
      <c r="R3651" t="str">
        <f t="shared" si="830"/>
        <v>NO</v>
      </c>
      <c r="T3651" t="s">
        <v>351</v>
      </c>
      <c r="U3651" t="str">
        <f t="shared" ref="U3651:U3714" si="831">TRIM(PROPER(T3651))</f>
        <v>Cambridge Ctr</v>
      </c>
      <c r="V3651" t="s">
        <v>260</v>
      </c>
      <c r="W3651" t="str">
        <f t="shared" ref="W3651:W3714" si="832">TRIM(PROPER(V3651))</f>
        <v>Third St</v>
      </c>
      <c r="X3651" t="str">
        <f>IF(ISBLANK(S3651),"Intersection","Non-Intersection")</f>
        <v>Intersection</v>
      </c>
      <c r="Y3651" t="s">
        <v>4514</v>
      </c>
      <c r="Z3651" t="str">
        <f t="shared" ref="Z3651:Z3714" si="833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20"/>
        <v>40909</v>
      </c>
      <c r="D3652" s="4">
        <f t="shared" si="821"/>
        <v>0.35792349726775957</v>
      </c>
      <c r="E3652" s="3">
        <f t="shared" si="822"/>
        <v>2012</v>
      </c>
      <c r="F3652" s="3">
        <f t="shared" si="823"/>
        <v>5</v>
      </c>
      <c r="G3652" s="3">
        <f t="shared" si="824"/>
        <v>11</v>
      </c>
      <c r="H3652" s="3">
        <f t="shared" si="825"/>
        <v>0</v>
      </c>
      <c r="I3652" s="3">
        <f t="shared" si="826"/>
        <v>13</v>
      </c>
      <c r="J3652" s="3">
        <f t="shared" si="827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28"/>
        <v>YES</v>
      </c>
      <c r="Q3652" t="str">
        <f t="shared" si="829"/>
        <v>NO</v>
      </c>
      <c r="R3652" t="str">
        <f t="shared" si="830"/>
        <v>NO</v>
      </c>
      <c r="T3652" t="s">
        <v>14</v>
      </c>
      <c r="U3652" t="str">
        <f t="shared" si="831"/>
        <v>Massachusetts Ave</v>
      </c>
      <c r="V3652" t="s">
        <v>2563</v>
      </c>
      <c r="W3652" t="str">
        <f t="shared" si="832"/>
        <v>Inman Pl</v>
      </c>
      <c r="X3652" t="str">
        <f>IF(ISBLANK(S3652),"Intersection","Non-Intersection")</f>
        <v>Intersection</v>
      </c>
      <c r="Y3652" t="s">
        <v>4516</v>
      </c>
      <c r="Z3652" t="str">
        <f t="shared" si="833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20"/>
        <v>40909</v>
      </c>
      <c r="D3653" s="4">
        <f t="shared" si="821"/>
        <v>0.35792349726775957</v>
      </c>
      <c r="E3653" s="3">
        <f t="shared" si="822"/>
        <v>2012</v>
      </c>
      <c r="F3653" s="3">
        <f t="shared" si="823"/>
        <v>5</v>
      </c>
      <c r="G3653" s="3">
        <f t="shared" si="824"/>
        <v>11</v>
      </c>
      <c r="H3653" s="3">
        <f t="shared" si="825"/>
        <v>8</v>
      </c>
      <c r="I3653" s="3">
        <f t="shared" si="826"/>
        <v>49</v>
      </c>
      <c r="J3653" s="3">
        <f t="shared" si="827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28"/>
        <v>YES</v>
      </c>
      <c r="Q3653" t="str">
        <f t="shared" si="829"/>
        <v>NO</v>
      </c>
      <c r="R3653" t="str">
        <f t="shared" si="830"/>
        <v>NO</v>
      </c>
      <c r="T3653" t="s">
        <v>166</v>
      </c>
      <c r="U3653" t="str">
        <f t="shared" si="831"/>
        <v>Oxford Ave</v>
      </c>
      <c r="V3653" t="s">
        <v>167</v>
      </c>
      <c r="W3653" t="str">
        <f t="shared" si="832"/>
        <v>Wendell St</v>
      </c>
      <c r="X3653" t="str">
        <f>IF(ISBLANK(S3653),"Intersection","Non-Intersection")</f>
        <v>Intersection</v>
      </c>
      <c r="Y3653" t="s">
        <v>168</v>
      </c>
      <c r="Z3653" t="str">
        <f t="shared" si="833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20"/>
        <v>40909</v>
      </c>
      <c r="D3654" s="4">
        <f t="shared" si="821"/>
        <v>0.35792349726775957</v>
      </c>
      <c r="E3654" s="3">
        <f t="shared" si="822"/>
        <v>2012</v>
      </c>
      <c r="F3654" s="3">
        <f t="shared" si="823"/>
        <v>5</v>
      </c>
      <c r="G3654" s="3">
        <f t="shared" si="824"/>
        <v>11</v>
      </c>
      <c r="H3654" s="3">
        <f t="shared" si="825"/>
        <v>6</v>
      </c>
      <c r="I3654" s="3">
        <f t="shared" si="826"/>
        <v>59</v>
      </c>
      <c r="J3654" s="3">
        <f t="shared" si="827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28"/>
        <v>YES</v>
      </c>
      <c r="Q3654" t="str">
        <f t="shared" si="829"/>
        <v>NO</v>
      </c>
      <c r="R3654" t="str">
        <f t="shared" si="830"/>
        <v>NO</v>
      </c>
      <c r="S3654">
        <v>5</v>
      </c>
      <c r="T3654" t="s">
        <v>4517</v>
      </c>
      <c r="U3654" t="str">
        <f t="shared" si="831"/>
        <v>Herbert St</v>
      </c>
      <c r="W3654" t="str">
        <f t="shared" si="832"/>
        <v/>
      </c>
      <c r="X3654" t="str">
        <f>IF(ISBLANK(S3654),"Intersection","Non-Intersection")</f>
        <v>Non-Intersection</v>
      </c>
      <c r="Y3654" t="s">
        <v>4518</v>
      </c>
      <c r="Z3654" t="str">
        <f t="shared" si="833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20"/>
        <v>40909</v>
      </c>
      <c r="D3655" s="4">
        <f t="shared" si="821"/>
        <v>0.35792349726775957</v>
      </c>
      <c r="E3655" s="3">
        <f t="shared" si="822"/>
        <v>2012</v>
      </c>
      <c r="F3655" s="3">
        <f t="shared" si="823"/>
        <v>5</v>
      </c>
      <c r="G3655" s="3">
        <f t="shared" si="824"/>
        <v>11</v>
      </c>
      <c r="H3655" s="3">
        <f t="shared" si="825"/>
        <v>7</v>
      </c>
      <c r="I3655" s="3">
        <f t="shared" si="826"/>
        <v>30</v>
      </c>
      <c r="J3655" s="3">
        <f t="shared" si="827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28"/>
        <v>YES</v>
      </c>
      <c r="Q3655" t="str">
        <f t="shared" si="829"/>
        <v>NO</v>
      </c>
      <c r="R3655" t="str">
        <f t="shared" si="830"/>
        <v>NO</v>
      </c>
      <c r="T3655" t="s">
        <v>216</v>
      </c>
      <c r="U3655" t="str">
        <f t="shared" si="831"/>
        <v>Washington Ave</v>
      </c>
      <c r="V3655" t="s">
        <v>354</v>
      </c>
      <c r="W3655" t="str">
        <f t="shared" si="832"/>
        <v>Linnaean St</v>
      </c>
      <c r="X3655" t="str">
        <f>IF(ISBLANK(S3655),"Intersection","Non-Intersection")</f>
        <v>Intersection</v>
      </c>
      <c r="Y3655" t="s">
        <v>4520</v>
      </c>
      <c r="Z3655" t="str">
        <f t="shared" si="833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20"/>
        <v>40909</v>
      </c>
      <c r="D3656" s="4">
        <f t="shared" si="821"/>
        <v>0.35792349726775957</v>
      </c>
      <c r="E3656" s="3">
        <f t="shared" si="822"/>
        <v>2012</v>
      </c>
      <c r="F3656" s="3">
        <f t="shared" si="823"/>
        <v>5</v>
      </c>
      <c r="G3656" s="3">
        <f t="shared" si="824"/>
        <v>11</v>
      </c>
      <c r="H3656" s="3">
        <f t="shared" si="825"/>
        <v>6</v>
      </c>
      <c r="I3656" s="3">
        <f t="shared" si="826"/>
        <v>59</v>
      </c>
      <c r="J3656" s="3">
        <f t="shared" si="827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28"/>
        <v>YES</v>
      </c>
      <c r="Q3656" t="str">
        <f t="shared" si="829"/>
        <v>NO</v>
      </c>
      <c r="R3656" t="str">
        <f t="shared" si="830"/>
        <v>NO</v>
      </c>
      <c r="S3656">
        <v>800</v>
      </c>
      <c r="T3656" t="s">
        <v>2524</v>
      </c>
      <c r="U3656" t="str">
        <f t="shared" si="831"/>
        <v>Technology Sq</v>
      </c>
      <c r="W3656" t="str">
        <f t="shared" si="832"/>
        <v/>
      </c>
      <c r="X3656" t="str">
        <f>IF(ISBLANK(S3656),"Intersection","Non-Intersection")</f>
        <v>Non-Intersection</v>
      </c>
      <c r="Y3656" t="s">
        <v>4522</v>
      </c>
      <c r="Z3656" t="str">
        <f t="shared" si="833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20"/>
        <v>40909</v>
      </c>
      <c r="D3657" s="4">
        <f t="shared" si="821"/>
        <v>0.36065573770491804</v>
      </c>
      <c r="E3657" s="3">
        <f t="shared" si="822"/>
        <v>2012</v>
      </c>
      <c r="F3657" s="3">
        <f t="shared" si="823"/>
        <v>5</v>
      </c>
      <c r="G3657" s="3">
        <f t="shared" si="824"/>
        <v>12</v>
      </c>
      <c r="H3657" s="3">
        <f t="shared" si="825"/>
        <v>16</v>
      </c>
      <c r="I3657" s="3">
        <f t="shared" si="826"/>
        <v>15</v>
      </c>
      <c r="J3657" s="3">
        <f t="shared" si="827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28"/>
        <v>YES</v>
      </c>
      <c r="Q3657" t="str">
        <f t="shared" si="829"/>
        <v>NO</v>
      </c>
      <c r="R3657" t="str">
        <f t="shared" si="830"/>
        <v>NO</v>
      </c>
      <c r="S3657">
        <v>211</v>
      </c>
      <c r="T3657" t="s">
        <v>170</v>
      </c>
      <c r="U3657" t="str">
        <f t="shared" si="831"/>
        <v>Alewife Brook Pky</v>
      </c>
      <c r="W3657" t="str">
        <f t="shared" si="832"/>
        <v/>
      </c>
      <c r="X3657" t="str">
        <f>IF(ISBLANK(S3657),"Intersection","Non-Intersection")</f>
        <v>Non-Intersection</v>
      </c>
      <c r="Y3657" t="s">
        <v>1359</v>
      </c>
      <c r="Z3657" t="str">
        <f t="shared" si="833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20"/>
        <v>40909</v>
      </c>
      <c r="D3658" s="4">
        <f t="shared" si="821"/>
        <v>0.36065573770491804</v>
      </c>
      <c r="E3658" s="3">
        <f t="shared" si="822"/>
        <v>2012</v>
      </c>
      <c r="F3658" s="3">
        <f t="shared" si="823"/>
        <v>5</v>
      </c>
      <c r="G3658" s="3">
        <f t="shared" si="824"/>
        <v>12</v>
      </c>
      <c r="H3658" s="3">
        <f t="shared" si="825"/>
        <v>18</v>
      </c>
      <c r="I3658" s="3">
        <f t="shared" si="826"/>
        <v>59</v>
      </c>
      <c r="J3658" s="3">
        <f t="shared" si="827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28"/>
        <v>YES</v>
      </c>
      <c r="Q3658" t="str">
        <f t="shared" si="829"/>
        <v>NO</v>
      </c>
      <c r="R3658" t="str">
        <f t="shared" si="830"/>
        <v>NO</v>
      </c>
      <c r="T3658" t="s">
        <v>1742</v>
      </c>
      <c r="U3658" t="str">
        <f t="shared" si="831"/>
        <v>Bow St</v>
      </c>
      <c r="W3658" t="str">
        <f t="shared" si="832"/>
        <v/>
      </c>
      <c r="X3658" t="str">
        <f>IF(ISBLANK(S3658),"Intersection","Non-Intersection")</f>
        <v>Intersection</v>
      </c>
      <c r="Y3658" t="s">
        <v>4524</v>
      </c>
      <c r="Z3658" t="str">
        <f t="shared" si="833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20"/>
        <v>40909</v>
      </c>
      <c r="D3659" s="4">
        <f t="shared" si="821"/>
        <v>0.36338797814207652</v>
      </c>
      <c r="E3659" s="3">
        <f t="shared" si="822"/>
        <v>2012</v>
      </c>
      <c r="F3659" s="3">
        <f t="shared" si="823"/>
        <v>5</v>
      </c>
      <c r="G3659" s="3">
        <f t="shared" si="824"/>
        <v>13</v>
      </c>
      <c r="H3659" s="3">
        <f t="shared" si="825"/>
        <v>19</v>
      </c>
      <c r="I3659" s="3">
        <f t="shared" si="826"/>
        <v>30</v>
      </c>
      <c r="J3659" s="3">
        <f t="shared" si="827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28"/>
        <v>YES</v>
      </c>
      <c r="Q3659" t="str">
        <f t="shared" si="829"/>
        <v>NO</v>
      </c>
      <c r="R3659" t="str">
        <f t="shared" si="830"/>
        <v>NO</v>
      </c>
      <c r="T3659" t="s">
        <v>198</v>
      </c>
      <c r="U3659" t="str">
        <f t="shared" si="831"/>
        <v>Mount Auburn St</v>
      </c>
      <c r="V3659" t="s">
        <v>518</v>
      </c>
      <c r="W3659" t="str">
        <f t="shared" si="832"/>
        <v>Willard St</v>
      </c>
      <c r="X3659" t="str">
        <f>IF(ISBLANK(S3659),"Intersection","Non-Intersection")</f>
        <v>Intersection</v>
      </c>
      <c r="Y3659" t="s">
        <v>519</v>
      </c>
      <c r="Z3659" t="str">
        <f t="shared" si="833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20"/>
        <v>40909</v>
      </c>
      <c r="D3660" s="4">
        <f t="shared" si="821"/>
        <v>0.36612021857923499</v>
      </c>
      <c r="E3660" s="3">
        <f t="shared" si="822"/>
        <v>2012</v>
      </c>
      <c r="F3660" s="3">
        <f t="shared" si="823"/>
        <v>5</v>
      </c>
      <c r="G3660" s="3">
        <f t="shared" si="824"/>
        <v>14</v>
      </c>
      <c r="H3660" s="3">
        <f t="shared" si="825"/>
        <v>8</v>
      </c>
      <c r="I3660" s="3">
        <f t="shared" si="826"/>
        <v>49</v>
      </c>
      <c r="J3660" s="3">
        <f t="shared" si="827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28"/>
        <v>YES</v>
      </c>
      <c r="Q3660" t="str">
        <f t="shared" si="829"/>
        <v>YES</v>
      </c>
      <c r="R3660" t="str">
        <f t="shared" si="830"/>
        <v>NO</v>
      </c>
      <c r="T3660" t="s">
        <v>198</v>
      </c>
      <c r="U3660" t="str">
        <f t="shared" si="831"/>
        <v>Mount Auburn St</v>
      </c>
      <c r="V3660" t="s">
        <v>2055</v>
      </c>
      <c r="W3660" t="str">
        <f t="shared" si="832"/>
        <v>Aberdeen Ct</v>
      </c>
      <c r="X3660" t="str">
        <f>IF(ISBLANK(S3660),"Intersection","Non-Intersection")</f>
        <v>Intersection</v>
      </c>
      <c r="Y3660" t="s">
        <v>4525</v>
      </c>
      <c r="Z3660" t="str">
        <f t="shared" si="833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20"/>
        <v>40909</v>
      </c>
      <c r="D3661" s="4">
        <f t="shared" si="821"/>
        <v>0.36612021857923499</v>
      </c>
      <c r="E3661" s="3">
        <f t="shared" si="822"/>
        <v>2012</v>
      </c>
      <c r="F3661" s="3">
        <f t="shared" si="823"/>
        <v>5</v>
      </c>
      <c r="G3661" s="3">
        <f t="shared" si="824"/>
        <v>14</v>
      </c>
      <c r="H3661" s="3">
        <f t="shared" si="825"/>
        <v>9</v>
      </c>
      <c r="I3661" s="3">
        <f t="shared" si="826"/>
        <v>14</v>
      </c>
      <c r="J3661" s="3">
        <f t="shared" si="827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28"/>
        <v>YES</v>
      </c>
      <c r="Q3661" t="str">
        <f t="shared" si="829"/>
        <v>YES</v>
      </c>
      <c r="R3661" t="str">
        <f t="shared" si="830"/>
        <v>NO</v>
      </c>
      <c r="T3661" t="s">
        <v>19</v>
      </c>
      <c r="U3661" t="str">
        <f t="shared" si="831"/>
        <v>Cambridge St</v>
      </c>
      <c r="V3661" t="s">
        <v>147</v>
      </c>
      <c r="W3661" t="str">
        <f t="shared" si="832"/>
        <v>Sixth St</v>
      </c>
      <c r="X3661" t="str">
        <f>IF(ISBLANK(S3661),"Intersection","Non-Intersection")</f>
        <v>Intersection</v>
      </c>
      <c r="Y3661" t="s">
        <v>536</v>
      </c>
      <c r="Z3661" t="str">
        <f t="shared" si="833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20"/>
        <v>40909</v>
      </c>
      <c r="D3662" s="4">
        <f t="shared" si="821"/>
        <v>0.36612021857923499</v>
      </c>
      <c r="E3662" s="3">
        <f t="shared" si="822"/>
        <v>2012</v>
      </c>
      <c r="F3662" s="3">
        <f t="shared" si="823"/>
        <v>5</v>
      </c>
      <c r="G3662" s="3">
        <f t="shared" si="824"/>
        <v>14</v>
      </c>
      <c r="H3662" s="3">
        <f t="shared" si="825"/>
        <v>9</v>
      </c>
      <c r="I3662" s="3">
        <f t="shared" si="826"/>
        <v>59</v>
      </c>
      <c r="J3662" s="3">
        <f t="shared" si="827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28"/>
        <v>YES</v>
      </c>
      <c r="Q3662" t="str">
        <f t="shared" si="829"/>
        <v>NO</v>
      </c>
      <c r="R3662" t="str">
        <f t="shared" si="830"/>
        <v>NO</v>
      </c>
      <c r="T3662" t="s">
        <v>2787</v>
      </c>
      <c r="U3662" t="str">
        <f t="shared" si="831"/>
        <v>Watson St</v>
      </c>
      <c r="W3662" t="str">
        <f t="shared" si="832"/>
        <v/>
      </c>
      <c r="X3662" t="str">
        <f>IF(ISBLANK(S3662),"Intersection","Non-Intersection")</f>
        <v>Intersection</v>
      </c>
      <c r="Y3662" t="s">
        <v>2788</v>
      </c>
      <c r="Z3662" t="str">
        <f t="shared" si="833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20"/>
        <v>40909</v>
      </c>
      <c r="D3663" s="4">
        <f t="shared" si="821"/>
        <v>0.36612021857923499</v>
      </c>
      <c r="E3663" s="3">
        <f t="shared" si="822"/>
        <v>2012</v>
      </c>
      <c r="F3663" s="3">
        <f t="shared" si="823"/>
        <v>5</v>
      </c>
      <c r="G3663" s="3">
        <f t="shared" si="824"/>
        <v>14</v>
      </c>
      <c r="H3663" s="3">
        <f t="shared" si="825"/>
        <v>12</v>
      </c>
      <c r="I3663" s="3">
        <f t="shared" si="826"/>
        <v>0</v>
      </c>
      <c r="J3663" s="3">
        <f t="shared" si="827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28"/>
        <v>YES</v>
      </c>
      <c r="Q3663" t="str">
        <f t="shared" si="829"/>
        <v>YES</v>
      </c>
      <c r="R3663" t="str">
        <f t="shared" si="830"/>
        <v>NO</v>
      </c>
      <c r="T3663" t="s">
        <v>260</v>
      </c>
      <c r="U3663" t="str">
        <f t="shared" si="831"/>
        <v>Third St</v>
      </c>
      <c r="V3663" t="s">
        <v>1615</v>
      </c>
      <c r="W3663" t="str">
        <f t="shared" si="832"/>
        <v>Kendall Sq</v>
      </c>
      <c r="X3663" t="str">
        <f>IF(ISBLANK(S3663),"Intersection","Non-Intersection")</f>
        <v>Intersection</v>
      </c>
      <c r="Y3663" t="s">
        <v>4526</v>
      </c>
      <c r="Z3663" t="str">
        <f t="shared" si="833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20"/>
        <v>40909</v>
      </c>
      <c r="D3664" s="4">
        <f t="shared" si="821"/>
        <v>0.36612021857923499</v>
      </c>
      <c r="E3664" s="3">
        <f t="shared" si="822"/>
        <v>2012</v>
      </c>
      <c r="F3664" s="3">
        <f t="shared" si="823"/>
        <v>5</v>
      </c>
      <c r="G3664" s="3">
        <f t="shared" si="824"/>
        <v>14</v>
      </c>
      <c r="H3664" s="3">
        <f t="shared" si="825"/>
        <v>20</v>
      </c>
      <c r="I3664" s="3">
        <f t="shared" si="826"/>
        <v>16</v>
      </c>
      <c r="J3664" s="3">
        <f t="shared" si="827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28"/>
        <v>YES</v>
      </c>
      <c r="Q3664" t="str">
        <f t="shared" si="829"/>
        <v>NO</v>
      </c>
      <c r="R3664" t="str">
        <f t="shared" si="830"/>
        <v>NO</v>
      </c>
      <c r="S3664">
        <v>94</v>
      </c>
      <c r="T3664" t="s">
        <v>166</v>
      </c>
      <c r="U3664" t="str">
        <f t="shared" si="831"/>
        <v>Oxford Ave</v>
      </c>
      <c r="W3664" t="str">
        <f t="shared" si="832"/>
        <v/>
      </c>
      <c r="X3664" t="str">
        <f>IF(ISBLANK(S3664),"Intersection","Non-Intersection")</f>
        <v>Non-Intersection</v>
      </c>
      <c r="Y3664" t="s">
        <v>4528</v>
      </c>
      <c r="Z3664" t="str">
        <f t="shared" si="833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34">EOMONTH(B3665,MONTH(B3665)*-1)+1</f>
        <v>40909</v>
      </c>
      <c r="D3665" s="4">
        <f t="shared" ref="D3665:D3727" si="835">YEARFRAC(C3665,B3665,1)</f>
        <v>0.36885245901639346</v>
      </c>
      <c r="E3665" s="3">
        <f t="shared" ref="E3665:E3727" si="836">YEAR(B3665)</f>
        <v>2012</v>
      </c>
      <c r="F3665" s="3">
        <f t="shared" ref="F3665:F3727" si="837">MONTH(B3665)</f>
        <v>5</v>
      </c>
      <c r="G3665" s="3">
        <f t="shared" ref="G3665:G3727" si="838">DAY(B3665)</f>
        <v>15</v>
      </c>
      <c r="H3665" s="3">
        <f t="shared" ref="H3665:H3727" si="839">HOUR(B3665)</f>
        <v>14</v>
      </c>
      <c r="I3665" s="3">
        <f t="shared" ref="I3665:I3727" si="840">MINUTE(B3665)</f>
        <v>29</v>
      </c>
      <c r="J3665" s="3">
        <f t="shared" ref="J3665:J3727" si="841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842">IF(OR(N3665="Auto",O3665="Auto"),"YES",IF(OR(N3665="Taxi",O3665="Taxi"),"YES",IF(OR(N3665="Van",O3665="Van"),"YES",IF(OR(N3665="Truck",O3665="Truck"),"YES","NO"))))</f>
        <v>YES</v>
      </c>
      <c r="Q3665" t="str">
        <f t="shared" ref="Q3665:Q3727" si="843">IF(OR(N3665="Bicycle",O3665="Bicycle"),"YES","NO")</f>
        <v>NO</v>
      </c>
      <c r="R3665" t="str">
        <f t="shared" ref="R3665:R3727" si="844">IF(OR(N3665="Pedestrian",O3665="Pedestrian"),"YES","NO")</f>
        <v>NO</v>
      </c>
      <c r="T3665" t="s">
        <v>14</v>
      </c>
      <c r="U3665" t="str">
        <f t="shared" si="831"/>
        <v>Massachusetts Ave</v>
      </c>
      <c r="V3665" t="s">
        <v>15</v>
      </c>
      <c r="W3665" t="str">
        <f t="shared" si="832"/>
        <v>Rindge Ave</v>
      </c>
      <c r="X3665" t="str">
        <f>IF(ISBLANK(S3665),"Intersection","Non-Intersection")</f>
        <v>Intersection</v>
      </c>
      <c r="Y3665" t="s">
        <v>16</v>
      </c>
      <c r="Z3665" t="str">
        <f t="shared" si="833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34"/>
        <v>40909</v>
      </c>
      <c r="D3666" s="4">
        <f t="shared" si="835"/>
        <v>0.36885245901639346</v>
      </c>
      <c r="E3666" s="3">
        <f t="shared" si="836"/>
        <v>2012</v>
      </c>
      <c r="F3666" s="3">
        <f t="shared" si="837"/>
        <v>5</v>
      </c>
      <c r="G3666" s="3">
        <f t="shared" si="838"/>
        <v>15</v>
      </c>
      <c r="H3666" s="3">
        <f t="shared" si="839"/>
        <v>9</v>
      </c>
      <c r="I3666" s="3">
        <f t="shared" si="840"/>
        <v>0</v>
      </c>
      <c r="J3666" s="3">
        <f t="shared" si="841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842"/>
        <v>YES</v>
      </c>
      <c r="Q3666" t="str">
        <f t="shared" si="843"/>
        <v>NO</v>
      </c>
      <c r="R3666" t="str">
        <f t="shared" si="844"/>
        <v>NO</v>
      </c>
      <c r="S3666">
        <v>211</v>
      </c>
      <c r="T3666" t="s">
        <v>170</v>
      </c>
      <c r="U3666" t="str">
        <f t="shared" si="831"/>
        <v>Alewife Brook Pky</v>
      </c>
      <c r="W3666" t="str">
        <f t="shared" si="832"/>
        <v/>
      </c>
      <c r="X3666" t="str">
        <f>IF(ISBLANK(S3666),"Intersection","Non-Intersection")</f>
        <v>Non-Intersection</v>
      </c>
      <c r="Y3666" t="s">
        <v>1359</v>
      </c>
      <c r="Z3666" t="str">
        <f t="shared" si="833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34"/>
        <v>40909</v>
      </c>
      <c r="D3667" s="4">
        <f t="shared" si="835"/>
        <v>0.36885245901639346</v>
      </c>
      <c r="E3667" s="3">
        <f t="shared" si="836"/>
        <v>2012</v>
      </c>
      <c r="F3667" s="3">
        <f t="shared" si="837"/>
        <v>5</v>
      </c>
      <c r="G3667" s="3">
        <f t="shared" si="838"/>
        <v>15</v>
      </c>
      <c r="H3667" s="3">
        <f t="shared" si="839"/>
        <v>9</v>
      </c>
      <c r="I3667" s="3">
        <f t="shared" si="840"/>
        <v>10</v>
      </c>
      <c r="J3667" s="3">
        <f t="shared" si="841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842"/>
        <v>YES</v>
      </c>
      <c r="Q3667" t="str">
        <f t="shared" si="843"/>
        <v>NO</v>
      </c>
      <c r="R3667" t="str">
        <f t="shared" si="844"/>
        <v>NO</v>
      </c>
      <c r="T3667" t="s">
        <v>105</v>
      </c>
      <c r="U3667" t="str">
        <f t="shared" si="831"/>
        <v>Broadway</v>
      </c>
      <c r="V3667" t="s">
        <v>498</v>
      </c>
      <c r="W3667" t="str">
        <f t="shared" si="832"/>
        <v>Ellery St</v>
      </c>
      <c r="X3667" t="str">
        <f>IF(ISBLANK(S3667),"Intersection","Non-Intersection")</f>
        <v>Intersection</v>
      </c>
      <c r="Y3667" t="s">
        <v>499</v>
      </c>
      <c r="Z3667" t="str">
        <f t="shared" si="833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34"/>
        <v>40909</v>
      </c>
      <c r="D3668" s="4">
        <f t="shared" si="835"/>
        <v>0.36885245901639346</v>
      </c>
      <c r="E3668" s="3">
        <f t="shared" si="836"/>
        <v>2012</v>
      </c>
      <c r="F3668" s="3">
        <f t="shared" si="837"/>
        <v>5</v>
      </c>
      <c r="G3668" s="3">
        <f t="shared" si="838"/>
        <v>15</v>
      </c>
      <c r="H3668" s="3">
        <f t="shared" si="839"/>
        <v>10</v>
      </c>
      <c r="I3668" s="3">
        <f t="shared" si="840"/>
        <v>30</v>
      </c>
      <c r="J3668" s="3">
        <f t="shared" si="841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842"/>
        <v>YES</v>
      </c>
      <c r="Q3668" t="str">
        <f t="shared" si="843"/>
        <v>NO</v>
      </c>
      <c r="R3668" t="str">
        <f t="shared" si="844"/>
        <v>NO</v>
      </c>
      <c r="T3668" t="s">
        <v>42</v>
      </c>
      <c r="U3668" t="str">
        <f t="shared" si="831"/>
        <v>Putnam Ave</v>
      </c>
      <c r="V3668" t="s">
        <v>70</v>
      </c>
      <c r="W3668" t="str">
        <f t="shared" si="832"/>
        <v>Pearl St</v>
      </c>
      <c r="X3668" t="str">
        <f>IF(ISBLANK(S3668),"Intersection","Non-Intersection")</f>
        <v>Intersection</v>
      </c>
      <c r="Y3668" t="s">
        <v>2969</v>
      </c>
      <c r="Z3668" t="str">
        <f t="shared" si="833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34"/>
        <v>40909</v>
      </c>
      <c r="D3669" s="4">
        <f t="shared" si="835"/>
        <v>0.36885245901639346</v>
      </c>
      <c r="E3669" s="3">
        <f t="shared" si="836"/>
        <v>2012</v>
      </c>
      <c r="F3669" s="3">
        <f t="shared" si="837"/>
        <v>5</v>
      </c>
      <c r="G3669" s="3">
        <f t="shared" si="838"/>
        <v>15</v>
      </c>
      <c r="H3669" s="3">
        <f t="shared" si="839"/>
        <v>13</v>
      </c>
      <c r="I3669" s="3">
        <f t="shared" si="840"/>
        <v>44</v>
      </c>
      <c r="J3669" s="3">
        <f t="shared" si="841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842"/>
        <v>YES</v>
      </c>
      <c r="Q3669" t="str">
        <f t="shared" si="843"/>
        <v>NO</v>
      </c>
      <c r="R3669" t="str">
        <f t="shared" si="844"/>
        <v>NO</v>
      </c>
      <c r="T3669" t="s">
        <v>840</v>
      </c>
      <c r="U3669" t="str">
        <f t="shared" si="831"/>
        <v>Church St</v>
      </c>
      <c r="W3669" t="str">
        <f t="shared" si="832"/>
        <v/>
      </c>
      <c r="X3669" t="str">
        <f>IF(ISBLANK(S3669),"Intersection","Non-Intersection")</f>
        <v>Intersection</v>
      </c>
      <c r="Y3669" t="s">
        <v>841</v>
      </c>
      <c r="Z3669" t="str">
        <f t="shared" si="833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34"/>
        <v>40909</v>
      </c>
      <c r="D3670" s="4">
        <f t="shared" si="835"/>
        <v>0.36885245901639346</v>
      </c>
      <c r="E3670" s="3">
        <f t="shared" si="836"/>
        <v>2012</v>
      </c>
      <c r="F3670" s="3">
        <f t="shared" si="837"/>
        <v>5</v>
      </c>
      <c r="G3670" s="3">
        <f t="shared" si="838"/>
        <v>15</v>
      </c>
      <c r="H3670" s="3">
        <f t="shared" si="839"/>
        <v>18</v>
      </c>
      <c r="I3670" s="3">
        <f t="shared" si="840"/>
        <v>27</v>
      </c>
      <c r="J3670" s="3">
        <f t="shared" si="841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842"/>
        <v>YES</v>
      </c>
      <c r="Q3670" t="str">
        <f t="shared" si="843"/>
        <v>NO</v>
      </c>
      <c r="R3670" t="str">
        <f t="shared" si="844"/>
        <v>NO</v>
      </c>
      <c r="T3670" t="s">
        <v>14</v>
      </c>
      <c r="U3670" t="str">
        <f t="shared" si="831"/>
        <v>Massachusetts Ave</v>
      </c>
      <c r="V3670" t="s">
        <v>354</v>
      </c>
      <c r="W3670" t="str">
        <f t="shared" si="832"/>
        <v>Linnaean St</v>
      </c>
      <c r="X3670" t="str">
        <f>IF(ISBLANK(S3670),"Intersection","Non-Intersection")</f>
        <v>Intersection</v>
      </c>
      <c r="Y3670" t="s">
        <v>1234</v>
      </c>
      <c r="Z3670" t="str">
        <f t="shared" si="833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34"/>
        <v>40909</v>
      </c>
      <c r="D3671" s="4">
        <f t="shared" si="835"/>
        <v>0.36885245901639346</v>
      </c>
      <c r="E3671" s="3">
        <f t="shared" si="836"/>
        <v>2012</v>
      </c>
      <c r="F3671" s="3">
        <f t="shared" si="837"/>
        <v>5</v>
      </c>
      <c r="G3671" s="3">
        <f t="shared" si="838"/>
        <v>15</v>
      </c>
      <c r="H3671" s="3">
        <f t="shared" si="839"/>
        <v>18</v>
      </c>
      <c r="I3671" s="3">
        <f t="shared" si="840"/>
        <v>59</v>
      </c>
      <c r="J3671" s="3">
        <f t="shared" si="841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842"/>
        <v>YES</v>
      </c>
      <c r="Q3671" t="str">
        <f t="shared" si="843"/>
        <v>NO</v>
      </c>
      <c r="R3671" t="str">
        <f t="shared" si="844"/>
        <v>NO</v>
      </c>
      <c r="S3671">
        <v>8</v>
      </c>
      <c r="T3671" t="s">
        <v>977</v>
      </c>
      <c r="U3671" t="str">
        <f t="shared" si="831"/>
        <v>Russell St</v>
      </c>
      <c r="W3671" t="str">
        <f t="shared" si="832"/>
        <v/>
      </c>
      <c r="X3671" t="str">
        <f>IF(ISBLANK(S3671),"Intersection","Non-Intersection")</f>
        <v>Non-Intersection</v>
      </c>
      <c r="Y3671" t="s">
        <v>4530</v>
      </c>
      <c r="Z3671" t="str">
        <f t="shared" si="833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34"/>
        <v>40909</v>
      </c>
      <c r="D3672" s="4">
        <f t="shared" si="835"/>
        <v>0.37158469945355194</v>
      </c>
      <c r="E3672" s="3">
        <f t="shared" si="836"/>
        <v>2012</v>
      </c>
      <c r="F3672" s="3">
        <f t="shared" si="837"/>
        <v>5</v>
      </c>
      <c r="G3672" s="3">
        <f t="shared" si="838"/>
        <v>16</v>
      </c>
      <c r="H3672" s="3">
        <f t="shared" si="839"/>
        <v>8</v>
      </c>
      <c r="I3672" s="3">
        <f t="shared" si="840"/>
        <v>32</v>
      </c>
      <c r="J3672" s="3">
        <f t="shared" si="841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842"/>
        <v>YES</v>
      </c>
      <c r="Q3672" t="str">
        <f t="shared" si="843"/>
        <v>YES</v>
      </c>
      <c r="R3672" t="str">
        <f t="shared" si="844"/>
        <v>NO</v>
      </c>
      <c r="S3672">
        <v>292</v>
      </c>
      <c r="T3672" t="s">
        <v>19</v>
      </c>
      <c r="U3672" t="str">
        <f t="shared" si="831"/>
        <v>Cambridge St</v>
      </c>
      <c r="W3672" t="str">
        <f t="shared" si="832"/>
        <v/>
      </c>
      <c r="X3672" t="str">
        <f>IF(ISBLANK(S3672),"Intersection","Non-Intersection")</f>
        <v>Non-Intersection</v>
      </c>
      <c r="Y3672" t="s">
        <v>4532</v>
      </c>
      <c r="Z3672" t="str">
        <f t="shared" si="833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34"/>
        <v>40909</v>
      </c>
      <c r="D3673" s="4">
        <f t="shared" si="835"/>
        <v>0.37158469945355194</v>
      </c>
      <c r="E3673" s="3">
        <f t="shared" si="836"/>
        <v>2012</v>
      </c>
      <c r="F3673" s="3">
        <f t="shared" si="837"/>
        <v>5</v>
      </c>
      <c r="G3673" s="3">
        <f t="shared" si="838"/>
        <v>16</v>
      </c>
      <c r="H3673" s="3">
        <f t="shared" si="839"/>
        <v>12</v>
      </c>
      <c r="I3673" s="3">
        <f t="shared" si="840"/>
        <v>0</v>
      </c>
      <c r="J3673" s="3">
        <f t="shared" si="841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842"/>
        <v>YES</v>
      </c>
      <c r="Q3673" t="str">
        <f t="shared" si="843"/>
        <v>NO</v>
      </c>
      <c r="R3673" t="str">
        <f t="shared" si="844"/>
        <v>NO</v>
      </c>
      <c r="S3673">
        <v>22</v>
      </c>
      <c r="T3673" t="s">
        <v>89</v>
      </c>
      <c r="U3673" t="str">
        <f t="shared" si="831"/>
        <v>Magnolia Ave</v>
      </c>
      <c r="W3673" t="str">
        <f t="shared" si="832"/>
        <v/>
      </c>
      <c r="X3673" t="str">
        <f>IF(ISBLANK(S3673),"Intersection","Non-Intersection")</f>
        <v>Non-Intersection</v>
      </c>
      <c r="Y3673" t="s">
        <v>4534</v>
      </c>
      <c r="Z3673" t="str">
        <f t="shared" si="833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34"/>
        <v>40909</v>
      </c>
      <c r="D3674" s="4">
        <f t="shared" si="835"/>
        <v>0.37158469945355194</v>
      </c>
      <c r="E3674" s="3">
        <f t="shared" si="836"/>
        <v>2012</v>
      </c>
      <c r="F3674" s="3">
        <f t="shared" si="837"/>
        <v>5</v>
      </c>
      <c r="G3674" s="3">
        <f t="shared" si="838"/>
        <v>16</v>
      </c>
      <c r="H3674" s="3">
        <f t="shared" si="839"/>
        <v>14</v>
      </c>
      <c r="I3674" s="3">
        <f t="shared" si="840"/>
        <v>39</v>
      </c>
      <c r="J3674" s="3">
        <f t="shared" si="841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842"/>
        <v>YES</v>
      </c>
      <c r="Q3674" t="str">
        <f t="shared" si="843"/>
        <v>YES</v>
      </c>
      <c r="R3674" t="str">
        <f t="shared" si="844"/>
        <v>NO</v>
      </c>
      <c r="S3674">
        <v>2032</v>
      </c>
      <c r="T3674" t="s">
        <v>14</v>
      </c>
      <c r="U3674" t="str">
        <f t="shared" si="831"/>
        <v>Massachusetts Ave</v>
      </c>
      <c r="W3674" t="str">
        <f t="shared" si="832"/>
        <v/>
      </c>
      <c r="X3674" t="str">
        <f>IF(ISBLANK(S3674),"Intersection","Non-Intersection")</f>
        <v>Non-Intersection</v>
      </c>
      <c r="Y3674" t="s">
        <v>4536</v>
      </c>
      <c r="Z3674" t="str">
        <f t="shared" si="833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34"/>
        <v>40909</v>
      </c>
      <c r="D3675" s="4">
        <f t="shared" si="835"/>
        <v>0.37158469945355194</v>
      </c>
      <c r="E3675" s="3">
        <f t="shared" si="836"/>
        <v>2012</v>
      </c>
      <c r="F3675" s="3">
        <f t="shared" si="837"/>
        <v>5</v>
      </c>
      <c r="G3675" s="3">
        <f t="shared" si="838"/>
        <v>16</v>
      </c>
      <c r="H3675" s="3">
        <f t="shared" si="839"/>
        <v>16</v>
      </c>
      <c r="I3675" s="3">
        <f t="shared" si="840"/>
        <v>30</v>
      </c>
      <c r="J3675" s="3">
        <f t="shared" si="841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842"/>
        <v>YES</v>
      </c>
      <c r="Q3675" t="str">
        <f t="shared" si="843"/>
        <v>NO</v>
      </c>
      <c r="R3675" t="str">
        <f t="shared" si="844"/>
        <v>NO</v>
      </c>
      <c r="S3675">
        <v>6</v>
      </c>
      <c r="T3675" t="s">
        <v>379</v>
      </c>
      <c r="U3675" t="str">
        <f t="shared" si="831"/>
        <v>Second St</v>
      </c>
      <c r="V3675" t="s">
        <v>1502</v>
      </c>
      <c r="W3675" t="str">
        <f t="shared" si="832"/>
        <v>Gore St</v>
      </c>
      <c r="X3675" t="str">
        <f>IF(ISBLANK(S3675),"Intersection","Non-Intersection")</f>
        <v>Non-Intersection</v>
      </c>
      <c r="Y3675" t="s">
        <v>4538</v>
      </c>
      <c r="Z3675" t="str">
        <f t="shared" si="833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34"/>
        <v>40909</v>
      </c>
      <c r="D3676" s="4">
        <f t="shared" si="835"/>
        <v>0.37158469945355194</v>
      </c>
      <c r="E3676" s="3">
        <f t="shared" si="836"/>
        <v>2012</v>
      </c>
      <c r="F3676" s="3">
        <f t="shared" si="837"/>
        <v>5</v>
      </c>
      <c r="G3676" s="3">
        <f t="shared" si="838"/>
        <v>16</v>
      </c>
      <c r="H3676" s="3">
        <f t="shared" si="839"/>
        <v>21</v>
      </c>
      <c r="I3676" s="3">
        <f t="shared" si="840"/>
        <v>36</v>
      </c>
      <c r="J3676" s="3">
        <f t="shared" si="841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842"/>
        <v>YES</v>
      </c>
      <c r="Q3676" t="str">
        <f t="shared" si="843"/>
        <v>NO</v>
      </c>
      <c r="R3676" t="str">
        <f t="shared" si="844"/>
        <v>NO</v>
      </c>
      <c r="T3676" t="s">
        <v>105</v>
      </c>
      <c r="U3676" t="str">
        <f t="shared" si="831"/>
        <v>Broadway</v>
      </c>
      <c r="V3676" t="s">
        <v>342</v>
      </c>
      <c r="W3676" t="str">
        <f t="shared" si="832"/>
        <v>Prospect St</v>
      </c>
      <c r="X3676" t="str">
        <f>IF(ISBLANK(S3676),"Intersection","Non-Intersection")</f>
        <v>Intersection</v>
      </c>
      <c r="Y3676" t="s">
        <v>343</v>
      </c>
      <c r="Z3676" t="str">
        <f t="shared" si="833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34"/>
        <v>40909</v>
      </c>
      <c r="D3677" s="4">
        <f t="shared" si="835"/>
        <v>0.37158469945355194</v>
      </c>
      <c r="E3677" s="3">
        <f t="shared" si="836"/>
        <v>2012</v>
      </c>
      <c r="F3677" s="3">
        <f t="shared" si="837"/>
        <v>5</v>
      </c>
      <c r="G3677" s="3">
        <f t="shared" si="838"/>
        <v>16</v>
      </c>
      <c r="H3677" s="3">
        <f t="shared" si="839"/>
        <v>21</v>
      </c>
      <c r="I3677" s="3">
        <f t="shared" si="840"/>
        <v>43</v>
      </c>
      <c r="J3677" s="3">
        <f t="shared" si="841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842"/>
        <v>YES</v>
      </c>
      <c r="Q3677" t="str">
        <f t="shared" si="843"/>
        <v>NO</v>
      </c>
      <c r="R3677" t="str">
        <f t="shared" si="844"/>
        <v>NO</v>
      </c>
      <c r="S3677">
        <v>4</v>
      </c>
      <c r="T3677" t="s">
        <v>178</v>
      </c>
      <c r="U3677" t="str">
        <f t="shared" si="831"/>
        <v>Pleasant St</v>
      </c>
      <c r="W3677" t="str">
        <f t="shared" si="832"/>
        <v/>
      </c>
      <c r="X3677" t="str">
        <f>IF(ISBLANK(S3677),"Intersection","Non-Intersection")</f>
        <v>Non-Intersection</v>
      </c>
      <c r="Y3677" t="s">
        <v>4540</v>
      </c>
      <c r="Z3677" t="str">
        <f t="shared" si="833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34"/>
        <v>40909</v>
      </c>
      <c r="D3678" s="4">
        <f t="shared" si="835"/>
        <v>0.37158469945355194</v>
      </c>
      <c r="E3678" s="3">
        <f t="shared" si="836"/>
        <v>2012</v>
      </c>
      <c r="F3678" s="3">
        <f t="shared" si="837"/>
        <v>5</v>
      </c>
      <c r="G3678" s="3">
        <f t="shared" si="838"/>
        <v>16</v>
      </c>
      <c r="H3678" s="3">
        <f t="shared" si="839"/>
        <v>22</v>
      </c>
      <c r="I3678" s="3">
        <f t="shared" si="840"/>
        <v>50</v>
      </c>
      <c r="J3678" s="3">
        <f t="shared" si="841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842"/>
        <v>YES</v>
      </c>
      <c r="Q3678" t="str">
        <f t="shared" si="843"/>
        <v>NO</v>
      </c>
      <c r="R3678" t="str">
        <f t="shared" si="844"/>
        <v>YES</v>
      </c>
      <c r="T3678" t="s">
        <v>342</v>
      </c>
      <c r="U3678" t="str">
        <f t="shared" si="831"/>
        <v>Prospect St</v>
      </c>
      <c r="V3678" t="s">
        <v>74</v>
      </c>
      <c r="W3678" t="str">
        <f t="shared" si="832"/>
        <v>Hampshire St</v>
      </c>
      <c r="X3678" t="str">
        <f>IF(ISBLANK(S3678),"Intersection","Non-Intersection")</f>
        <v>Intersection</v>
      </c>
      <c r="Y3678" t="s">
        <v>964</v>
      </c>
      <c r="Z3678" t="str">
        <f t="shared" si="833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34"/>
        <v>40909</v>
      </c>
      <c r="D3679" s="4">
        <f t="shared" si="835"/>
        <v>0.37431693989071041</v>
      </c>
      <c r="E3679" s="3">
        <f t="shared" si="836"/>
        <v>2012</v>
      </c>
      <c r="F3679" s="3">
        <f t="shared" si="837"/>
        <v>5</v>
      </c>
      <c r="G3679" s="3">
        <f t="shared" si="838"/>
        <v>17</v>
      </c>
      <c r="H3679" s="3">
        <f t="shared" si="839"/>
        <v>8</v>
      </c>
      <c r="I3679" s="3">
        <f t="shared" si="840"/>
        <v>39</v>
      </c>
      <c r="J3679" s="3">
        <f t="shared" si="841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842"/>
        <v>YES</v>
      </c>
      <c r="Q3679" t="str">
        <f t="shared" si="843"/>
        <v>YES</v>
      </c>
      <c r="R3679" t="str">
        <f t="shared" si="844"/>
        <v>NO</v>
      </c>
      <c r="T3679" t="s">
        <v>14</v>
      </c>
      <c r="U3679" t="str">
        <f t="shared" si="831"/>
        <v>Massachusetts Ave</v>
      </c>
      <c r="V3679" t="s">
        <v>354</v>
      </c>
      <c r="W3679" t="str">
        <f t="shared" si="832"/>
        <v>Linnaean St</v>
      </c>
      <c r="X3679" t="str">
        <f>IF(ISBLANK(S3679),"Intersection","Non-Intersection")</f>
        <v>Intersection</v>
      </c>
      <c r="Y3679" t="s">
        <v>1234</v>
      </c>
      <c r="Z3679" t="str">
        <f t="shared" si="833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34"/>
        <v>40909</v>
      </c>
      <c r="D3680" s="4">
        <f t="shared" si="835"/>
        <v>0.37431693989071041</v>
      </c>
      <c r="E3680" s="3">
        <f t="shared" si="836"/>
        <v>2012</v>
      </c>
      <c r="F3680" s="3">
        <f t="shared" si="837"/>
        <v>5</v>
      </c>
      <c r="G3680" s="3">
        <f t="shared" si="838"/>
        <v>17</v>
      </c>
      <c r="H3680" s="3">
        <f t="shared" si="839"/>
        <v>13</v>
      </c>
      <c r="I3680" s="3">
        <f t="shared" si="840"/>
        <v>5</v>
      </c>
      <c r="J3680" s="3">
        <f t="shared" si="841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842"/>
        <v>YES</v>
      </c>
      <c r="Q3680" t="str">
        <f t="shared" si="843"/>
        <v>NO</v>
      </c>
      <c r="R3680" t="str">
        <f t="shared" si="844"/>
        <v>YES</v>
      </c>
      <c r="T3680" t="s">
        <v>4492</v>
      </c>
      <c r="U3680" t="str">
        <f t="shared" si="831"/>
        <v>Mount Auburn Pl</v>
      </c>
      <c r="V3680" t="s">
        <v>1177</v>
      </c>
      <c r="W3680" t="str">
        <f t="shared" si="832"/>
        <v>Plympton St</v>
      </c>
      <c r="X3680" t="str">
        <f>IF(ISBLANK(S3680),"Intersection","Non-Intersection")</f>
        <v>Intersection</v>
      </c>
      <c r="Y3680" t="s">
        <v>4542</v>
      </c>
      <c r="Z3680" t="str">
        <f t="shared" si="833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34"/>
        <v>40909</v>
      </c>
      <c r="D3681" s="4">
        <f t="shared" si="835"/>
        <v>0.37431693989071041</v>
      </c>
      <c r="E3681" s="3">
        <f t="shared" si="836"/>
        <v>2012</v>
      </c>
      <c r="F3681" s="3">
        <f t="shared" si="837"/>
        <v>5</v>
      </c>
      <c r="G3681" s="3">
        <f t="shared" si="838"/>
        <v>17</v>
      </c>
      <c r="H3681" s="3">
        <f t="shared" si="839"/>
        <v>13</v>
      </c>
      <c r="I3681" s="3">
        <f t="shared" si="840"/>
        <v>16</v>
      </c>
      <c r="J3681" s="3">
        <f t="shared" si="841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842"/>
        <v>YES</v>
      </c>
      <c r="Q3681" t="str">
        <f t="shared" si="843"/>
        <v>YES</v>
      </c>
      <c r="R3681" t="str">
        <f t="shared" si="844"/>
        <v>NO</v>
      </c>
      <c r="T3681" t="s">
        <v>1177</v>
      </c>
      <c r="U3681" t="str">
        <f t="shared" si="831"/>
        <v>Plympton St</v>
      </c>
      <c r="V3681" t="s">
        <v>198</v>
      </c>
      <c r="W3681" t="str">
        <f t="shared" si="832"/>
        <v>Mount Auburn St</v>
      </c>
      <c r="X3681" t="str">
        <f>IF(ISBLANK(S3681),"Intersection","Non-Intersection")</f>
        <v>Intersection</v>
      </c>
      <c r="Y3681" t="s">
        <v>3817</v>
      </c>
      <c r="Z3681" t="str">
        <f t="shared" si="833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34"/>
        <v>40909</v>
      </c>
      <c r="D3682" s="4">
        <f t="shared" si="835"/>
        <v>0.37431693989071041</v>
      </c>
      <c r="E3682" s="3">
        <f t="shared" si="836"/>
        <v>2012</v>
      </c>
      <c r="F3682" s="3">
        <f t="shared" si="837"/>
        <v>5</v>
      </c>
      <c r="G3682" s="3">
        <f t="shared" si="838"/>
        <v>17</v>
      </c>
      <c r="H3682" s="3">
        <f t="shared" si="839"/>
        <v>14</v>
      </c>
      <c r="I3682" s="3">
        <f t="shared" si="840"/>
        <v>19</v>
      </c>
      <c r="J3682" s="3">
        <f t="shared" si="841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842"/>
        <v>YES</v>
      </c>
      <c r="Q3682" t="str">
        <f t="shared" si="843"/>
        <v>NO</v>
      </c>
      <c r="R3682" t="str">
        <f t="shared" si="844"/>
        <v>NO</v>
      </c>
      <c r="S3682">
        <v>287</v>
      </c>
      <c r="T3682" t="s">
        <v>342</v>
      </c>
      <c r="U3682" t="str">
        <f t="shared" si="831"/>
        <v>Prospect St</v>
      </c>
      <c r="W3682" t="str">
        <f t="shared" si="832"/>
        <v/>
      </c>
      <c r="X3682" t="str">
        <f>IF(ISBLANK(S3682),"Intersection","Non-Intersection")</f>
        <v>Non-Intersection</v>
      </c>
      <c r="Y3682" t="s">
        <v>3689</v>
      </c>
      <c r="Z3682" t="str">
        <f t="shared" si="833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34"/>
        <v>40909</v>
      </c>
      <c r="D3683" s="4">
        <f t="shared" si="835"/>
        <v>0.37431693989071041</v>
      </c>
      <c r="E3683" s="3">
        <f t="shared" si="836"/>
        <v>2012</v>
      </c>
      <c r="F3683" s="3">
        <f t="shared" si="837"/>
        <v>5</v>
      </c>
      <c r="G3683" s="3">
        <f t="shared" si="838"/>
        <v>17</v>
      </c>
      <c r="H3683" s="3">
        <f t="shared" si="839"/>
        <v>20</v>
      </c>
      <c r="I3683" s="3">
        <f t="shared" si="840"/>
        <v>55</v>
      </c>
      <c r="J3683" s="3">
        <f t="shared" si="841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842"/>
        <v>YES</v>
      </c>
      <c r="Q3683" t="str">
        <f t="shared" si="843"/>
        <v>NO</v>
      </c>
      <c r="R3683" t="str">
        <f t="shared" si="844"/>
        <v>NO</v>
      </c>
      <c r="S3683">
        <v>1900</v>
      </c>
      <c r="T3683" t="s">
        <v>14</v>
      </c>
      <c r="U3683" t="str">
        <f t="shared" si="831"/>
        <v>Massachusetts Ave</v>
      </c>
      <c r="W3683" t="str">
        <f t="shared" si="832"/>
        <v/>
      </c>
      <c r="X3683" t="str">
        <f>IF(ISBLANK(S3683),"Intersection","Non-Intersection")</f>
        <v>Non-Intersection</v>
      </c>
      <c r="Y3683" t="s">
        <v>4543</v>
      </c>
      <c r="Z3683" t="str">
        <f t="shared" si="833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34"/>
        <v>40909</v>
      </c>
      <c r="D3684" s="4">
        <f t="shared" si="835"/>
        <v>0.37704918032786883</v>
      </c>
      <c r="E3684" s="3">
        <f t="shared" si="836"/>
        <v>2012</v>
      </c>
      <c r="F3684" s="3">
        <f t="shared" si="837"/>
        <v>5</v>
      </c>
      <c r="G3684" s="3">
        <f t="shared" si="838"/>
        <v>18</v>
      </c>
      <c r="H3684" s="3">
        <f t="shared" si="839"/>
        <v>7</v>
      </c>
      <c r="I3684" s="3">
        <f t="shared" si="840"/>
        <v>5</v>
      </c>
      <c r="J3684" s="3">
        <f t="shared" si="841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842"/>
        <v>YES</v>
      </c>
      <c r="Q3684" t="str">
        <f t="shared" si="843"/>
        <v>YES</v>
      </c>
      <c r="R3684" t="str">
        <f t="shared" si="844"/>
        <v>NO</v>
      </c>
      <c r="S3684">
        <v>1008</v>
      </c>
      <c r="T3684" t="s">
        <v>14</v>
      </c>
      <c r="U3684" t="str">
        <f t="shared" si="831"/>
        <v>Massachusetts Ave</v>
      </c>
      <c r="W3684" t="str">
        <f t="shared" si="832"/>
        <v/>
      </c>
      <c r="X3684" t="str">
        <f>IF(ISBLANK(S3684),"Intersection","Non-Intersection")</f>
        <v>Non-Intersection</v>
      </c>
      <c r="Y3684" t="s">
        <v>1679</v>
      </c>
      <c r="Z3684" t="str">
        <f t="shared" si="833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34"/>
        <v>40909</v>
      </c>
      <c r="D3685" s="4">
        <f t="shared" si="835"/>
        <v>0.37704918032786883</v>
      </c>
      <c r="E3685" s="3">
        <f t="shared" si="836"/>
        <v>2012</v>
      </c>
      <c r="F3685" s="3">
        <f t="shared" si="837"/>
        <v>5</v>
      </c>
      <c r="G3685" s="3">
        <f t="shared" si="838"/>
        <v>18</v>
      </c>
      <c r="H3685" s="3">
        <f t="shared" si="839"/>
        <v>7</v>
      </c>
      <c r="I3685" s="3">
        <f t="shared" si="840"/>
        <v>40</v>
      </c>
      <c r="J3685" s="3">
        <f t="shared" si="841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842"/>
        <v>YES</v>
      </c>
      <c r="Q3685" t="str">
        <f t="shared" si="843"/>
        <v>NO</v>
      </c>
      <c r="R3685" t="str">
        <f t="shared" si="844"/>
        <v>NO</v>
      </c>
      <c r="T3685" t="s">
        <v>479</v>
      </c>
      <c r="U3685" t="str">
        <f t="shared" si="831"/>
        <v>Callender St</v>
      </c>
      <c r="V3685" t="s">
        <v>2443</v>
      </c>
      <c r="W3685" t="str">
        <f t="shared" si="832"/>
        <v>Dodge St</v>
      </c>
      <c r="X3685" t="str">
        <f>IF(ISBLANK(S3685),"Intersection","Non-Intersection")</f>
        <v>Intersection</v>
      </c>
      <c r="Y3685" t="s">
        <v>2638</v>
      </c>
      <c r="Z3685" t="str">
        <f t="shared" si="833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34"/>
        <v>40909</v>
      </c>
      <c r="D3686" s="4">
        <f t="shared" si="835"/>
        <v>0.37704918032786883</v>
      </c>
      <c r="E3686" s="3">
        <f t="shared" si="836"/>
        <v>2012</v>
      </c>
      <c r="F3686" s="3">
        <f t="shared" si="837"/>
        <v>5</v>
      </c>
      <c r="G3686" s="3">
        <f t="shared" si="838"/>
        <v>18</v>
      </c>
      <c r="H3686" s="3">
        <f t="shared" si="839"/>
        <v>16</v>
      </c>
      <c r="I3686" s="3">
        <f t="shared" si="840"/>
        <v>43</v>
      </c>
      <c r="J3686" s="3">
        <f t="shared" si="841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842"/>
        <v>YES</v>
      </c>
      <c r="Q3686" t="str">
        <f t="shared" si="843"/>
        <v>NO</v>
      </c>
      <c r="R3686" t="str">
        <f t="shared" si="844"/>
        <v>NO</v>
      </c>
      <c r="T3686" t="s">
        <v>199</v>
      </c>
      <c r="U3686" t="str">
        <f t="shared" si="831"/>
        <v>Brattle St</v>
      </c>
      <c r="V3686" t="s">
        <v>208</v>
      </c>
      <c r="W3686" t="str">
        <f t="shared" si="832"/>
        <v>Sparks St</v>
      </c>
      <c r="X3686" t="str">
        <f>IF(ISBLANK(S3686),"Intersection","Non-Intersection")</f>
        <v>Intersection</v>
      </c>
      <c r="Y3686" t="s">
        <v>442</v>
      </c>
      <c r="Z3686" t="str">
        <f t="shared" si="833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34"/>
        <v>40909</v>
      </c>
      <c r="D3687" s="4">
        <f t="shared" si="835"/>
        <v>0.37704918032786883</v>
      </c>
      <c r="E3687" s="3">
        <f t="shared" si="836"/>
        <v>2012</v>
      </c>
      <c r="F3687" s="3">
        <f t="shared" si="837"/>
        <v>5</v>
      </c>
      <c r="G3687" s="3">
        <f t="shared" si="838"/>
        <v>18</v>
      </c>
      <c r="H3687" s="3">
        <f t="shared" si="839"/>
        <v>18</v>
      </c>
      <c r="I3687" s="3">
        <f t="shared" si="840"/>
        <v>1</v>
      </c>
      <c r="J3687" s="3">
        <f t="shared" si="841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842"/>
        <v>YES</v>
      </c>
      <c r="Q3687" t="str">
        <f t="shared" si="843"/>
        <v>YES</v>
      </c>
      <c r="R3687" t="str">
        <f t="shared" si="844"/>
        <v>NO</v>
      </c>
      <c r="S3687">
        <v>119</v>
      </c>
      <c r="T3687" t="s">
        <v>74</v>
      </c>
      <c r="U3687" t="str">
        <f t="shared" si="831"/>
        <v>Hampshire St</v>
      </c>
      <c r="W3687" t="str">
        <f t="shared" si="832"/>
        <v/>
      </c>
      <c r="X3687" t="str">
        <f>IF(ISBLANK(S3687),"Intersection","Non-Intersection")</f>
        <v>Non-Intersection</v>
      </c>
      <c r="Y3687" t="s">
        <v>4545</v>
      </c>
      <c r="Z3687" t="str">
        <f t="shared" si="833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34"/>
        <v>40909</v>
      </c>
      <c r="D3688" s="4">
        <f t="shared" si="835"/>
        <v>0.37704918032786883</v>
      </c>
      <c r="E3688" s="3">
        <f t="shared" si="836"/>
        <v>2012</v>
      </c>
      <c r="F3688" s="3">
        <f t="shared" si="837"/>
        <v>5</v>
      </c>
      <c r="G3688" s="3">
        <f t="shared" si="838"/>
        <v>18</v>
      </c>
      <c r="H3688" s="3">
        <f t="shared" si="839"/>
        <v>18</v>
      </c>
      <c r="I3688" s="3">
        <f t="shared" si="840"/>
        <v>14</v>
      </c>
      <c r="J3688" s="3">
        <f t="shared" si="841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842"/>
        <v>YES</v>
      </c>
      <c r="Q3688" t="str">
        <f t="shared" si="843"/>
        <v>NO</v>
      </c>
      <c r="R3688" t="str">
        <f t="shared" si="844"/>
        <v>NO</v>
      </c>
      <c r="T3688" t="s">
        <v>14</v>
      </c>
      <c r="U3688" t="str">
        <f t="shared" si="831"/>
        <v>Massachusetts Ave</v>
      </c>
      <c r="V3688" t="s">
        <v>119</v>
      </c>
      <c r="W3688" t="str">
        <f t="shared" si="832"/>
        <v>Albany St</v>
      </c>
      <c r="X3688" t="str">
        <f>IF(ISBLANK(S3688),"Intersection","Non-Intersection")</f>
        <v>Intersection</v>
      </c>
      <c r="Y3688" t="s">
        <v>247</v>
      </c>
      <c r="Z3688" t="str">
        <f t="shared" si="833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34"/>
        <v>40909</v>
      </c>
      <c r="D3689" s="4">
        <f t="shared" si="835"/>
        <v>0.37704918032786883</v>
      </c>
      <c r="E3689" s="3">
        <f t="shared" si="836"/>
        <v>2012</v>
      </c>
      <c r="F3689" s="3">
        <f t="shared" si="837"/>
        <v>5</v>
      </c>
      <c r="G3689" s="3">
        <f t="shared" si="838"/>
        <v>18</v>
      </c>
      <c r="H3689" s="3">
        <f t="shared" si="839"/>
        <v>18</v>
      </c>
      <c r="I3689" s="3">
        <f t="shared" si="840"/>
        <v>34</v>
      </c>
      <c r="J3689" s="3">
        <f t="shared" si="841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842"/>
        <v>YES</v>
      </c>
      <c r="Q3689" t="str">
        <f t="shared" si="843"/>
        <v>NO</v>
      </c>
      <c r="R3689" t="str">
        <f t="shared" si="844"/>
        <v>NO</v>
      </c>
      <c r="T3689" t="s">
        <v>185</v>
      </c>
      <c r="U3689" t="str">
        <f t="shared" si="831"/>
        <v>Garden St</v>
      </c>
      <c r="V3689" t="s">
        <v>449</v>
      </c>
      <c r="W3689" t="str">
        <f t="shared" si="832"/>
        <v>Appian Way</v>
      </c>
      <c r="X3689" t="str">
        <f>IF(ISBLANK(S3689),"Intersection","Non-Intersection")</f>
        <v>Intersection</v>
      </c>
      <c r="Y3689" t="s">
        <v>729</v>
      </c>
      <c r="Z3689" t="str">
        <f t="shared" si="833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34"/>
        <v>40909</v>
      </c>
      <c r="D3690" s="4">
        <f t="shared" si="835"/>
        <v>0.37704918032786883</v>
      </c>
      <c r="E3690" s="3">
        <f t="shared" si="836"/>
        <v>2012</v>
      </c>
      <c r="F3690" s="3">
        <f t="shared" si="837"/>
        <v>5</v>
      </c>
      <c r="G3690" s="3">
        <f t="shared" si="838"/>
        <v>18</v>
      </c>
      <c r="H3690" s="3">
        <f t="shared" si="839"/>
        <v>18</v>
      </c>
      <c r="I3690" s="3">
        <f t="shared" si="840"/>
        <v>30</v>
      </c>
      <c r="J3690" s="3">
        <f t="shared" si="841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842"/>
        <v>YES</v>
      </c>
      <c r="Q3690" t="str">
        <f t="shared" si="843"/>
        <v>YES</v>
      </c>
      <c r="R3690" t="str">
        <f t="shared" si="844"/>
        <v>NO</v>
      </c>
      <c r="T3690" t="s">
        <v>745</v>
      </c>
      <c r="U3690" t="str">
        <f t="shared" si="831"/>
        <v>Norfolk St</v>
      </c>
      <c r="V3690" t="s">
        <v>105</v>
      </c>
      <c r="W3690" t="str">
        <f t="shared" si="832"/>
        <v>Broadway</v>
      </c>
      <c r="X3690" t="str">
        <f>IF(ISBLANK(S3690),"Intersection","Non-Intersection")</f>
        <v>Intersection</v>
      </c>
      <c r="Y3690" t="s">
        <v>4547</v>
      </c>
      <c r="Z3690" t="str">
        <f t="shared" si="833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34"/>
        <v>40909</v>
      </c>
      <c r="D3691" s="4">
        <f t="shared" si="835"/>
        <v>0.3797814207650273</v>
      </c>
      <c r="E3691" s="3">
        <f t="shared" si="836"/>
        <v>2012</v>
      </c>
      <c r="F3691" s="3">
        <f t="shared" si="837"/>
        <v>5</v>
      </c>
      <c r="G3691" s="3">
        <f t="shared" si="838"/>
        <v>19</v>
      </c>
      <c r="H3691" s="3">
        <f t="shared" si="839"/>
        <v>2</v>
      </c>
      <c r="I3691" s="3">
        <f t="shared" si="840"/>
        <v>0</v>
      </c>
      <c r="J3691" s="3">
        <f t="shared" si="841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842"/>
        <v>YES</v>
      </c>
      <c r="Q3691" t="str">
        <f t="shared" si="843"/>
        <v>NO</v>
      </c>
      <c r="R3691" t="str">
        <f t="shared" si="844"/>
        <v>NO</v>
      </c>
      <c r="T3691" t="s">
        <v>24</v>
      </c>
      <c r="U3691" t="str">
        <f t="shared" si="831"/>
        <v>Coolidge Ave</v>
      </c>
      <c r="V3691" t="s">
        <v>198</v>
      </c>
      <c r="W3691" t="str">
        <f t="shared" si="832"/>
        <v>Mount Auburn St</v>
      </c>
      <c r="X3691" t="str">
        <f>IF(ISBLANK(S3691),"Intersection","Non-Intersection")</f>
        <v>Intersection</v>
      </c>
      <c r="Y3691" t="s">
        <v>3025</v>
      </c>
      <c r="Z3691" t="str">
        <f t="shared" si="833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34"/>
        <v>40909</v>
      </c>
      <c r="D3692" s="4">
        <f t="shared" si="835"/>
        <v>0.3797814207650273</v>
      </c>
      <c r="E3692" s="3">
        <f t="shared" si="836"/>
        <v>2012</v>
      </c>
      <c r="F3692" s="3">
        <f t="shared" si="837"/>
        <v>5</v>
      </c>
      <c r="G3692" s="3">
        <f t="shared" si="838"/>
        <v>19</v>
      </c>
      <c r="H3692" s="3">
        <f t="shared" si="839"/>
        <v>6</v>
      </c>
      <c r="I3692" s="3">
        <f t="shared" si="840"/>
        <v>55</v>
      </c>
      <c r="J3692" s="3">
        <f t="shared" si="841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842"/>
        <v>YES</v>
      </c>
      <c r="Q3692" t="str">
        <f t="shared" si="843"/>
        <v>NO</v>
      </c>
      <c r="R3692" t="str">
        <f t="shared" si="844"/>
        <v>NO</v>
      </c>
      <c r="T3692" t="s">
        <v>19</v>
      </c>
      <c r="U3692" t="str">
        <f t="shared" si="831"/>
        <v>Cambridge St</v>
      </c>
      <c r="V3692" t="s">
        <v>260</v>
      </c>
      <c r="W3692" t="str">
        <f t="shared" si="832"/>
        <v>Third St</v>
      </c>
      <c r="X3692" t="str">
        <f>IF(ISBLANK(S3692),"Intersection","Non-Intersection")</f>
        <v>Intersection</v>
      </c>
      <c r="Y3692" t="s">
        <v>640</v>
      </c>
      <c r="Z3692" t="str">
        <f t="shared" si="833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34"/>
        <v>40909</v>
      </c>
      <c r="D3693" s="4">
        <f t="shared" si="835"/>
        <v>0.3797814207650273</v>
      </c>
      <c r="E3693" s="3">
        <f t="shared" si="836"/>
        <v>2012</v>
      </c>
      <c r="F3693" s="3">
        <f t="shared" si="837"/>
        <v>5</v>
      </c>
      <c r="G3693" s="3">
        <f t="shared" si="838"/>
        <v>19</v>
      </c>
      <c r="H3693" s="3">
        <f t="shared" si="839"/>
        <v>13</v>
      </c>
      <c r="I3693" s="3">
        <f t="shared" si="840"/>
        <v>15</v>
      </c>
      <c r="J3693" s="3">
        <f t="shared" si="841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842"/>
        <v>YES</v>
      </c>
      <c r="Q3693" t="str">
        <f t="shared" si="843"/>
        <v>YES</v>
      </c>
      <c r="R3693" t="str">
        <f t="shared" si="844"/>
        <v>NO</v>
      </c>
      <c r="S3693">
        <v>77</v>
      </c>
      <c r="T3693" t="s">
        <v>14</v>
      </c>
      <c r="U3693" t="str">
        <f t="shared" si="831"/>
        <v>Massachusetts Ave</v>
      </c>
      <c r="W3693" t="str">
        <f t="shared" si="832"/>
        <v/>
      </c>
      <c r="X3693" t="str">
        <f>IF(ISBLANK(S3693),"Intersection","Non-Intersection")</f>
        <v>Non-Intersection</v>
      </c>
      <c r="Y3693" t="s">
        <v>415</v>
      </c>
      <c r="Z3693" t="str">
        <f t="shared" si="833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34"/>
        <v>40909</v>
      </c>
      <c r="D3694" s="4">
        <f t="shared" si="835"/>
        <v>0.38251366120218577</v>
      </c>
      <c r="E3694" s="3">
        <f t="shared" si="836"/>
        <v>2012</v>
      </c>
      <c r="F3694" s="3">
        <f t="shared" si="837"/>
        <v>5</v>
      </c>
      <c r="G3694" s="3">
        <f t="shared" si="838"/>
        <v>20</v>
      </c>
      <c r="H3694" s="3">
        <f t="shared" si="839"/>
        <v>2</v>
      </c>
      <c r="I3694" s="3">
        <f t="shared" si="840"/>
        <v>35</v>
      </c>
      <c r="J3694" s="3">
        <f t="shared" si="841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842"/>
        <v>YES</v>
      </c>
      <c r="Q3694" t="str">
        <f t="shared" si="843"/>
        <v>NO</v>
      </c>
      <c r="R3694" t="str">
        <f t="shared" si="844"/>
        <v>NO</v>
      </c>
      <c r="T3694" t="s">
        <v>19</v>
      </c>
      <c r="U3694" t="str">
        <f t="shared" si="831"/>
        <v>Cambridge St</v>
      </c>
      <c r="V3694" t="s">
        <v>431</v>
      </c>
      <c r="W3694" t="str">
        <f t="shared" si="832"/>
        <v>Hovey Ave</v>
      </c>
      <c r="X3694" t="str">
        <f>IF(ISBLANK(S3694),"Intersection","Non-Intersection")</f>
        <v>Intersection</v>
      </c>
      <c r="Y3694" t="s">
        <v>432</v>
      </c>
      <c r="Z3694" t="str">
        <f t="shared" si="833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34"/>
        <v>40909</v>
      </c>
      <c r="D3695" s="4">
        <f t="shared" si="835"/>
        <v>0.38251366120218577</v>
      </c>
      <c r="E3695" s="3">
        <f t="shared" si="836"/>
        <v>2012</v>
      </c>
      <c r="F3695" s="3">
        <f t="shared" si="837"/>
        <v>5</v>
      </c>
      <c r="G3695" s="3">
        <f t="shared" si="838"/>
        <v>20</v>
      </c>
      <c r="H3695" s="3">
        <f t="shared" si="839"/>
        <v>4</v>
      </c>
      <c r="I3695" s="3">
        <f t="shared" si="840"/>
        <v>25</v>
      </c>
      <c r="J3695" s="3">
        <f t="shared" si="841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842"/>
        <v>YES</v>
      </c>
      <c r="Q3695" t="str">
        <f t="shared" si="843"/>
        <v>NO</v>
      </c>
      <c r="R3695" t="str">
        <f t="shared" si="844"/>
        <v>NO</v>
      </c>
      <c r="T3695" t="s">
        <v>185</v>
      </c>
      <c r="U3695" t="str">
        <f t="shared" si="831"/>
        <v>Garden St</v>
      </c>
      <c r="V3695" t="s">
        <v>1745</v>
      </c>
      <c r="W3695" t="str">
        <f t="shared" si="832"/>
        <v>Fernald Dr</v>
      </c>
      <c r="X3695" t="str">
        <f>IF(ISBLANK(S3695),"Intersection","Non-Intersection")</f>
        <v>Intersection</v>
      </c>
      <c r="Y3695" t="s">
        <v>4548</v>
      </c>
      <c r="Z3695" t="str">
        <f t="shared" si="833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34"/>
        <v>40909</v>
      </c>
      <c r="D3696" s="4">
        <f t="shared" si="835"/>
        <v>0.38251366120218577</v>
      </c>
      <c r="E3696" s="3">
        <f t="shared" si="836"/>
        <v>2012</v>
      </c>
      <c r="F3696" s="3">
        <f t="shared" si="837"/>
        <v>5</v>
      </c>
      <c r="G3696" s="3">
        <f t="shared" si="838"/>
        <v>20</v>
      </c>
      <c r="H3696" s="3">
        <f t="shared" si="839"/>
        <v>8</v>
      </c>
      <c r="I3696" s="3">
        <f t="shared" si="840"/>
        <v>10</v>
      </c>
      <c r="J3696" s="3">
        <f t="shared" si="841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842"/>
        <v>YES</v>
      </c>
      <c r="Q3696" t="str">
        <f t="shared" si="843"/>
        <v>NO</v>
      </c>
      <c r="R3696" t="str">
        <f t="shared" si="844"/>
        <v>NO</v>
      </c>
      <c r="T3696" t="s">
        <v>14</v>
      </c>
      <c r="U3696" t="str">
        <f t="shared" si="831"/>
        <v>Massachusetts Ave</v>
      </c>
      <c r="V3696" t="s">
        <v>202</v>
      </c>
      <c r="W3696" t="str">
        <f t="shared" si="832"/>
        <v>Vassar St</v>
      </c>
      <c r="X3696" t="str">
        <f>IF(ISBLANK(S3696),"Intersection","Non-Intersection")</f>
        <v>Intersection</v>
      </c>
      <c r="Y3696" t="s">
        <v>361</v>
      </c>
      <c r="Z3696" t="str">
        <f t="shared" si="833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34"/>
        <v>40909</v>
      </c>
      <c r="D3697" s="4">
        <f t="shared" si="835"/>
        <v>0.38251366120218577</v>
      </c>
      <c r="E3697" s="3">
        <f t="shared" si="836"/>
        <v>2012</v>
      </c>
      <c r="F3697" s="3">
        <f t="shared" si="837"/>
        <v>5</v>
      </c>
      <c r="G3697" s="3">
        <f t="shared" si="838"/>
        <v>20</v>
      </c>
      <c r="H3697" s="3">
        <f t="shared" si="839"/>
        <v>17</v>
      </c>
      <c r="I3697" s="3">
        <f t="shared" si="840"/>
        <v>15</v>
      </c>
      <c r="J3697" s="3">
        <f t="shared" si="841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842"/>
        <v>NO</v>
      </c>
      <c r="Q3697" t="str">
        <f t="shared" si="843"/>
        <v>NO</v>
      </c>
      <c r="R3697" t="str">
        <f t="shared" si="844"/>
        <v>NO</v>
      </c>
      <c r="T3697" t="s">
        <v>4313</v>
      </c>
      <c r="U3697" t="str">
        <f t="shared" si="831"/>
        <v>Dunstable Rd</v>
      </c>
      <c r="V3697" t="s">
        <v>198</v>
      </c>
      <c r="W3697" t="str">
        <f t="shared" si="832"/>
        <v>Mount Auburn St</v>
      </c>
      <c r="X3697" t="str">
        <f>IF(ISBLANK(S3697),"Intersection","Non-Intersection")</f>
        <v>Intersection</v>
      </c>
      <c r="Y3697" t="s">
        <v>4550</v>
      </c>
      <c r="Z3697" t="str">
        <f t="shared" si="833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34"/>
        <v>40909</v>
      </c>
      <c r="D3698" s="4">
        <f t="shared" si="835"/>
        <v>0.38251366120218577</v>
      </c>
      <c r="E3698" s="3">
        <f t="shared" si="836"/>
        <v>2012</v>
      </c>
      <c r="F3698" s="3">
        <f t="shared" si="837"/>
        <v>5</v>
      </c>
      <c r="G3698" s="3">
        <f t="shared" si="838"/>
        <v>20</v>
      </c>
      <c r="H3698" s="3">
        <f t="shared" si="839"/>
        <v>17</v>
      </c>
      <c r="I3698" s="3">
        <f t="shared" si="840"/>
        <v>29</v>
      </c>
      <c r="J3698" s="3">
        <f t="shared" si="841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842"/>
        <v>YES</v>
      </c>
      <c r="Q3698" t="str">
        <f t="shared" si="843"/>
        <v>NO</v>
      </c>
      <c r="R3698" t="str">
        <f t="shared" si="844"/>
        <v>NO</v>
      </c>
      <c r="S3698">
        <v>33</v>
      </c>
      <c r="T3698" t="s">
        <v>1646</v>
      </c>
      <c r="U3698" t="str">
        <f t="shared" si="831"/>
        <v>Lambert St</v>
      </c>
      <c r="W3698" t="str">
        <f t="shared" si="832"/>
        <v/>
      </c>
      <c r="X3698" t="str">
        <f>IF(ISBLANK(S3698),"Intersection","Non-Intersection")</f>
        <v>Non-Intersection</v>
      </c>
      <c r="Y3698" t="s">
        <v>4551</v>
      </c>
      <c r="Z3698" t="str">
        <f t="shared" si="833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34"/>
        <v>40909</v>
      </c>
      <c r="D3699" s="4">
        <f t="shared" si="835"/>
        <v>0.38524590163934425</v>
      </c>
      <c r="E3699" s="3">
        <f t="shared" si="836"/>
        <v>2012</v>
      </c>
      <c r="F3699" s="3">
        <f t="shared" si="837"/>
        <v>5</v>
      </c>
      <c r="G3699" s="3">
        <f t="shared" si="838"/>
        <v>21</v>
      </c>
      <c r="H3699" s="3">
        <f t="shared" si="839"/>
        <v>18</v>
      </c>
      <c r="I3699" s="3">
        <f t="shared" si="840"/>
        <v>8</v>
      </c>
      <c r="J3699" s="3">
        <f t="shared" si="841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842"/>
        <v>YES</v>
      </c>
      <c r="Q3699" t="str">
        <f t="shared" si="843"/>
        <v>NO</v>
      </c>
      <c r="R3699" t="str">
        <f t="shared" si="844"/>
        <v>NO</v>
      </c>
      <c r="T3699" t="s">
        <v>19</v>
      </c>
      <c r="U3699" t="str">
        <f t="shared" si="831"/>
        <v>Cambridge St</v>
      </c>
      <c r="W3699" t="str">
        <f t="shared" si="832"/>
        <v/>
      </c>
      <c r="X3699" t="str">
        <f>IF(ISBLANK(S3699),"Intersection","Non-Intersection")</f>
        <v>Intersection</v>
      </c>
      <c r="Y3699" t="s">
        <v>2237</v>
      </c>
      <c r="Z3699" t="str">
        <f t="shared" si="833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34"/>
        <v>40909</v>
      </c>
      <c r="D3700" s="4">
        <f t="shared" si="835"/>
        <v>0.38524590163934425</v>
      </c>
      <c r="E3700" s="3">
        <f t="shared" si="836"/>
        <v>2012</v>
      </c>
      <c r="F3700" s="3">
        <f t="shared" si="837"/>
        <v>5</v>
      </c>
      <c r="G3700" s="3">
        <f t="shared" si="838"/>
        <v>21</v>
      </c>
      <c r="H3700" s="3">
        <f t="shared" si="839"/>
        <v>12</v>
      </c>
      <c r="I3700" s="3">
        <f t="shared" si="840"/>
        <v>59</v>
      </c>
      <c r="J3700" s="3">
        <f t="shared" si="841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842"/>
        <v>YES</v>
      </c>
      <c r="Q3700" t="str">
        <f t="shared" si="843"/>
        <v>NO</v>
      </c>
      <c r="R3700" t="str">
        <f t="shared" si="844"/>
        <v>YES</v>
      </c>
      <c r="T3700" t="s">
        <v>14</v>
      </c>
      <c r="U3700" t="str">
        <f t="shared" si="831"/>
        <v>Massachusetts Ave</v>
      </c>
      <c r="V3700" t="s">
        <v>1088</v>
      </c>
      <c r="W3700" t="str">
        <f t="shared" si="832"/>
        <v>Temple St</v>
      </c>
      <c r="X3700" t="str">
        <f>IF(ISBLANK(S3700),"Intersection","Non-Intersection")</f>
        <v>Intersection</v>
      </c>
      <c r="Y3700" t="s">
        <v>1089</v>
      </c>
      <c r="Z3700" t="str">
        <f t="shared" si="833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34"/>
        <v>40909</v>
      </c>
      <c r="D3701" s="4">
        <f t="shared" si="835"/>
        <v>0.38524590163934425</v>
      </c>
      <c r="E3701" s="3">
        <f t="shared" si="836"/>
        <v>2012</v>
      </c>
      <c r="F3701" s="3">
        <f t="shared" si="837"/>
        <v>5</v>
      </c>
      <c r="G3701" s="3">
        <f t="shared" si="838"/>
        <v>21</v>
      </c>
      <c r="H3701" s="3">
        <f t="shared" si="839"/>
        <v>15</v>
      </c>
      <c r="I3701" s="3">
        <f t="shared" si="840"/>
        <v>45</v>
      </c>
      <c r="J3701" s="3">
        <f t="shared" si="841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842"/>
        <v>YES</v>
      </c>
      <c r="Q3701" t="str">
        <f t="shared" si="843"/>
        <v>NO</v>
      </c>
      <c r="R3701" t="str">
        <f t="shared" si="844"/>
        <v>NO</v>
      </c>
      <c r="S3701">
        <v>1001</v>
      </c>
      <c r="T3701" t="s">
        <v>19</v>
      </c>
      <c r="U3701" t="str">
        <f t="shared" si="831"/>
        <v>Cambridge St</v>
      </c>
      <c r="W3701" t="str">
        <f t="shared" si="832"/>
        <v/>
      </c>
      <c r="X3701" t="str">
        <f>IF(ISBLANK(S3701),"Intersection","Non-Intersection")</f>
        <v>Non-Intersection</v>
      </c>
      <c r="Y3701" t="s">
        <v>2171</v>
      </c>
      <c r="Z3701" t="str">
        <f t="shared" si="833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34"/>
        <v>40909</v>
      </c>
      <c r="D3702" s="4">
        <f t="shared" si="835"/>
        <v>0.38524590163934425</v>
      </c>
      <c r="E3702" s="3">
        <f t="shared" si="836"/>
        <v>2012</v>
      </c>
      <c r="F3702" s="3">
        <f t="shared" si="837"/>
        <v>5</v>
      </c>
      <c r="G3702" s="3">
        <f t="shared" si="838"/>
        <v>21</v>
      </c>
      <c r="H3702" s="3">
        <f t="shared" si="839"/>
        <v>16</v>
      </c>
      <c r="I3702" s="3">
        <f t="shared" si="840"/>
        <v>15</v>
      </c>
      <c r="J3702" s="3">
        <f t="shared" si="841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842"/>
        <v>YES</v>
      </c>
      <c r="Q3702" t="str">
        <f t="shared" si="843"/>
        <v>NO</v>
      </c>
      <c r="R3702" t="str">
        <f t="shared" si="844"/>
        <v>NO</v>
      </c>
      <c r="T3702" t="s">
        <v>178</v>
      </c>
      <c r="U3702" t="str">
        <f t="shared" si="831"/>
        <v>Pleasant St</v>
      </c>
      <c r="V3702" t="s">
        <v>108</v>
      </c>
      <c r="W3702" t="str">
        <f t="shared" si="832"/>
        <v>Franklin St</v>
      </c>
      <c r="X3702" t="str">
        <f>IF(ISBLANK(S3702),"Intersection","Non-Intersection")</f>
        <v>Intersection</v>
      </c>
      <c r="Y3702" t="s">
        <v>4244</v>
      </c>
      <c r="Z3702" t="str">
        <f t="shared" si="833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34"/>
        <v>40909</v>
      </c>
      <c r="D3703" s="4">
        <f t="shared" si="835"/>
        <v>0.38524590163934425</v>
      </c>
      <c r="E3703" s="3">
        <f t="shared" si="836"/>
        <v>2012</v>
      </c>
      <c r="F3703" s="3">
        <f t="shared" si="837"/>
        <v>5</v>
      </c>
      <c r="G3703" s="3">
        <f t="shared" si="838"/>
        <v>21</v>
      </c>
      <c r="H3703" s="3">
        <f t="shared" si="839"/>
        <v>17</v>
      </c>
      <c r="I3703" s="3">
        <f t="shared" si="840"/>
        <v>49</v>
      </c>
      <c r="J3703" s="3">
        <f t="shared" si="841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842"/>
        <v>YES</v>
      </c>
      <c r="Q3703" t="str">
        <f t="shared" si="843"/>
        <v>NO</v>
      </c>
      <c r="R3703" t="str">
        <f t="shared" si="844"/>
        <v>NO</v>
      </c>
      <c r="T3703" t="s">
        <v>142</v>
      </c>
      <c r="U3703" t="str">
        <f t="shared" si="831"/>
        <v>Huron Ave</v>
      </c>
      <c r="V3703" t="s">
        <v>464</v>
      </c>
      <c r="W3703" t="str">
        <f t="shared" si="832"/>
        <v>Aberdeen Way</v>
      </c>
      <c r="X3703" t="str">
        <f>IF(ISBLANK(S3703),"Intersection","Non-Intersection")</f>
        <v>Intersection</v>
      </c>
      <c r="Y3703" t="s">
        <v>2397</v>
      </c>
      <c r="Z3703" t="str">
        <f t="shared" si="833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34"/>
        <v>40909</v>
      </c>
      <c r="D3704" s="4">
        <f t="shared" si="835"/>
        <v>0.38524590163934425</v>
      </c>
      <c r="E3704" s="3">
        <f t="shared" si="836"/>
        <v>2012</v>
      </c>
      <c r="F3704" s="3">
        <f t="shared" si="837"/>
        <v>5</v>
      </c>
      <c r="G3704" s="3">
        <f t="shared" si="838"/>
        <v>21</v>
      </c>
      <c r="H3704" s="3">
        <f t="shared" si="839"/>
        <v>18</v>
      </c>
      <c r="I3704" s="3">
        <f t="shared" si="840"/>
        <v>56</v>
      </c>
      <c r="J3704" s="3">
        <f t="shared" si="841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842"/>
        <v>YES</v>
      </c>
      <c r="Q3704" t="str">
        <f t="shared" si="843"/>
        <v>NO</v>
      </c>
      <c r="R3704" t="str">
        <f t="shared" si="844"/>
        <v>NO</v>
      </c>
      <c r="S3704">
        <v>195</v>
      </c>
      <c r="T3704" t="s">
        <v>2060</v>
      </c>
      <c r="U3704" t="str">
        <f t="shared" si="831"/>
        <v>Harvey St</v>
      </c>
      <c r="W3704" t="str">
        <f t="shared" si="832"/>
        <v/>
      </c>
      <c r="X3704" t="str">
        <f>IF(ISBLANK(S3704),"Intersection","Non-Intersection")</f>
        <v>Non-Intersection</v>
      </c>
      <c r="Y3704" t="s">
        <v>4553</v>
      </c>
      <c r="Z3704" t="str">
        <f t="shared" si="833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34"/>
        <v>40909</v>
      </c>
      <c r="D3705" s="4">
        <f t="shared" si="835"/>
        <v>0.38524590163934425</v>
      </c>
      <c r="E3705" s="3">
        <f t="shared" si="836"/>
        <v>2012</v>
      </c>
      <c r="F3705" s="3">
        <f t="shared" si="837"/>
        <v>5</v>
      </c>
      <c r="G3705" s="3">
        <f t="shared" si="838"/>
        <v>21</v>
      </c>
      <c r="H3705" s="3">
        <f t="shared" si="839"/>
        <v>14</v>
      </c>
      <c r="I3705" s="3">
        <f t="shared" si="840"/>
        <v>19</v>
      </c>
      <c r="J3705" s="3">
        <f t="shared" si="841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842"/>
        <v>YES</v>
      </c>
      <c r="Q3705" t="str">
        <f t="shared" si="843"/>
        <v>YES</v>
      </c>
      <c r="R3705" t="str">
        <f t="shared" si="844"/>
        <v>NO</v>
      </c>
      <c r="T3705" t="s">
        <v>32</v>
      </c>
      <c r="U3705" t="str">
        <f t="shared" si="831"/>
        <v>Main St</v>
      </c>
      <c r="V3705" t="s">
        <v>189</v>
      </c>
      <c r="W3705" t="str">
        <f t="shared" si="832"/>
        <v>Windsor St</v>
      </c>
      <c r="X3705" t="str">
        <f>IF(ISBLANK(S3705),"Intersection","Non-Intersection")</f>
        <v>Intersection</v>
      </c>
      <c r="Y3705" t="s">
        <v>1737</v>
      </c>
      <c r="Z3705" t="str">
        <f t="shared" si="833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34"/>
        <v>40909</v>
      </c>
      <c r="D3706" s="4">
        <f t="shared" si="835"/>
        <v>0.38797814207650272</v>
      </c>
      <c r="E3706" s="3">
        <f t="shared" si="836"/>
        <v>2012</v>
      </c>
      <c r="F3706" s="3">
        <f t="shared" si="837"/>
        <v>5</v>
      </c>
      <c r="G3706" s="3">
        <f t="shared" si="838"/>
        <v>22</v>
      </c>
      <c r="H3706" s="3">
        <f t="shared" si="839"/>
        <v>10</v>
      </c>
      <c r="I3706" s="3">
        <f t="shared" si="840"/>
        <v>9</v>
      </c>
      <c r="J3706" s="3">
        <f t="shared" si="841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842"/>
        <v>YES</v>
      </c>
      <c r="Q3706" t="str">
        <f t="shared" si="843"/>
        <v>NO</v>
      </c>
      <c r="R3706" t="str">
        <f t="shared" si="844"/>
        <v>NO</v>
      </c>
      <c r="T3706" t="s">
        <v>19</v>
      </c>
      <c r="U3706" t="str">
        <f t="shared" si="831"/>
        <v>Cambridge St</v>
      </c>
      <c r="V3706" t="s">
        <v>20</v>
      </c>
      <c r="W3706" t="str">
        <f t="shared" si="832"/>
        <v>Sciarappa St</v>
      </c>
      <c r="X3706" t="str">
        <f>IF(ISBLANK(S3706),"Intersection","Non-Intersection")</f>
        <v>Intersection</v>
      </c>
      <c r="Y3706" t="s">
        <v>21</v>
      </c>
      <c r="Z3706" t="str">
        <f t="shared" si="833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34"/>
        <v>40909</v>
      </c>
      <c r="D3707" s="4">
        <f t="shared" si="835"/>
        <v>0.38797814207650272</v>
      </c>
      <c r="E3707" s="3">
        <f t="shared" si="836"/>
        <v>2012</v>
      </c>
      <c r="F3707" s="3">
        <f t="shared" si="837"/>
        <v>5</v>
      </c>
      <c r="G3707" s="3">
        <f t="shared" si="838"/>
        <v>22</v>
      </c>
      <c r="H3707" s="3">
        <f t="shared" si="839"/>
        <v>18</v>
      </c>
      <c r="I3707" s="3">
        <f t="shared" si="840"/>
        <v>59</v>
      </c>
      <c r="J3707" s="3">
        <f t="shared" si="841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842"/>
        <v>YES</v>
      </c>
      <c r="Q3707" t="str">
        <f t="shared" si="843"/>
        <v>NO</v>
      </c>
      <c r="R3707" t="str">
        <f t="shared" si="844"/>
        <v>NO</v>
      </c>
      <c r="T3707" t="s">
        <v>42</v>
      </c>
      <c r="U3707" t="str">
        <f t="shared" si="831"/>
        <v>Putnam Ave</v>
      </c>
      <c r="V3707" t="s">
        <v>332</v>
      </c>
      <c r="W3707" t="str">
        <f t="shared" si="832"/>
        <v>Allston St</v>
      </c>
      <c r="X3707" t="str">
        <f>IF(ISBLANK(S3707),"Intersection","Non-Intersection")</f>
        <v>Intersection</v>
      </c>
      <c r="Y3707" t="s">
        <v>2238</v>
      </c>
      <c r="Z3707" t="str">
        <f t="shared" si="833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34"/>
        <v>40909</v>
      </c>
      <c r="D3708" s="4">
        <f t="shared" si="835"/>
        <v>0.38797814207650272</v>
      </c>
      <c r="E3708" s="3">
        <f t="shared" si="836"/>
        <v>2012</v>
      </c>
      <c r="F3708" s="3">
        <f t="shared" si="837"/>
        <v>5</v>
      </c>
      <c r="G3708" s="3">
        <f t="shared" si="838"/>
        <v>22</v>
      </c>
      <c r="H3708" s="3">
        <f t="shared" si="839"/>
        <v>8</v>
      </c>
      <c r="I3708" s="3">
        <f t="shared" si="840"/>
        <v>12</v>
      </c>
      <c r="J3708" s="3">
        <f t="shared" si="841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842"/>
        <v>YES</v>
      </c>
      <c r="Q3708" t="str">
        <f t="shared" si="843"/>
        <v>NO</v>
      </c>
      <c r="R3708" t="str">
        <f t="shared" si="844"/>
        <v>NO</v>
      </c>
      <c r="T3708" t="s">
        <v>198</v>
      </c>
      <c r="U3708" t="str">
        <f t="shared" si="831"/>
        <v>Mount Auburn St</v>
      </c>
      <c r="V3708" t="s">
        <v>464</v>
      </c>
      <c r="W3708" t="str">
        <f t="shared" si="832"/>
        <v>Aberdeen Way</v>
      </c>
      <c r="X3708" t="str">
        <f>IF(ISBLANK(S3708),"Intersection","Non-Intersection")</f>
        <v>Intersection</v>
      </c>
      <c r="Y3708" t="s">
        <v>1666</v>
      </c>
      <c r="Z3708" t="str">
        <f t="shared" si="833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34"/>
        <v>40909</v>
      </c>
      <c r="D3709" s="4">
        <f t="shared" si="835"/>
        <v>0.38797814207650272</v>
      </c>
      <c r="E3709" s="3">
        <f t="shared" si="836"/>
        <v>2012</v>
      </c>
      <c r="F3709" s="3">
        <f t="shared" si="837"/>
        <v>5</v>
      </c>
      <c r="G3709" s="3">
        <f t="shared" si="838"/>
        <v>22</v>
      </c>
      <c r="H3709" s="3">
        <f t="shared" si="839"/>
        <v>11</v>
      </c>
      <c r="I3709" s="3">
        <f t="shared" si="840"/>
        <v>0</v>
      </c>
      <c r="J3709" s="3">
        <f t="shared" si="841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842"/>
        <v>YES</v>
      </c>
      <c r="Q3709" t="str">
        <f t="shared" si="843"/>
        <v>NO</v>
      </c>
      <c r="R3709" t="str">
        <f t="shared" si="844"/>
        <v>NO</v>
      </c>
      <c r="S3709">
        <v>220</v>
      </c>
      <c r="T3709" t="s">
        <v>186</v>
      </c>
      <c r="U3709" t="str">
        <f t="shared" si="831"/>
        <v>Concord Ave</v>
      </c>
      <c r="W3709" t="str">
        <f t="shared" si="832"/>
        <v/>
      </c>
      <c r="X3709" t="str">
        <f>IF(ISBLANK(S3709),"Intersection","Non-Intersection")</f>
        <v>Non-Intersection</v>
      </c>
      <c r="Y3709" t="s">
        <v>961</v>
      </c>
      <c r="Z3709" t="str">
        <f t="shared" si="833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34"/>
        <v>40909</v>
      </c>
      <c r="D3710" s="4">
        <f t="shared" si="835"/>
        <v>0.39071038251366119</v>
      </c>
      <c r="E3710" s="3">
        <f t="shared" si="836"/>
        <v>2012</v>
      </c>
      <c r="F3710" s="3">
        <f t="shared" si="837"/>
        <v>5</v>
      </c>
      <c r="G3710" s="3">
        <f t="shared" si="838"/>
        <v>23</v>
      </c>
      <c r="H3710" s="3">
        <f t="shared" si="839"/>
        <v>8</v>
      </c>
      <c r="I3710" s="3">
        <f t="shared" si="840"/>
        <v>28</v>
      </c>
      <c r="J3710" s="3">
        <f t="shared" si="841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842"/>
        <v>YES</v>
      </c>
      <c r="Q3710" t="str">
        <f t="shared" si="843"/>
        <v>YES</v>
      </c>
      <c r="R3710" t="str">
        <f t="shared" si="844"/>
        <v>NO</v>
      </c>
      <c r="T3710" t="s">
        <v>74</v>
      </c>
      <c r="U3710" t="str">
        <f t="shared" si="831"/>
        <v>Hampshire St</v>
      </c>
      <c r="V3710" t="s">
        <v>796</v>
      </c>
      <c r="W3710" t="str">
        <f t="shared" si="832"/>
        <v>Portland St</v>
      </c>
      <c r="X3710" t="str">
        <f>IF(ISBLANK(S3710),"Intersection","Non-Intersection")</f>
        <v>Intersection</v>
      </c>
      <c r="Y3710" t="s">
        <v>3889</v>
      </c>
      <c r="Z3710" t="str">
        <f t="shared" si="833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34"/>
        <v>40909</v>
      </c>
      <c r="D3711" s="4">
        <f t="shared" si="835"/>
        <v>0.39071038251366119</v>
      </c>
      <c r="E3711" s="3">
        <f t="shared" si="836"/>
        <v>2012</v>
      </c>
      <c r="F3711" s="3">
        <f t="shared" si="837"/>
        <v>5</v>
      </c>
      <c r="G3711" s="3">
        <f t="shared" si="838"/>
        <v>23</v>
      </c>
      <c r="H3711" s="3">
        <f t="shared" si="839"/>
        <v>17</v>
      </c>
      <c r="I3711" s="3">
        <f t="shared" si="840"/>
        <v>9</v>
      </c>
      <c r="J3711" s="3">
        <f t="shared" si="841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842"/>
        <v>YES</v>
      </c>
      <c r="Q3711" t="str">
        <f t="shared" si="843"/>
        <v>NO</v>
      </c>
      <c r="R3711" t="str">
        <f t="shared" si="844"/>
        <v>NO</v>
      </c>
      <c r="T3711" t="s">
        <v>365</v>
      </c>
      <c r="U3711" t="str">
        <f t="shared" si="831"/>
        <v>Hurley St</v>
      </c>
      <c r="V3711" t="s">
        <v>379</v>
      </c>
      <c r="W3711" t="str">
        <f t="shared" si="832"/>
        <v>Second St</v>
      </c>
      <c r="X3711" t="str">
        <f>IF(ISBLANK(S3711),"Intersection","Non-Intersection")</f>
        <v>Intersection</v>
      </c>
      <c r="Y3711" t="s">
        <v>2653</v>
      </c>
      <c r="Z3711" t="str">
        <f t="shared" si="833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34"/>
        <v>40909</v>
      </c>
      <c r="D3712" s="4">
        <f t="shared" si="835"/>
        <v>0.39071038251366119</v>
      </c>
      <c r="E3712" s="3">
        <f t="shared" si="836"/>
        <v>2012</v>
      </c>
      <c r="F3712" s="3">
        <f t="shared" si="837"/>
        <v>5</v>
      </c>
      <c r="G3712" s="3">
        <f t="shared" si="838"/>
        <v>23</v>
      </c>
      <c r="H3712" s="3">
        <f t="shared" si="839"/>
        <v>8</v>
      </c>
      <c r="I3712" s="3">
        <f t="shared" si="840"/>
        <v>0</v>
      </c>
      <c r="J3712" s="3">
        <f t="shared" si="841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842"/>
        <v>YES</v>
      </c>
      <c r="Q3712" t="str">
        <f t="shared" si="843"/>
        <v>NO</v>
      </c>
      <c r="R3712" t="str">
        <f t="shared" si="844"/>
        <v>NO</v>
      </c>
      <c r="S3712">
        <v>8</v>
      </c>
      <c r="T3712" t="s">
        <v>24</v>
      </c>
      <c r="U3712" t="str">
        <f t="shared" si="831"/>
        <v>Coolidge Ave</v>
      </c>
      <c r="W3712" t="str">
        <f t="shared" si="832"/>
        <v/>
      </c>
      <c r="X3712" t="str">
        <f>IF(ISBLANK(S3712),"Intersection","Non-Intersection")</f>
        <v>Non-Intersection</v>
      </c>
      <c r="Y3712" t="s">
        <v>4555</v>
      </c>
      <c r="Z3712" t="str">
        <f t="shared" si="833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34"/>
        <v>40909</v>
      </c>
      <c r="D3713" s="4">
        <f t="shared" si="835"/>
        <v>0.39071038251366119</v>
      </c>
      <c r="E3713" s="3">
        <f t="shared" si="836"/>
        <v>2012</v>
      </c>
      <c r="F3713" s="3">
        <f t="shared" si="837"/>
        <v>5</v>
      </c>
      <c r="G3713" s="3">
        <f t="shared" si="838"/>
        <v>23</v>
      </c>
      <c r="H3713" s="3">
        <f t="shared" si="839"/>
        <v>20</v>
      </c>
      <c r="I3713" s="3">
        <f t="shared" si="840"/>
        <v>29</v>
      </c>
      <c r="J3713" s="3">
        <f t="shared" si="841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842"/>
        <v>YES</v>
      </c>
      <c r="Q3713" t="str">
        <f t="shared" si="843"/>
        <v>YES</v>
      </c>
      <c r="R3713" t="str">
        <f t="shared" si="844"/>
        <v>NO</v>
      </c>
      <c r="S3713">
        <v>1432</v>
      </c>
      <c r="T3713" t="s">
        <v>14</v>
      </c>
      <c r="U3713" t="str">
        <f t="shared" si="831"/>
        <v>Massachusetts Ave</v>
      </c>
      <c r="W3713" t="str">
        <f t="shared" si="832"/>
        <v/>
      </c>
      <c r="X3713" t="str">
        <f>IF(ISBLANK(S3713),"Intersection","Non-Intersection")</f>
        <v>Non-Intersection</v>
      </c>
      <c r="Y3713" t="s">
        <v>4557</v>
      </c>
      <c r="Z3713" t="str">
        <f t="shared" si="833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34"/>
        <v>40909</v>
      </c>
      <c r="D3714" s="4">
        <f t="shared" si="835"/>
        <v>0.39071038251366119</v>
      </c>
      <c r="E3714" s="3">
        <f t="shared" si="836"/>
        <v>2012</v>
      </c>
      <c r="F3714" s="3">
        <f t="shared" si="837"/>
        <v>5</v>
      </c>
      <c r="G3714" s="3">
        <f t="shared" si="838"/>
        <v>23</v>
      </c>
      <c r="H3714" s="3">
        <f t="shared" si="839"/>
        <v>8</v>
      </c>
      <c r="I3714" s="3">
        <f t="shared" si="840"/>
        <v>45</v>
      </c>
      <c r="J3714" s="3">
        <f t="shared" si="841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842"/>
        <v>YES</v>
      </c>
      <c r="Q3714" t="str">
        <f t="shared" si="843"/>
        <v>NO</v>
      </c>
      <c r="R3714" t="str">
        <f t="shared" si="844"/>
        <v>NO</v>
      </c>
      <c r="T3714" t="s">
        <v>2657</v>
      </c>
      <c r="U3714" t="str">
        <f t="shared" si="831"/>
        <v>Quincy Sq</v>
      </c>
      <c r="V3714" t="s">
        <v>133</v>
      </c>
      <c r="W3714" t="str">
        <f t="shared" si="832"/>
        <v>Harvard St</v>
      </c>
      <c r="X3714" t="str">
        <f>IF(ISBLANK(S3714),"Intersection","Non-Intersection")</f>
        <v>Intersection</v>
      </c>
      <c r="Y3714" t="s">
        <v>4559</v>
      </c>
      <c r="Z3714" t="str">
        <f t="shared" si="833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34"/>
        <v>40909</v>
      </c>
      <c r="D3715" s="4">
        <f t="shared" si="835"/>
        <v>0.39071038251366119</v>
      </c>
      <c r="E3715" s="3">
        <f t="shared" si="836"/>
        <v>2012</v>
      </c>
      <c r="F3715" s="3">
        <f t="shared" si="837"/>
        <v>5</v>
      </c>
      <c r="G3715" s="3">
        <f t="shared" si="838"/>
        <v>23</v>
      </c>
      <c r="H3715" s="3">
        <f t="shared" si="839"/>
        <v>9</v>
      </c>
      <c r="I3715" s="3">
        <f t="shared" si="840"/>
        <v>40</v>
      </c>
      <c r="J3715" s="3">
        <f t="shared" si="841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842"/>
        <v>YES</v>
      </c>
      <c r="Q3715" t="str">
        <f t="shared" si="843"/>
        <v>NO</v>
      </c>
      <c r="R3715" t="str">
        <f t="shared" si="844"/>
        <v>NO</v>
      </c>
      <c r="S3715">
        <v>40</v>
      </c>
      <c r="T3715" t="s">
        <v>1177</v>
      </c>
      <c r="U3715" t="str">
        <f t="shared" ref="U3715:U3778" si="845">TRIM(PROPER(T3715))</f>
        <v>Plympton St</v>
      </c>
      <c r="W3715" t="str">
        <f t="shared" ref="W3715:W3778" si="846">TRIM(PROPER(V3715))</f>
        <v/>
      </c>
      <c r="X3715" t="str">
        <f>IF(ISBLANK(S3715),"Intersection","Non-Intersection")</f>
        <v>Non-Intersection</v>
      </c>
      <c r="Y3715" t="s">
        <v>4560</v>
      </c>
      <c r="Z3715" t="str">
        <f t="shared" ref="Z3715:Z3778" si="847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34"/>
        <v>40909</v>
      </c>
      <c r="D3716" s="4">
        <f t="shared" si="835"/>
        <v>0.39071038251366119</v>
      </c>
      <c r="E3716" s="3">
        <f t="shared" si="836"/>
        <v>2012</v>
      </c>
      <c r="F3716" s="3">
        <f t="shared" si="837"/>
        <v>5</v>
      </c>
      <c r="G3716" s="3">
        <f t="shared" si="838"/>
        <v>23</v>
      </c>
      <c r="H3716" s="3">
        <f t="shared" si="839"/>
        <v>9</v>
      </c>
      <c r="I3716" s="3">
        <f t="shared" si="840"/>
        <v>0</v>
      </c>
      <c r="J3716" s="3">
        <f t="shared" si="841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842"/>
        <v>YES</v>
      </c>
      <c r="Q3716" t="str">
        <f t="shared" si="843"/>
        <v>NO</v>
      </c>
      <c r="R3716" t="str">
        <f t="shared" si="844"/>
        <v>NO</v>
      </c>
      <c r="S3716">
        <v>100</v>
      </c>
      <c r="T3716" t="s">
        <v>42</v>
      </c>
      <c r="U3716" t="str">
        <f t="shared" si="845"/>
        <v>Putnam Ave</v>
      </c>
      <c r="W3716" t="str">
        <f t="shared" si="846"/>
        <v/>
      </c>
      <c r="X3716" t="str">
        <f>IF(ISBLANK(S3716),"Intersection","Non-Intersection")</f>
        <v>Non-Intersection</v>
      </c>
      <c r="Y3716" t="s">
        <v>4562</v>
      </c>
      <c r="Z3716" t="str">
        <f t="shared" si="847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34"/>
        <v>40909</v>
      </c>
      <c r="D3717" s="4">
        <f t="shared" si="835"/>
        <v>0.39344262295081966</v>
      </c>
      <c r="E3717" s="3">
        <f t="shared" si="836"/>
        <v>2012</v>
      </c>
      <c r="F3717" s="3">
        <f t="shared" si="837"/>
        <v>5</v>
      </c>
      <c r="G3717" s="3">
        <f t="shared" si="838"/>
        <v>24</v>
      </c>
      <c r="H3717" s="3">
        <f t="shared" si="839"/>
        <v>8</v>
      </c>
      <c r="I3717" s="3">
        <f t="shared" si="840"/>
        <v>25</v>
      </c>
      <c r="J3717" s="3">
        <f t="shared" si="841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842"/>
        <v>YES</v>
      </c>
      <c r="Q3717" t="str">
        <f t="shared" si="843"/>
        <v>NO</v>
      </c>
      <c r="R3717" t="str">
        <f t="shared" si="844"/>
        <v>NO</v>
      </c>
      <c r="T3717" t="s">
        <v>208</v>
      </c>
      <c r="U3717" t="str">
        <f t="shared" si="845"/>
        <v>Sparks St</v>
      </c>
      <c r="V3717" t="s">
        <v>4564</v>
      </c>
      <c r="W3717" t="str">
        <f t="shared" si="846"/>
        <v>Clement Cir</v>
      </c>
      <c r="X3717" t="str">
        <f>IF(ISBLANK(S3717),"Intersection","Non-Intersection")</f>
        <v>Intersection</v>
      </c>
      <c r="Y3717" t="s">
        <v>4565</v>
      </c>
      <c r="Z3717" t="str">
        <f t="shared" si="847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34"/>
        <v>40909</v>
      </c>
      <c r="D3718" s="4">
        <f t="shared" si="835"/>
        <v>0.39344262295081966</v>
      </c>
      <c r="E3718" s="3">
        <f t="shared" si="836"/>
        <v>2012</v>
      </c>
      <c r="F3718" s="3">
        <f t="shared" si="837"/>
        <v>5</v>
      </c>
      <c r="G3718" s="3">
        <f t="shared" si="838"/>
        <v>24</v>
      </c>
      <c r="H3718" s="3">
        <f t="shared" si="839"/>
        <v>10</v>
      </c>
      <c r="I3718" s="3">
        <f t="shared" si="840"/>
        <v>44</v>
      </c>
      <c r="J3718" s="3">
        <f t="shared" si="841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842"/>
        <v>YES</v>
      </c>
      <c r="Q3718" t="str">
        <f t="shared" si="843"/>
        <v>NO</v>
      </c>
      <c r="R3718" t="str">
        <f t="shared" si="844"/>
        <v>NO</v>
      </c>
      <c r="T3718" t="s">
        <v>19</v>
      </c>
      <c r="U3718" t="str">
        <f t="shared" si="845"/>
        <v>Cambridge St</v>
      </c>
      <c r="V3718" t="s">
        <v>61</v>
      </c>
      <c r="W3718" t="str">
        <f t="shared" si="846"/>
        <v>First St</v>
      </c>
      <c r="X3718" t="str">
        <f>IF(ISBLANK(S3718),"Intersection","Non-Intersection")</f>
        <v>Intersection</v>
      </c>
      <c r="Y3718" t="s">
        <v>494</v>
      </c>
      <c r="Z3718" t="str">
        <f t="shared" si="847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34"/>
        <v>40909</v>
      </c>
      <c r="D3719" s="4">
        <f t="shared" si="835"/>
        <v>0.39344262295081966</v>
      </c>
      <c r="E3719" s="3">
        <f t="shared" si="836"/>
        <v>2012</v>
      </c>
      <c r="F3719" s="3">
        <f t="shared" si="837"/>
        <v>5</v>
      </c>
      <c r="G3719" s="3">
        <f t="shared" si="838"/>
        <v>24</v>
      </c>
      <c r="H3719" s="3">
        <f t="shared" si="839"/>
        <v>12</v>
      </c>
      <c r="I3719" s="3">
        <f t="shared" si="840"/>
        <v>56</v>
      </c>
      <c r="J3719" s="3">
        <f t="shared" si="841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842"/>
        <v>YES</v>
      </c>
      <c r="Q3719" t="str">
        <f t="shared" si="843"/>
        <v>NO</v>
      </c>
      <c r="R3719" t="str">
        <f t="shared" si="844"/>
        <v>NO</v>
      </c>
      <c r="T3719" t="s">
        <v>14</v>
      </c>
      <c r="U3719" t="str">
        <f t="shared" si="845"/>
        <v>Massachusetts Ave</v>
      </c>
      <c r="V3719" t="s">
        <v>553</v>
      </c>
      <c r="W3719" t="str">
        <f t="shared" si="846"/>
        <v>Cameron Ave</v>
      </c>
      <c r="X3719" t="str">
        <f>IF(ISBLANK(S3719),"Intersection","Non-Intersection")</f>
        <v>Intersection</v>
      </c>
      <c r="Y3719" t="s">
        <v>554</v>
      </c>
      <c r="Z3719" t="str">
        <f t="shared" si="847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34"/>
        <v>40909</v>
      </c>
      <c r="D3720" s="4">
        <f t="shared" si="835"/>
        <v>0.39344262295081966</v>
      </c>
      <c r="E3720" s="3">
        <f t="shared" si="836"/>
        <v>2012</v>
      </c>
      <c r="F3720" s="3">
        <f t="shared" si="837"/>
        <v>5</v>
      </c>
      <c r="G3720" s="3">
        <f t="shared" si="838"/>
        <v>24</v>
      </c>
      <c r="H3720" s="3">
        <f t="shared" si="839"/>
        <v>17</v>
      </c>
      <c r="I3720" s="3">
        <f t="shared" si="840"/>
        <v>58</v>
      </c>
      <c r="J3720" s="3">
        <f t="shared" si="841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842"/>
        <v>YES</v>
      </c>
      <c r="Q3720" t="str">
        <f t="shared" si="843"/>
        <v>YES</v>
      </c>
      <c r="R3720" t="str">
        <f t="shared" si="844"/>
        <v>NO</v>
      </c>
      <c r="T3720" t="s">
        <v>134</v>
      </c>
      <c r="U3720" t="str">
        <f t="shared" si="845"/>
        <v>Quincy St</v>
      </c>
      <c r="V3720" t="s">
        <v>238</v>
      </c>
      <c r="W3720" t="str">
        <f t="shared" si="846"/>
        <v>Kirkland St</v>
      </c>
      <c r="X3720" t="str">
        <f>IF(ISBLANK(S3720),"Intersection","Non-Intersection")</f>
        <v>Intersection</v>
      </c>
      <c r="Y3720" t="s">
        <v>4567</v>
      </c>
      <c r="Z3720" t="str">
        <f t="shared" si="847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34"/>
        <v>40909</v>
      </c>
      <c r="D3721" s="4">
        <f t="shared" si="835"/>
        <v>0.39344262295081966</v>
      </c>
      <c r="E3721" s="3">
        <f t="shared" si="836"/>
        <v>2012</v>
      </c>
      <c r="F3721" s="3">
        <f t="shared" si="837"/>
        <v>5</v>
      </c>
      <c r="G3721" s="3">
        <f t="shared" si="838"/>
        <v>24</v>
      </c>
      <c r="H3721" s="3">
        <f t="shared" si="839"/>
        <v>18</v>
      </c>
      <c r="I3721" s="3">
        <f t="shared" si="840"/>
        <v>1</v>
      </c>
      <c r="J3721" s="3">
        <f t="shared" si="841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842"/>
        <v>YES</v>
      </c>
      <c r="Q3721" t="str">
        <f t="shared" si="843"/>
        <v>YES</v>
      </c>
      <c r="R3721" t="str">
        <f t="shared" si="844"/>
        <v>NO</v>
      </c>
      <c r="S3721">
        <v>1001</v>
      </c>
      <c r="T3721" t="s">
        <v>19</v>
      </c>
      <c r="U3721" t="str">
        <f t="shared" si="845"/>
        <v>Cambridge St</v>
      </c>
      <c r="W3721" t="str">
        <f t="shared" si="846"/>
        <v/>
      </c>
      <c r="X3721" t="str">
        <f>IF(ISBLANK(S3721),"Intersection","Non-Intersection")</f>
        <v>Non-Intersection</v>
      </c>
      <c r="Y3721" t="s">
        <v>2171</v>
      </c>
      <c r="Z3721" t="str">
        <f t="shared" si="847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34"/>
        <v>40909</v>
      </c>
      <c r="D3722" s="4">
        <f t="shared" si="835"/>
        <v>0.39344262295081966</v>
      </c>
      <c r="E3722" s="3">
        <f t="shared" si="836"/>
        <v>2012</v>
      </c>
      <c r="F3722" s="3">
        <f t="shared" si="837"/>
        <v>5</v>
      </c>
      <c r="G3722" s="3">
        <f t="shared" si="838"/>
        <v>24</v>
      </c>
      <c r="H3722" s="3">
        <f t="shared" si="839"/>
        <v>8</v>
      </c>
      <c r="I3722" s="3">
        <f t="shared" si="840"/>
        <v>0</v>
      </c>
      <c r="J3722" s="3">
        <f t="shared" si="841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842"/>
        <v>YES</v>
      </c>
      <c r="Q3722" t="str">
        <f t="shared" si="843"/>
        <v>NO</v>
      </c>
      <c r="R3722" t="str">
        <f t="shared" si="844"/>
        <v>NO</v>
      </c>
      <c r="T3722" t="s">
        <v>133</v>
      </c>
      <c r="U3722" t="str">
        <f t="shared" si="845"/>
        <v>Harvard St</v>
      </c>
      <c r="V3722" t="s">
        <v>335</v>
      </c>
      <c r="W3722" t="str">
        <f t="shared" si="846"/>
        <v>Ware St</v>
      </c>
      <c r="X3722" t="str">
        <f>IF(ISBLANK(S3722),"Intersection","Non-Intersection")</f>
        <v>Intersection</v>
      </c>
      <c r="Y3722" t="s">
        <v>4569</v>
      </c>
      <c r="Z3722" t="str">
        <f t="shared" si="847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34"/>
        <v>40909</v>
      </c>
      <c r="D3723" s="4">
        <f t="shared" si="835"/>
        <v>0.39344262295081966</v>
      </c>
      <c r="E3723" s="3">
        <f t="shared" si="836"/>
        <v>2012</v>
      </c>
      <c r="F3723" s="3">
        <f t="shared" si="837"/>
        <v>5</v>
      </c>
      <c r="G3723" s="3">
        <f t="shared" si="838"/>
        <v>24</v>
      </c>
      <c r="H3723" s="3">
        <f t="shared" si="839"/>
        <v>20</v>
      </c>
      <c r="I3723" s="3">
        <f t="shared" si="840"/>
        <v>10</v>
      </c>
      <c r="J3723" s="3">
        <f t="shared" si="841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842"/>
        <v>YES</v>
      </c>
      <c r="Q3723" t="str">
        <f t="shared" si="843"/>
        <v>NO</v>
      </c>
      <c r="R3723" t="str">
        <f t="shared" si="844"/>
        <v>NO</v>
      </c>
      <c r="T3723" t="s">
        <v>198</v>
      </c>
      <c r="U3723" t="str">
        <f t="shared" si="845"/>
        <v>Mount Auburn St</v>
      </c>
      <c r="V3723" t="s">
        <v>24</v>
      </c>
      <c r="W3723" t="str">
        <f t="shared" si="846"/>
        <v>Coolidge Ave</v>
      </c>
      <c r="X3723" t="str">
        <f>IF(ISBLANK(S3723),"Intersection","Non-Intersection")</f>
        <v>Intersection</v>
      </c>
      <c r="Y3723" t="s">
        <v>2019</v>
      </c>
      <c r="Z3723" t="str">
        <f t="shared" si="847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34"/>
        <v>40909</v>
      </c>
      <c r="D3724" s="4">
        <f t="shared" si="835"/>
        <v>0.39617486338797814</v>
      </c>
      <c r="E3724" s="3">
        <f t="shared" si="836"/>
        <v>2012</v>
      </c>
      <c r="F3724" s="3">
        <f t="shared" si="837"/>
        <v>5</v>
      </c>
      <c r="G3724" s="3">
        <f t="shared" si="838"/>
        <v>25</v>
      </c>
      <c r="H3724" s="3">
        <f t="shared" si="839"/>
        <v>8</v>
      </c>
      <c r="I3724" s="3">
        <f t="shared" si="840"/>
        <v>15</v>
      </c>
      <c r="J3724" s="3">
        <f t="shared" si="841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842"/>
        <v>YES</v>
      </c>
      <c r="Q3724" t="str">
        <f t="shared" si="843"/>
        <v>YES</v>
      </c>
      <c r="R3724" t="str">
        <f t="shared" si="844"/>
        <v>NO</v>
      </c>
      <c r="T3724" t="s">
        <v>101</v>
      </c>
      <c r="U3724" t="str">
        <f t="shared" si="845"/>
        <v>Columbia St</v>
      </c>
      <c r="V3724" t="s">
        <v>19</v>
      </c>
      <c r="W3724" t="str">
        <f t="shared" si="846"/>
        <v>Cambridge St</v>
      </c>
      <c r="X3724" t="str">
        <f>IF(ISBLANK(S3724),"Intersection","Non-Intersection")</f>
        <v>Intersection</v>
      </c>
      <c r="Y3724" t="s">
        <v>206</v>
      </c>
      <c r="Z3724" t="str">
        <f t="shared" si="847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34"/>
        <v>40909</v>
      </c>
      <c r="D3725" s="4">
        <f t="shared" si="835"/>
        <v>0.39617486338797814</v>
      </c>
      <c r="E3725" s="3">
        <f t="shared" si="836"/>
        <v>2012</v>
      </c>
      <c r="F3725" s="3">
        <f t="shared" si="837"/>
        <v>5</v>
      </c>
      <c r="G3725" s="3">
        <f t="shared" si="838"/>
        <v>25</v>
      </c>
      <c r="H3725" s="3">
        <f t="shared" si="839"/>
        <v>19</v>
      </c>
      <c r="I3725" s="3">
        <f t="shared" si="840"/>
        <v>9</v>
      </c>
      <c r="J3725" s="3">
        <f t="shared" si="841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842"/>
        <v>YES</v>
      </c>
      <c r="Q3725" t="str">
        <f t="shared" si="843"/>
        <v>NO</v>
      </c>
      <c r="R3725" t="str">
        <f t="shared" si="844"/>
        <v>NO</v>
      </c>
      <c r="T3725" t="s">
        <v>14</v>
      </c>
      <c r="U3725" t="str">
        <f t="shared" si="845"/>
        <v>Massachusetts Ave</v>
      </c>
      <c r="V3725" t="s">
        <v>550</v>
      </c>
      <c r="W3725" t="str">
        <f t="shared" si="846"/>
        <v>Upland Rd</v>
      </c>
      <c r="X3725" t="str">
        <f>IF(ISBLANK(S3725),"Intersection","Non-Intersection")</f>
        <v>Intersection</v>
      </c>
      <c r="Y3725" t="s">
        <v>551</v>
      </c>
      <c r="Z3725" t="str">
        <f t="shared" si="847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34"/>
        <v>40909</v>
      </c>
      <c r="D3726" s="4">
        <f t="shared" si="835"/>
        <v>0.39617486338797814</v>
      </c>
      <c r="E3726" s="3">
        <f t="shared" si="836"/>
        <v>2012</v>
      </c>
      <c r="F3726" s="3">
        <f t="shared" si="837"/>
        <v>5</v>
      </c>
      <c r="G3726" s="3">
        <f t="shared" si="838"/>
        <v>25</v>
      </c>
      <c r="H3726" s="3">
        <f t="shared" si="839"/>
        <v>11</v>
      </c>
      <c r="I3726" s="3">
        <f t="shared" si="840"/>
        <v>29</v>
      </c>
      <c r="J3726" s="3">
        <f t="shared" si="841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842"/>
        <v>YES</v>
      </c>
      <c r="Q3726" t="str">
        <f t="shared" si="843"/>
        <v>NO</v>
      </c>
      <c r="R3726" t="str">
        <f t="shared" si="844"/>
        <v>NO</v>
      </c>
      <c r="T3726" t="s">
        <v>105</v>
      </c>
      <c r="U3726" t="str">
        <f t="shared" si="845"/>
        <v>Broadway</v>
      </c>
      <c r="W3726" t="str">
        <f t="shared" si="846"/>
        <v/>
      </c>
      <c r="X3726" t="str">
        <f>IF(ISBLANK(S3726),"Intersection","Non-Intersection")</f>
        <v>Intersection</v>
      </c>
      <c r="Y3726" t="s">
        <v>974</v>
      </c>
      <c r="Z3726" t="str">
        <f t="shared" si="847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34"/>
        <v>40909</v>
      </c>
      <c r="D3727" s="4">
        <f t="shared" si="835"/>
        <v>0.39890710382513661</v>
      </c>
      <c r="E3727" s="3">
        <f t="shared" si="836"/>
        <v>2012</v>
      </c>
      <c r="F3727" s="3">
        <f t="shared" si="837"/>
        <v>5</v>
      </c>
      <c r="G3727" s="3">
        <f t="shared" si="838"/>
        <v>26</v>
      </c>
      <c r="H3727" s="3">
        <f t="shared" si="839"/>
        <v>17</v>
      </c>
      <c r="I3727" s="3">
        <f t="shared" si="840"/>
        <v>0</v>
      </c>
      <c r="J3727" s="3">
        <f t="shared" si="841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842"/>
        <v>YES</v>
      </c>
      <c r="Q3727" t="str">
        <f t="shared" si="843"/>
        <v>NO</v>
      </c>
      <c r="R3727" t="str">
        <f t="shared" si="844"/>
        <v>NO</v>
      </c>
      <c r="S3727">
        <v>49</v>
      </c>
      <c r="T3727" t="s">
        <v>268</v>
      </c>
      <c r="U3727" t="str">
        <f t="shared" si="845"/>
        <v>White St</v>
      </c>
      <c r="W3727" t="str">
        <f t="shared" si="846"/>
        <v/>
      </c>
      <c r="X3727" t="str">
        <f>IF(ISBLANK(S3727),"Intersection","Non-Intersection")</f>
        <v>Non-Intersection</v>
      </c>
      <c r="Y3727" t="s">
        <v>270</v>
      </c>
      <c r="Z3727" t="str">
        <f t="shared" si="847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848">EOMONTH(B3728,MONTH(B3728)*-1)+1</f>
        <v>40909</v>
      </c>
      <c r="D3728" s="4">
        <f t="shared" ref="D3728:D3787" si="849">YEARFRAC(C3728,B3728,1)</f>
        <v>0.40163934426229508</v>
      </c>
      <c r="E3728" s="3">
        <f t="shared" ref="E3728:E3787" si="850">YEAR(B3728)</f>
        <v>2012</v>
      </c>
      <c r="F3728" s="3">
        <f t="shared" ref="F3728:F3787" si="851">MONTH(B3728)</f>
        <v>5</v>
      </c>
      <c r="G3728" s="3">
        <f t="shared" ref="G3728:G3787" si="852">DAY(B3728)</f>
        <v>27</v>
      </c>
      <c r="H3728" s="3">
        <f t="shared" ref="H3728:H3787" si="853">HOUR(B3728)</f>
        <v>13</v>
      </c>
      <c r="I3728" s="3">
        <f t="shared" ref="I3728:I3787" si="854">MINUTE(B3728)</f>
        <v>54</v>
      </c>
      <c r="J3728" s="3">
        <f t="shared" ref="J3728:J3787" si="855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856">IF(OR(N3728="Auto",O3728="Auto"),"YES",IF(OR(N3728="Taxi",O3728="Taxi"),"YES",IF(OR(N3728="Van",O3728="Van"),"YES",IF(OR(N3728="Truck",O3728="Truck"),"YES","NO"))))</f>
        <v>YES</v>
      </c>
      <c r="Q3728" t="str">
        <f t="shared" ref="Q3728:Q3787" si="857">IF(OR(N3728="Bicycle",O3728="Bicycle"),"YES","NO")</f>
        <v>NO</v>
      </c>
      <c r="R3728" t="str">
        <f t="shared" ref="R3728:R3787" si="858">IF(OR(N3728="Pedestrian",O3728="Pedestrian"),"YES","NO")</f>
        <v>NO</v>
      </c>
      <c r="T3728" t="s">
        <v>14</v>
      </c>
      <c r="U3728" t="str">
        <f t="shared" si="845"/>
        <v>Massachusetts Ave</v>
      </c>
      <c r="V3728" t="s">
        <v>553</v>
      </c>
      <c r="W3728" t="str">
        <f t="shared" si="846"/>
        <v>Cameron Ave</v>
      </c>
      <c r="X3728" t="str">
        <f>IF(ISBLANK(S3728),"Intersection","Non-Intersection")</f>
        <v>Intersection</v>
      </c>
      <c r="Y3728" t="s">
        <v>554</v>
      </c>
      <c r="Z3728" t="str">
        <f t="shared" si="847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848"/>
        <v>40909</v>
      </c>
      <c r="D3729" s="4">
        <f t="shared" si="849"/>
        <v>0.40163934426229508</v>
      </c>
      <c r="E3729" s="3">
        <f t="shared" si="850"/>
        <v>2012</v>
      </c>
      <c r="F3729" s="3">
        <f t="shared" si="851"/>
        <v>5</v>
      </c>
      <c r="G3729" s="3">
        <f t="shared" si="852"/>
        <v>27</v>
      </c>
      <c r="H3729" s="3">
        <f t="shared" si="853"/>
        <v>2</v>
      </c>
      <c r="I3729" s="3">
        <f t="shared" si="854"/>
        <v>36</v>
      </c>
      <c r="J3729" s="3">
        <f t="shared" si="855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856"/>
        <v>YES</v>
      </c>
      <c r="Q3729" t="str">
        <f t="shared" si="857"/>
        <v>NO</v>
      </c>
      <c r="R3729" t="str">
        <f t="shared" si="858"/>
        <v>NO</v>
      </c>
      <c r="T3729" t="s">
        <v>202</v>
      </c>
      <c r="U3729" t="str">
        <f t="shared" si="845"/>
        <v>Vassar St</v>
      </c>
      <c r="V3729" t="s">
        <v>203</v>
      </c>
      <c r="W3729" t="str">
        <f t="shared" si="846"/>
        <v>Memorial Dr</v>
      </c>
      <c r="X3729" t="str">
        <f>IF(ISBLANK(S3729),"Intersection","Non-Intersection")</f>
        <v>Intersection</v>
      </c>
      <c r="Y3729" t="s">
        <v>1988</v>
      </c>
      <c r="Z3729" t="str">
        <f t="shared" si="847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848"/>
        <v>40909</v>
      </c>
      <c r="D3730" s="4">
        <f t="shared" si="849"/>
        <v>0.40437158469945356</v>
      </c>
      <c r="E3730" s="3">
        <f t="shared" si="850"/>
        <v>2012</v>
      </c>
      <c r="F3730" s="3">
        <f t="shared" si="851"/>
        <v>5</v>
      </c>
      <c r="G3730" s="3">
        <f t="shared" si="852"/>
        <v>28</v>
      </c>
      <c r="H3730" s="3">
        <f t="shared" si="853"/>
        <v>0</v>
      </c>
      <c r="I3730" s="3">
        <f t="shared" si="854"/>
        <v>1</v>
      </c>
      <c r="J3730" s="3">
        <f t="shared" si="855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856"/>
        <v>YES</v>
      </c>
      <c r="Q3730" t="str">
        <f t="shared" si="857"/>
        <v>NO</v>
      </c>
      <c r="R3730" t="str">
        <f t="shared" si="858"/>
        <v>NO</v>
      </c>
      <c r="T3730" t="s">
        <v>186</v>
      </c>
      <c r="U3730" t="str">
        <f t="shared" si="845"/>
        <v>Concord Ave</v>
      </c>
      <c r="V3730" t="s">
        <v>1013</v>
      </c>
      <c r="W3730" t="str">
        <f t="shared" si="846"/>
        <v>Blanchard Rd</v>
      </c>
      <c r="X3730" t="str">
        <f>IF(ISBLANK(S3730),"Intersection","Non-Intersection")</f>
        <v>Intersection</v>
      </c>
      <c r="Y3730" t="s">
        <v>1014</v>
      </c>
      <c r="Z3730" t="str">
        <f t="shared" si="847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848"/>
        <v>40909</v>
      </c>
      <c r="D3731" s="4">
        <f t="shared" si="849"/>
        <v>0.40437158469945356</v>
      </c>
      <c r="E3731" s="3">
        <f t="shared" si="850"/>
        <v>2012</v>
      </c>
      <c r="F3731" s="3">
        <f t="shared" si="851"/>
        <v>5</v>
      </c>
      <c r="G3731" s="3">
        <f t="shared" si="852"/>
        <v>28</v>
      </c>
      <c r="H3731" s="3">
        <f t="shared" si="853"/>
        <v>13</v>
      </c>
      <c r="I3731" s="3">
        <f t="shared" si="854"/>
        <v>22</v>
      </c>
      <c r="J3731" s="3">
        <f t="shared" si="855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856"/>
        <v>YES</v>
      </c>
      <c r="Q3731" t="str">
        <f t="shared" si="857"/>
        <v>NO</v>
      </c>
      <c r="R3731" t="str">
        <f t="shared" si="858"/>
        <v>NO</v>
      </c>
      <c r="S3731">
        <v>306</v>
      </c>
      <c r="T3731" t="s">
        <v>587</v>
      </c>
      <c r="U3731" t="str">
        <f t="shared" si="845"/>
        <v>Webster Ave</v>
      </c>
      <c r="W3731" t="str">
        <f t="shared" si="846"/>
        <v/>
      </c>
      <c r="X3731" t="str">
        <f>IF(ISBLANK(S3731),"Intersection","Non-Intersection")</f>
        <v>Non-Intersection</v>
      </c>
      <c r="Y3731" t="s">
        <v>4570</v>
      </c>
      <c r="Z3731" t="str">
        <f t="shared" si="847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848"/>
        <v>40909</v>
      </c>
      <c r="D3732" s="4">
        <f t="shared" si="849"/>
        <v>0.40437158469945356</v>
      </c>
      <c r="E3732" s="3">
        <f t="shared" si="850"/>
        <v>2012</v>
      </c>
      <c r="F3732" s="3">
        <f t="shared" si="851"/>
        <v>5</v>
      </c>
      <c r="G3732" s="3">
        <f t="shared" si="852"/>
        <v>28</v>
      </c>
      <c r="H3732" s="3">
        <f t="shared" si="853"/>
        <v>18</v>
      </c>
      <c r="I3732" s="3">
        <f t="shared" si="854"/>
        <v>24</v>
      </c>
      <c r="J3732" s="3">
        <f t="shared" si="855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856"/>
        <v>YES</v>
      </c>
      <c r="Q3732" t="str">
        <f t="shared" si="857"/>
        <v>NO</v>
      </c>
      <c r="R3732" t="str">
        <f t="shared" si="858"/>
        <v>NO</v>
      </c>
      <c r="T3732" t="s">
        <v>198</v>
      </c>
      <c r="U3732" t="str">
        <f t="shared" si="845"/>
        <v>Mount Auburn St</v>
      </c>
      <c r="V3732" t="s">
        <v>199</v>
      </c>
      <c r="W3732" t="str">
        <f t="shared" si="846"/>
        <v>Brattle St</v>
      </c>
      <c r="X3732" t="str">
        <f>IF(ISBLANK(S3732),"Intersection","Non-Intersection")</f>
        <v>Intersection</v>
      </c>
      <c r="Y3732" t="s">
        <v>767</v>
      </c>
      <c r="Z3732" t="str">
        <f t="shared" si="847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848"/>
        <v>40909</v>
      </c>
      <c r="D3733" s="4">
        <f t="shared" si="849"/>
        <v>0.40437158469945356</v>
      </c>
      <c r="E3733" s="3">
        <f t="shared" si="850"/>
        <v>2012</v>
      </c>
      <c r="F3733" s="3">
        <f t="shared" si="851"/>
        <v>5</v>
      </c>
      <c r="G3733" s="3">
        <f t="shared" si="852"/>
        <v>28</v>
      </c>
      <c r="H3733" s="3">
        <f t="shared" si="853"/>
        <v>18</v>
      </c>
      <c r="I3733" s="3">
        <f t="shared" si="854"/>
        <v>34</v>
      </c>
      <c r="J3733" s="3">
        <f t="shared" si="855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856"/>
        <v>YES</v>
      </c>
      <c r="Q3733" t="str">
        <f t="shared" si="857"/>
        <v>NO</v>
      </c>
      <c r="R3733" t="str">
        <f t="shared" si="858"/>
        <v>NO</v>
      </c>
      <c r="S3733">
        <v>11</v>
      </c>
      <c r="T3733" t="s">
        <v>83</v>
      </c>
      <c r="U3733" t="str">
        <f t="shared" si="845"/>
        <v>Mead St</v>
      </c>
      <c r="W3733" t="str">
        <f t="shared" si="846"/>
        <v/>
      </c>
      <c r="X3733" t="str">
        <f>IF(ISBLANK(S3733),"Intersection","Non-Intersection")</f>
        <v>Non-Intersection</v>
      </c>
      <c r="Y3733" t="s">
        <v>4572</v>
      </c>
      <c r="Z3733" t="str">
        <f t="shared" si="847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848"/>
        <v>40909</v>
      </c>
      <c r="D3734" s="4">
        <f t="shared" si="849"/>
        <v>0.40710382513661203</v>
      </c>
      <c r="E3734" s="3">
        <f t="shared" si="850"/>
        <v>2012</v>
      </c>
      <c r="F3734" s="3">
        <f t="shared" si="851"/>
        <v>5</v>
      </c>
      <c r="G3734" s="3">
        <f t="shared" si="852"/>
        <v>29</v>
      </c>
      <c r="H3734" s="3">
        <f t="shared" si="853"/>
        <v>10</v>
      </c>
      <c r="I3734" s="3">
        <f t="shared" si="854"/>
        <v>44</v>
      </c>
      <c r="J3734" s="3">
        <f t="shared" si="855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856"/>
        <v>YES</v>
      </c>
      <c r="Q3734" t="str">
        <f t="shared" si="857"/>
        <v>NO</v>
      </c>
      <c r="R3734" t="str">
        <f t="shared" si="858"/>
        <v>NO</v>
      </c>
      <c r="S3734">
        <v>364</v>
      </c>
      <c r="T3734" t="s">
        <v>15</v>
      </c>
      <c r="U3734" t="str">
        <f t="shared" si="845"/>
        <v>Rindge Ave</v>
      </c>
      <c r="W3734" t="str">
        <f t="shared" si="846"/>
        <v/>
      </c>
      <c r="X3734" t="str">
        <f>IF(ISBLANK(S3734),"Intersection","Non-Intersection")</f>
        <v>Non-Intersection</v>
      </c>
      <c r="Y3734" t="s">
        <v>542</v>
      </c>
      <c r="Z3734" t="str">
        <f t="shared" si="847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848"/>
        <v>40909</v>
      </c>
      <c r="D3735" s="4">
        <f t="shared" si="849"/>
        <v>0.40710382513661203</v>
      </c>
      <c r="E3735" s="3">
        <f t="shared" si="850"/>
        <v>2012</v>
      </c>
      <c r="F3735" s="3">
        <f t="shared" si="851"/>
        <v>5</v>
      </c>
      <c r="G3735" s="3">
        <f t="shared" si="852"/>
        <v>29</v>
      </c>
      <c r="H3735" s="3">
        <f t="shared" si="853"/>
        <v>17</v>
      </c>
      <c r="I3735" s="3">
        <f t="shared" si="854"/>
        <v>10</v>
      </c>
      <c r="J3735" s="3">
        <f t="shared" si="855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856"/>
        <v>YES</v>
      </c>
      <c r="Q3735" t="str">
        <f t="shared" si="857"/>
        <v>NO</v>
      </c>
      <c r="R3735" t="str">
        <f t="shared" si="858"/>
        <v>NO</v>
      </c>
      <c r="S3735">
        <v>35</v>
      </c>
      <c r="T3735" t="s">
        <v>521</v>
      </c>
      <c r="U3735" t="str">
        <f t="shared" si="845"/>
        <v>Lakeview Ave</v>
      </c>
      <c r="W3735" t="str">
        <f t="shared" si="846"/>
        <v/>
      </c>
      <c r="X3735" t="str">
        <f>IF(ISBLANK(S3735),"Intersection","Non-Intersection")</f>
        <v>Non-Intersection</v>
      </c>
      <c r="Y3735" t="s">
        <v>4574</v>
      </c>
      <c r="Z3735" t="str">
        <f t="shared" si="847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848"/>
        <v>40909</v>
      </c>
      <c r="D3736" s="4">
        <f t="shared" si="849"/>
        <v>0.40710382513661203</v>
      </c>
      <c r="E3736" s="3">
        <f t="shared" si="850"/>
        <v>2012</v>
      </c>
      <c r="F3736" s="3">
        <f t="shared" si="851"/>
        <v>5</v>
      </c>
      <c r="G3736" s="3">
        <f t="shared" si="852"/>
        <v>29</v>
      </c>
      <c r="H3736" s="3">
        <f t="shared" si="853"/>
        <v>19</v>
      </c>
      <c r="I3736" s="3">
        <f t="shared" si="854"/>
        <v>25</v>
      </c>
      <c r="J3736" s="3">
        <f t="shared" si="855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856"/>
        <v>YES</v>
      </c>
      <c r="Q3736" t="str">
        <f t="shared" si="857"/>
        <v>NO</v>
      </c>
      <c r="R3736" t="str">
        <f t="shared" si="858"/>
        <v>NO</v>
      </c>
      <c r="T3736" t="s">
        <v>105</v>
      </c>
      <c r="U3736" t="str">
        <f t="shared" si="845"/>
        <v>Broadway</v>
      </c>
      <c r="V3736" t="s">
        <v>498</v>
      </c>
      <c r="W3736" t="str">
        <f t="shared" si="846"/>
        <v>Ellery St</v>
      </c>
      <c r="X3736" t="str">
        <f>IF(ISBLANK(S3736),"Intersection","Non-Intersection")</f>
        <v>Intersection</v>
      </c>
      <c r="Y3736" t="s">
        <v>499</v>
      </c>
      <c r="Z3736" t="str">
        <f t="shared" si="847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848"/>
        <v>40909</v>
      </c>
      <c r="D3737" s="4">
        <f t="shared" si="849"/>
        <v>0.40710382513661203</v>
      </c>
      <c r="E3737" s="3">
        <f t="shared" si="850"/>
        <v>2012</v>
      </c>
      <c r="F3737" s="3">
        <f t="shared" si="851"/>
        <v>5</v>
      </c>
      <c r="G3737" s="3">
        <f t="shared" si="852"/>
        <v>29</v>
      </c>
      <c r="H3737" s="3">
        <f t="shared" si="853"/>
        <v>20</v>
      </c>
      <c r="I3737" s="3">
        <f t="shared" si="854"/>
        <v>45</v>
      </c>
      <c r="J3737" s="3">
        <f t="shared" si="855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856"/>
        <v>YES</v>
      </c>
      <c r="Q3737" t="str">
        <f t="shared" si="857"/>
        <v>NO</v>
      </c>
      <c r="R3737" t="str">
        <f t="shared" si="858"/>
        <v>NO</v>
      </c>
      <c r="T3737" t="s">
        <v>14</v>
      </c>
      <c r="U3737" t="str">
        <f t="shared" si="845"/>
        <v>Massachusetts Ave</v>
      </c>
      <c r="V3737" t="s">
        <v>2012</v>
      </c>
      <c r="W3737" t="str">
        <f t="shared" si="846"/>
        <v>Mellen St</v>
      </c>
      <c r="X3737" t="str">
        <f>IF(ISBLANK(S3737),"Intersection","Non-Intersection")</f>
        <v>Intersection</v>
      </c>
      <c r="Y3737" t="s">
        <v>2013</v>
      </c>
      <c r="Z3737" t="str">
        <f t="shared" si="847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848"/>
        <v>40909</v>
      </c>
      <c r="D3738" s="4">
        <f t="shared" si="849"/>
        <v>0.40710382513661203</v>
      </c>
      <c r="E3738" s="3">
        <f t="shared" si="850"/>
        <v>2012</v>
      </c>
      <c r="F3738" s="3">
        <f t="shared" si="851"/>
        <v>5</v>
      </c>
      <c r="G3738" s="3">
        <f t="shared" si="852"/>
        <v>29</v>
      </c>
      <c r="H3738" s="3">
        <f t="shared" si="853"/>
        <v>21</v>
      </c>
      <c r="I3738" s="3">
        <f t="shared" si="854"/>
        <v>17</v>
      </c>
      <c r="J3738" s="3">
        <f t="shared" si="855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856"/>
        <v>YES</v>
      </c>
      <c r="Q3738" t="str">
        <f t="shared" si="857"/>
        <v>NO</v>
      </c>
      <c r="R3738" t="str">
        <f t="shared" si="858"/>
        <v>NO</v>
      </c>
      <c r="T3738" t="s">
        <v>601</v>
      </c>
      <c r="U3738" t="str">
        <f t="shared" si="845"/>
        <v>Cedar St</v>
      </c>
      <c r="V3738" t="s">
        <v>1426</v>
      </c>
      <c r="W3738" t="str">
        <f t="shared" si="846"/>
        <v>Rice St</v>
      </c>
      <c r="X3738" t="str">
        <f>IF(ISBLANK(S3738),"Intersection","Non-Intersection")</f>
        <v>Intersection</v>
      </c>
      <c r="Y3738" t="s">
        <v>4576</v>
      </c>
      <c r="Z3738" t="str">
        <f t="shared" si="847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848"/>
        <v>40909</v>
      </c>
      <c r="D3739" s="4">
        <f t="shared" si="849"/>
        <v>0.4098360655737705</v>
      </c>
      <c r="E3739" s="3">
        <f t="shared" si="850"/>
        <v>2012</v>
      </c>
      <c r="F3739" s="3">
        <f t="shared" si="851"/>
        <v>5</v>
      </c>
      <c r="G3739" s="3">
        <f t="shared" si="852"/>
        <v>30</v>
      </c>
      <c r="H3739" s="3">
        <f t="shared" si="853"/>
        <v>9</v>
      </c>
      <c r="I3739" s="3">
        <f t="shared" si="854"/>
        <v>40</v>
      </c>
      <c r="J3739" s="3">
        <f t="shared" si="855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856"/>
        <v>YES</v>
      </c>
      <c r="Q3739" t="str">
        <f t="shared" si="857"/>
        <v>NO</v>
      </c>
      <c r="R3739" t="str">
        <f t="shared" si="858"/>
        <v>NO</v>
      </c>
      <c r="T3739" t="s">
        <v>3761</v>
      </c>
      <c r="U3739" t="str">
        <f t="shared" si="845"/>
        <v>Winslow St</v>
      </c>
      <c r="V3739" t="s">
        <v>45</v>
      </c>
      <c r="W3739" t="str">
        <f t="shared" si="846"/>
        <v>Sherman St</v>
      </c>
      <c r="X3739" t="str">
        <f>IF(ISBLANK(S3739),"Intersection","Non-Intersection")</f>
        <v>Intersection</v>
      </c>
      <c r="Y3739" t="s">
        <v>3911</v>
      </c>
      <c r="Z3739" t="str">
        <f t="shared" si="847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848"/>
        <v>40909</v>
      </c>
      <c r="D3740" s="4">
        <f t="shared" si="849"/>
        <v>0.4098360655737705</v>
      </c>
      <c r="E3740" s="3">
        <f t="shared" si="850"/>
        <v>2012</v>
      </c>
      <c r="F3740" s="3">
        <f t="shared" si="851"/>
        <v>5</v>
      </c>
      <c r="G3740" s="3">
        <f t="shared" si="852"/>
        <v>30</v>
      </c>
      <c r="H3740" s="3">
        <f t="shared" si="853"/>
        <v>12</v>
      </c>
      <c r="I3740" s="3">
        <f t="shared" si="854"/>
        <v>30</v>
      </c>
      <c r="J3740" s="3">
        <f t="shared" si="855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856"/>
        <v>YES</v>
      </c>
      <c r="Q3740" t="str">
        <f t="shared" si="857"/>
        <v>NO</v>
      </c>
      <c r="R3740" t="str">
        <f t="shared" si="858"/>
        <v>NO</v>
      </c>
      <c r="T3740" t="s">
        <v>105</v>
      </c>
      <c r="U3740" t="str">
        <f t="shared" si="845"/>
        <v>Broadway</v>
      </c>
      <c r="V3740" t="s">
        <v>74</v>
      </c>
      <c r="W3740" t="str">
        <f t="shared" si="846"/>
        <v>Hampshire St</v>
      </c>
      <c r="X3740" t="str">
        <f>IF(ISBLANK(S3740),"Intersection","Non-Intersection")</f>
        <v>Intersection</v>
      </c>
      <c r="Y3740" t="s">
        <v>878</v>
      </c>
      <c r="Z3740" t="str">
        <f t="shared" si="847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848"/>
        <v>40909</v>
      </c>
      <c r="D3741" s="4">
        <f t="shared" si="849"/>
        <v>0.4098360655737705</v>
      </c>
      <c r="E3741" s="3">
        <f t="shared" si="850"/>
        <v>2012</v>
      </c>
      <c r="F3741" s="3">
        <f t="shared" si="851"/>
        <v>5</v>
      </c>
      <c r="G3741" s="3">
        <f t="shared" si="852"/>
        <v>30</v>
      </c>
      <c r="H3741" s="3">
        <f t="shared" si="853"/>
        <v>16</v>
      </c>
      <c r="I3741" s="3">
        <f t="shared" si="854"/>
        <v>54</v>
      </c>
      <c r="J3741" s="3">
        <f t="shared" si="855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856"/>
        <v>YES</v>
      </c>
      <c r="Q3741" t="str">
        <f t="shared" si="857"/>
        <v>NO</v>
      </c>
      <c r="R3741" t="str">
        <f t="shared" si="858"/>
        <v>NO</v>
      </c>
      <c r="T3741" t="s">
        <v>19</v>
      </c>
      <c r="U3741" t="str">
        <f t="shared" si="845"/>
        <v>Cambridge St</v>
      </c>
      <c r="V3741" t="s">
        <v>1520</v>
      </c>
      <c r="W3741" t="str">
        <f t="shared" si="846"/>
        <v>Fayette St</v>
      </c>
      <c r="X3741" t="str">
        <f>IF(ISBLANK(S3741),"Intersection","Non-Intersection")</f>
        <v>Intersection</v>
      </c>
      <c r="Y3741" t="s">
        <v>1521</v>
      </c>
      <c r="Z3741" t="str">
        <f t="shared" si="847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848"/>
        <v>40909</v>
      </c>
      <c r="D3742" s="4">
        <f t="shared" si="849"/>
        <v>0.4098360655737705</v>
      </c>
      <c r="E3742" s="3">
        <f t="shared" si="850"/>
        <v>2012</v>
      </c>
      <c r="F3742" s="3">
        <f t="shared" si="851"/>
        <v>5</v>
      </c>
      <c r="G3742" s="3">
        <f t="shared" si="852"/>
        <v>30</v>
      </c>
      <c r="H3742" s="3">
        <f t="shared" si="853"/>
        <v>0</v>
      </c>
      <c r="I3742" s="3">
        <f t="shared" si="854"/>
        <v>27</v>
      </c>
      <c r="J3742" s="3">
        <f t="shared" si="855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856"/>
        <v>YES</v>
      </c>
      <c r="Q3742" t="str">
        <f t="shared" si="857"/>
        <v>NO</v>
      </c>
      <c r="R3742" t="str">
        <f t="shared" si="858"/>
        <v>NO</v>
      </c>
      <c r="S3742">
        <v>2211</v>
      </c>
      <c r="T3742" t="s">
        <v>14</v>
      </c>
      <c r="U3742" t="str">
        <f t="shared" si="845"/>
        <v>Massachusetts Ave</v>
      </c>
      <c r="W3742" t="str">
        <f t="shared" si="846"/>
        <v/>
      </c>
      <c r="X3742" t="str">
        <f>IF(ISBLANK(S3742),"Intersection","Non-Intersection")</f>
        <v>Non-Intersection</v>
      </c>
      <c r="Y3742" t="s">
        <v>4498</v>
      </c>
      <c r="Z3742" t="str">
        <f t="shared" si="847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848"/>
        <v>40909</v>
      </c>
      <c r="D3743" s="4">
        <f t="shared" si="849"/>
        <v>0.4098360655737705</v>
      </c>
      <c r="E3743" s="3">
        <f t="shared" si="850"/>
        <v>2012</v>
      </c>
      <c r="F3743" s="3">
        <f t="shared" si="851"/>
        <v>5</v>
      </c>
      <c r="G3743" s="3">
        <f t="shared" si="852"/>
        <v>30</v>
      </c>
      <c r="H3743" s="3">
        <f t="shared" si="853"/>
        <v>9</v>
      </c>
      <c r="I3743" s="3">
        <f t="shared" si="854"/>
        <v>40</v>
      </c>
      <c r="J3743" s="3">
        <f t="shared" si="855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856"/>
        <v>YES</v>
      </c>
      <c r="Q3743" t="str">
        <f t="shared" si="857"/>
        <v>NO</v>
      </c>
      <c r="R3743" t="str">
        <f t="shared" si="858"/>
        <v>NO</v>
      </c>
      <c r="S3743">
        <v>40</v>
      </c>
      <c r="T3743" t="s">
        <v>4454</v>
      </c>
      <c r="U3743" t="str">
        <f t="shared" si="845"/>
        <v>St Sauveur Ct</v>
      </c>
      <c r="W3743" t="str">
        <f t="shared" si="846"/>
        <v/>
      </c>
      <c r="X3743" t="str">
        <f>IF(ISBLANK(S3743),"Intersection","Non-Intersection")</f>
        <v>Non-Intersection</v>
      </c>
      <c r="Y3743" t="s">
        <v>4578</v>
      </c>
      <c r="Z3743" t="str">
        <f t="shared" si="847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848"/>
        <v>40909</v>
      </c>
      <c r="D3744" s="4">
        <f t="shared" si="849"/>
        <v>0.4098360655737705</v>
      </c>
      <c r="E3744" s="3">
        <f t="shared" si="850"/>
        <v>2012</v>
      </c>
      <c r="F3744" s="3">
        <f t="shared" si="851"/>
        <v>5</v>
      </c>
      <c r="G3744" s="3">
        <f t="shared" si="852"/>
        <v>30</v>
      </c>
      <c r="H3744" s="3">
        <f t="shared" si="853"/>
        <v>9</v>
      </c>
      <c r="I3744" s="3">
        <f t="shared" si="854"/>
        <v>45</v>
      </c>
      <c r="J3744" s="3">
        <f t="shared" si="855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856"/>
        <v>YES</v>
      </c>
      <c r="Q3744" t="str">
        <f t="shared" si="857"/>
        <v>NO</v>
      </c>
      <c r="R3744" t="str">
        <f t="shared" si="858"/>
        <v>NO</v>
      </c>
      <c r="S3744">
        <v>725</v>
      </c>
      <c r="T3744" t="s">
        <v>186</v>
      </c>
      <c r="U3744" t="str">
        <f t="shared" si="845"/>
        <v>Concord Ave</v>
      </c>
      <c r="W3744" t="str">
        <f t="shared" si="846"/>
        <v/>
      </c>
      <c r="X3744" t="str">
        <f>IF(ISBLANK(S3744),"Intersection","Non-Intersection")</f>
        <v>Non-Intersection</v>
      </c>
      <c r="Y3744" t="s">
        <v>617</v>
      </c>
      <c r="Z3744" t="str">
        <f t="shared" si="847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848"/>
        <v>40909</v>
      </c>
      <c r="D3745" s="4">
        <f t="shared" si="849"/>
        <v>0.4098360655737705</v>
      </c>
      <c r="E3745" s="3">
        <f t="shared" si="850"/>
        <v>2012</v>
      </c>
      <c r="F3745" s="3">
        <f t="shared" si="851"/>
        <v>5</v>
      </c>
      <c r="G3745" s="3">
        <f t="shared" si="852"/>
        <v>30</v>
      </c>
      <c r="H3745" s="3">
        <f t="shared" si="853"/>
        <v>11</v>
      </c>
      <c r="I3745" s="3">
        <f t="shared" si="854"/>
        <v>39</v>
      </c>
      <c r="J3745" s="3">
        <f t="shared" si="855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856"/>
        <v>YES</v>
      </c>
      <c r="Q3745" t="str">
        <f t="shared" si="857"/>
        <v>YES</v>
      </c>
      <c r="R3745" t="str">
        <f t="shared" si="858"/>
        <v>NO</v>
      </c>
      <c r="T3745" t="s">
        <v>185</v>
      </c>
      <c r="U3745" t="str">
        <f t="shared" si="845"/>
        <v>Garden St</v>
      </c>
      <c r="V3745" t="s">
        <v>4580</v>
      </c>
      <c r="W3745" t="str">
        <f t="shared" si="846"/>
        <v>Berkeley St</v>
      </c>
      <c r="X3745" t="str">
        <f>IF(ISBLANK(S3745),"Intersection","Non-Intersection")</f>
        <v>Intersection</v>
      </c>
      <c r="Y3745" t="s">
        <v>4581</v>
      </c>
      <c r="Z3745" t="str">
        <f t="shared" si="847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848"/>
        <v>40909</v>
      </c>
      <c r="D3746" s="4">
        <f t="shared" si="849"/>
        <v>0.41256830601092898</v>
      </c>
      <c r="E3746" s="3">
        <f t="shared" si="850"/>
        <v>2012</v>
      </c>
      <c r="F3746" s="3">
        <f t="shared" si="851"/>
        <v>5</v>
      </c>
      <c r="G3746" s="3">
        <f t="shared" si="852"/>
        <v>31</v>
      </c>
      <c r="H3746" s="3">
        <f t="shared" si="853"/>
        <v>7</v>
      </c>
      <c r="I3746" s="3">
        <f t="shared" si="854"/>
        <v>19</v>
      </c>
      <c r="J3746" s="3">
        <f t="shared" si="855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856"/>
        <v>YES</v>
      </c>
      <c r="Q3746" t="str">
        <f t="shared" si="857"/>
        <v>YES</v>
      </c>
      <c r="R3746" t="str">
        <f t="shared" si="858"/>
        <v>NO</v>
      </c>
      <c r="T3746" t="s">
        <v>19</v>
      </c>
      <c r="U3746" t="str">
        <f t="shared" si="845"/>
        <v>Cambridge St</v>
      </c>
      <c r="V3746" t="s">
        <v>760</v>
      </c>
      <c r="W3746" t="str">
        <f t="shared" si="846"/>
        <v>Fulkerson St</v>
      </c>
      <c r="X3746" t="str">
        <f>IF(ISBLANK(S3746),"Intersection","Non-Intersection")</f>
        <v>Intersection</v>
      </c>
      <c r="Y3746" t="s">
        <v>3703</v>
      </c>
      <c r="Z3746" t="str">
        <f t="shared" si="847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848"/>
        <v>40909</v>
      </c>
      <c r="D3747" s="4">
        <f t="shared" si="849"/>
        <v>0.41256830601092898</v>
      </c>
      <c r="E3747" s="3">
        <f t="shared" si="850"/>
        <v>2012</v>
      </c>
      <c r="F3747" s="3">
        <f t="shared" si="851"/>
        <v>5</v>
      </c>
      <c r="G3747" s="3">
        <f t="shared" si="852"/>
        <v>31</v>
      </c>
      <c r="H3747" s="3">
        <f t="shared" si="853"/>
        <v>6</v>
      </c>
      <c r="I3747" s="3">
        <f t="shared" si="854"/>
        <v>0</v>
      </c>
      <c r="J3747" s="3">
        <f t="shared" si="855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856"/>
        <v>YES</v>
      </c>
      <c r="Q3747" t="str">
        <f t="shared" si="857"/>
        <v>NO</v>
      </c>
      <c r="R3747" t="str">
        <f t="shared" si="858"/>
        <v>NO</v>
      </c>
      <c r="S3747">
        <v>246</v>
      </c>
      <c r="T3747" t="s">
        <v>745</v>
      </c>
      <c r="U3747" t="str">
        <f t="shared" si="845"/>
        <v>Norfolk St</v>
      </c>
      <c r="W3747" t="str">
        <f t="shared" si="846"/>
        <v/>
      </c>
      <c r="X3747" t="str">
        <f>IF(ISBLANK(S3747),"Intersection","Non-Intersection")</f>
        <v>Non-Intersection</v>
      </c>
      <c r="Y3747" t="s">
        <v>4583</v>
      </c>
      <c r="Z3747" t="str">
        <f t="shared" si="847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848"/>
        <v>40909</v>
      </c>
      <c r="D3748" s="4">
        <f t="shared" si="849"/>
        <v>0.41256830601092898</v>
      </c>
      <c r="E3748" s="3">
        <f t="shared" si="850"/>
        <v>2012</v>
      </c>
      <c r="F3748" s="3">
        <f t="shared" si="851"/>
        <v>5</v>
      </c>
      <c r="G3748" s="3">
        <f t="shared" si="852"/>
        <v>31</v>
      </c>
      <c r="H3748" s="3">
        <f t="shared" si="853"/>
        <v>8</v>
      </c>
      <c r="I3748" s="3">
        <f t="shared" si="854"/>
        <v>15</v>
      </c>
      <c r="J3748" s="3">
        <f t="shared" si="855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856"/>
        <v>YES</v>
      </c>
      <c r="Q3748" t="str">
        <f t="shared" si="857"/>
        <v>YES</v>
      </c>
      <c r="R3748" t="str">
        <f t="shared" si="858"/>
        <v>NO</v>
      </c>
      <c r="T3748" t="s">
        <v>142</v>
      </c>
      <c r="U3748" t="str">
        <f t="shared" si="845"/>
        <v>Huron Ave</v>
      </c>
      <c r="V3748" t="s">
        <v>459</v>
      </c>
      <c r="W3748" t="str">
        <f t="shared" si="846"/>
        <v>Fayerweather St</v>
      </c>
      <c r="X3748" t="str">
        <f>IF(ISBLANK(S3748),"Intersection","Non-Intersection")</f>
        <v>Intersection</v>
      </c>
      <c r="Y3748" t="s">
        <v>460</v>
      </c>
      <c r="Z3748" t="str">
        <f t="shared" si="847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848"/>
        <v>40909</v>
      </c>
      <c r="D3749" s="4">
        <f t="shared" si="849"/>
        <v>0.41256830601092898</v>
      </c>
      <c r="E3749" s="3">
        <f t="shared" si="850"/>
        <v>2012</v>
      </c>
      <c r="F3749" s="3">
        <f t="shared" si="851"/>
        <v>5</v>
      </c>
      <c r="G3749" s="3">
        <f t="shared" si="852"/>
        <v>31</v>
      </c>
      <c r="H3749" s="3">
        <f t="shared" si="853"/>
        <v>8</v>
      </c>
      <c r="I3749" s="3">
        <f t="shared" si="854"/>
        <v>39</v>
      </c>
      <c r="J3749" s="3">
        <f t="shared" si="855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856"/>
        <v>YES</v>
      </c>
      <c r="Q3749" t="str">
        <f t="shared" si="857"/>
        <v>NO</v>
      </c>
      <c r="R3749" t="str">
        <f t="shared" si="858"/>
        <v>NO</v>
      </c>
      <c r="T3749" t="s">
        <v>104</v>
      </c>
      <c r="U3749" t="str">
        <f t="shared" si="845"/>
        <v>Inman St</v>
      </c>
      <c r="V3749" t="s">
        <v>74</v>
      </c>
      <c r="W3749" t="str">
        <f t="shared" si="846"/>
        <v>Hampshire St</v>
      </c>
      <c r="X3749" t="str">
        <f>IF(ISBLANK(S3749),"Intersection","Non-Intersection")</f>
        <v>Intersection</v>
      </c>
      <c r="Y3749" t="s">
        <v>3144</v>
      </c>
      <c r="Z3749" t="str">
        <f t="shared" si="847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848"/>
        <v>40909</v>
      </c>
      <c r="D3750" s="4">
        <f t="shared" si="849"/>
        <v>0.41256830601092898</v>
      </c>
      <c r="E3750" s="3">
        <f t="shared" si="850"/>
        <v>2012</v>
      </c>
      <c r="F3750" s="3">
        <f t="shared" si="851"/>
        <v>5</v>
      </c>
      <c r="G3750" s="3">
        <f t="shared" si="852"/>
        <v>31</v>
      </c>
      <c r="H3750" s="3">
        <f t="shared" si="853"/>
        <v>10</v>
      </c>
      <c r="I3750" s="3">
        <f t="shared" si="854"/>
        <v>44</v>
      </c>
      <c r="J3750" s="3">
        <f t="shared" si="855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856"/>
        <v>YES</v>
      </c>
      <c r="Q3750" t="str">
        <f t="shared" si="857"/>
        <v>NO</v>
      </c>
      <c r="R3750" t="str">
        <f t="shared" si="858"/>
        <v>NO</v>
      </c>
      <c r="T3750" t="s">
        <v>459</v>
      </c>
      <c r="U3750" t="str">
        <f t="shared" si="845"/>
        <v>Fayerweather St</v>
      </c>
      <c r="V3750" t="s">
        <v>186</v>
      </c>
      <c r="W3750" t="str">
        <f t="shared" si="846"/>
        <v>Concord Ave</v>
      </c>
      <c r="X3750" t="str">
        <f>IF(ISBLANK(S3750),"Intersection","Non-Intersection")</f>
        <v>Intersection</v>
      </c>
      <c r="Y3750" t="s">
        <v>4292</v>
      </c>
      <c r="Z3750" t="str">
        <f t="shared" si="847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848"/>
        <v>40909</v>
      </c>
      <c r="D3751" s="4">
        <f t="shared" si="849"/>
        <v>0.41256830601092898</v>
      </c>
      <c r="E3751" s="3">
        <f t="shared" si="850"/>
        <v>2012</v>
      </c>
      <c r="F3751" s="3">
        <f t="shared" si="851"/>
        <v>5</v>
      </c>
      <c r="G3751" s="3">
        <f t="shared" si="852"/>
        <v>31</v>
      </c>
      <c r="H3751" s="3">
        <f t="shared" si="853"/>
        <v>16</v>
      </c>
      <c r="I3751" s="3">
        <f t="shared" si="854"/>
        <v>9</v>
      </c>
      <c r="J3751" s="3">
        <f t="shared" si="855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856"/>
        <v>YES</v>
      </c>
      <c r="Q3751" t="str">
        <f t="shared" si="857"/>
        <v>YES</v>
      </c>
      <c r="R3751" t="str">
        <f t="shared" si="858"/>
        <v>NO</v>
      </c>
      <c r="T3751" t="s">
        <v>32</v>
      </c>
      <c r="U3751" t="str">
        <f t="shared" si="845"/>
        <v>Main St</v>
      </c>
      <c r="V3751" t="s">
        <v>202</v>
      </c>
      <c r="W3751" t="str">
        <f t="shared" si="846"/>
        <v>Vassar St</v>
      </c>
      <c r="X3751" t="str">
        <f>IF(ISBLANK(S3751),"Intersection","Non-Intersection")</f>
        <v>Intersection</v>
      </c>
      <c r="Y3751" t="s">
        <v>772</v>
      </c>
      <c r="Z3751" t="str">
        <f t="shared" si="847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848"/>
        <v>40909</v>
      </c>
      <c r="D3752" s="4">
        <f t="shared" si="849"/>
        <v>0.41256830601092898</v>
      </c>
      <c r="E3752" s="3">
        <f t="shared" si="850"/>
        <v>2012</v>
      </c>
      <c r="F3752" s="3">
        <f t="shared" si="851"/>
        <v>5</v>
      </c>
      <c r="G3752" s="3">
        <f t="shared" si="852"/>
        <v>31</v>
      </c>
      <c r="H3752" s="3">
        <f t="shared" si="853"/>
        <v>19</v>
      </c>
      <c r="I3752" s="3">
        <f t="shared" si="854"/>
        <v>47</v>
      </c>
      <c r="J3752" s="3">
        <f t="shared" si="855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856"/>
        <v>YES</v>
      </c>
      <c r="Q3752" t="str">
        <f t="shared" si="857"/>
        <v>NO</v>
      </c>
      <c r="R3752" t="str">
        <f t="shared" si="858"/>
        <v>NO</v>
      </c>
      <c r="T3752" t="s">
        <v>42</v>
      </c>
      <c r="U3752" t="str">
        <f t="shared" si="845"/>
        <v>Putnam Ave</v>
      </c>
      <c r="V3752" t="s">
        <v>198</v>
      </c>
      <c r="W3752" t="str">
        <f t="shared" si="846"/>
        <v>Mount Auburn St</v>
      </c>
      <c r="X3752" t="str">
        <f>IF(ISBLANK(S3752),"Intersection","Non-Intersection")</f>
        <v>Intersection</v>
      </c>
      <c r="Y3752" t="s">
        <v>4585</v>
      </c>
      <c r="Z3752" t="str">
        <f t="shared" si="847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848"/>
        <v>40909</v>
      </c>
      <c r="D3753" s="4">
        <f t="shared" si="849"/>
        <v>0.41256830601092898</v>
      </c>
      <c r="E3753" s="3">
        <f t="shared" si="850"/>
        <v>2012</v>
      </c>
      <c r="F3753" s="3">
        <f t="shared" si="851"/>
        <v>5</v>
      </c>
      <c r="G3753" s="3">
        <f t="shared" si="852"/>
        <v>31</v>
      </c>
      <c r="H3753" s="3">
        <f t="shared" si="853"/>
        <v>21</v>
      </c>
      <c r="I3753" s="3">
        <f t="shared" si="854"/>
        <v>50</v>
      </c>
      <c r="J3753" s="3">
        <f t="shared" si="855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856"/>
        <v>YES</v>
      </c>
      <c r="Q3753" t="str">
        <f t="shared" si="857"/>
        <v>YES</v>
      </c>
      <c r="R3753" t="str">
        <f t="shared" si="858"/>
        <v>NO</v>
      </c>
      <c r="S3753">
        <v>581</v>
      </c>
      <c r="T3753" t="s">
        <v>14</v>
      </c>
      <c r="U3753" t="str">
        <f t="shared" si="845"/>
        <v>Massachusetts Ave</v>
      </c>
      <c r="W3753" t="str">
        <f t="shared" si="846"/>
        <v/>
      </c>
      <c r="X3753" t="str">
        <f>IF(ISBLANK(S3753),"Intersection","Non-Intersection")</f>
        <v>Non-Intersection</v>
      </c>
      <c r="Y3753" t="s">
        <v>1811</v>
      </c>
      <c r="Z3753" t="str">
        <f t="shared" si="847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848"/>
        <v>40909</v>
      </c>
      <c r="D3754" s="4">
        <f t="shared" si="849"/>
        <v>0.41530054644808745</v>
      </c>
      <c r="E3754" s="3">
        <f t="shared" si="850"/>
        <v>2012</v>
      </c>
      <c r="F3754" s="3">
        <f t="shared" si="851"/>
        <v>6</v>
      </c>
      <c r="G3754" s="3">
        <f t="shared" si="852"/>
        <v>1</v>
      </c>
      <c r="H3754" s="3">
        <f t="shared" si="853"/>
        <v>6</v>
      </c>
      <c r="I3754" s="3">
        <f t="shared" si="854"/>
        <v>33</v>
      </c>
      <c r="J3754" s="3">
        <f t="shared" si="855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856"/>
        <v>YES</v>
      </c>
      <c r="Q3754" t="str">
        <f t="shared" si="857"/>
        <v>YES</v>
      </c>
      <c r="R3754" t="str">
        <f t="shared" si="858"/>
        <v>NO</v>
      </c>
      <c r="T3754" t="s">
        <v>198</v>
      </c>
      <c r="U3754" t="str">
        <f t="shared" si="845"/>
        <v>Mount Auburn St</v>
      </c>
      <c r="V3754" t="s">
        <v>2285</v>
      </c>
      <c r="W3754" t="str">
        <f t="shared" si="846"/>
        <v>Homer Ave</v>
      </c>
      <c r="X3754" t="str">
        <f>IF(ISBLANK(S3754),"Intersection","Non-Intersection")</f>
        <v>Intersection</v>
      </c>
      <c r="Y3754" t="s">
        <v>3334</v>
      </c>
      <c r="Z3754" t="str">
        <f t="shared" si="847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848"/>
        <v>40909</v>
      </c>
      <c r="D3755" s="4">
        <f t="shared" si="849"/>
        <v>0.41530054644808745</v>
      </c>
      <c r="E3755" s="3">
        <f t="shared" si="850"/>
        <v>2012</v>
      </c>
      <c r="F3755" s="3">
        <f t="shared" si="851"/>
        <v>6</v>
      </c>
      <c r="G3755" s="3">
        <f t="shared" si="852"/>
        <v>1</v>
      </c>
      <c r="H3755" s="3">
        <f t="shared" si="853"/>
        <v>8</v>
      </c>
      <c r="I3755" s="3">
        <f t="shared" si="854"/>
        <v>0</v>
      </c>
      <c r="J3755" s="3">
        <f t="shared" si="855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856"/>
        <v>YES</v>
      </c>
      <c r="Q3755" t="str">
        <f t="shared" si="857"/>
        <v>NO</v>
      </c>
      <c r="R3755" t="str">
        <f t="shared" si="858"/>
        <v>NO</v>
      </c>
      <c r="S3755">
        <v>5</v>
      </c>
      <c r="T3755" t="s">
        <v>601</v>
      </c>
      <c r="U3755" t="str">
        <f t="shared" si="845"/>
        <v>Cedar St</v>
      </c>
      <c r="W3755" t="str">
        <f t="shared" si="846"/>
        <v/>
      </c>
      <c r="X3755" t="str">
        <f>IF(ISBLANK(S3755),"Intersection","Non-Intersection")</f>
        <v>Non-Intersection</v>
      </c>
      <c r="Y3755" t="s">
        <v>4586</v>
      </c>
      <c r="Z3755" t="str">
        <f t="shared" si="847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848"/>
        <v>40909</v>
      </c>
      <c r="D3756" s="4">
        <f t="shared" si="849"/>
        <v>0.41530054644808745</v>
      </c>
      <c r="E3756" s="3">
        <f t="shared" si="850"/>
        <v>2012</v>
      </c>
      <c r="F3756" s="3">
        <f t="shared" si="851"/>
        <v>6</v>
      </c>
      <c r="G3756" s="3">
        <f t="shared" si="852"/>
        <v>1</v>
      </c>
      <c r="H3756" s="3">
        <f t="shared" si="853"/>
        <v>8</v>
      </c>
      <c r="I3756" s="3">
        <f t="shared" si="854"/>
        <v>29</v>
      </c>
      <c r="J3756" s="3">
        <f t="shared" si="855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856"/>
        <v>YES</v>
      </c>
      <c r="Q3756" t="str">
        <f t="shared" si="857"/>
        <v>NO</v>
      </c>
      <c r="R3756" t="str">
        <f t="shared" si="858"/>
        <v>NO</v>
      </c>
      <c r="T3756" t="s">
        <v>19</v>
      </c>
      <c r="U3756" t="str">
        <f t="shared" si="845"/>
        <v>Cambridge St</v>
      </c>
      <c r="V3756" t="s">
        <v>129</v>
      </c>
      <c r="W3756" t="str">
        <f t="shared" si="846"/>
        <v>Cardinal Medeiros Ave</v>
      </c>
      <c r="X3756" t="str">
        <f>IF(ISBLANK(S3756),"Intersection","Non-Intersection")</f>
        <v>Intersection</v>
      </c>
      <c r="Y3756" t="s">
        <v>130</v>
      </c>
      <c r="Z3756" t="str">
        <f t="shared" si="847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848"/>
        <v>40909</v>
      </c>
      <c r="D3757" s="4">
        <f t="shared" si="849"/>
        <v>0.41530054644808745</v>
      </c>
      <c r="E3757" s="3">
        <f t="shared" si="850"/>
        <v>2012</v>
      </c>
      <c r="F3757" s="3">
        <f t="shared" si="851"/>
        <v>6</v>
      </c>
      <c r="G3757" s="3">
        <f t="shared" si="852"/>
        <v>1</v>
      </c>
      <c r="H3757" s="3">
        <f t="shared" si="853"/>
        <v>9</v>
      </c>
      <c r="I3757" s="3">
        <f t="shared" si="854"/>
        <v>40</v>
      </c>
      <c r="J3757" s="3">
        <f t="shared" si="855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856"/>
        <v>YES</v>
      </c>
      <c r="Q3757" t="str">
        <f t="shared" si="857"/>
        <v>NO</v>
      </c>
      <c r="R3757" t="str">
        <f t="shared" si="858"/>
        <v>NO</v>
      </c>
      <c r="T3757" t="s">
        <v>41</v>
      </c>
      <c r="U3757" t="str">
        <f t="shared" si="845"/>
        <v>River St</v>
      </c>
      <c r="V3757" t="s">
        <v>1024</v>
      </c>
      <c r="W3757" t="str">
        <f t="shared" si="846"/>
        <v>Kinnaird St</v>
      </c>
      <c r="X3757" t="str">
        <f>IF(ISBLANK(S3757),"Intersection","Non-Intersection")</f>
        <v>Intersection</v>
      </c>
      <c r="Y3757" t="s">
        <v>4588</v>
      </c>
      <c r="Z3757" t="str">
        <f t="shared" si="847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848"/>
        <v>40909</v>
      </c>
      <c r="D3758" s="4">
        <f t="shared" si="849"/>
        <v>0.41530054644808745</v>
      </c>
      <c r="E3758" s="3">
        <f t="shared" si="850"/>
        <v>2012</v>
      </c>
      <c r="F3758" s="3">
        <f t="shared" si="851"/>
        <v>6</v>
      </c>
      <c r="G3758" s="3">
        <f t="shared" si="852"/>
        <v>1</v>
      </c>
      <c r="H3758" s="3">
        <f t="shared" si="853"/>
        <v>11</v>
      </c>
      <c r="I3758" s="3">
        <f t="shared" si="854"/>
        <v>57</v>
      </c>
      <c r="J3758" s="3">
        <f t="shared" si="855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856"/>
        <v>YES</v>
      </c>
      <c r="Q3758" t="str">
        <f t="shared" si="857"/>
        <v>NO</v>
      </c>
      <c r="R3758" t="str">
        <f t="shared" si="858"/>
        <v>NO</v>
      </c>
      <c r="T3758" t="s">
        <v>42</v>
      </c>
      <c r="U3758" t="str">
        <f t="shared" si="845"/>
        <v>Putnam Ave</v>
      </c>
      <c r="V3758" t="s">
        <v>27</v>
      </c>
      <c r="W3758" t="str">
        <f t="shared" si="846"/>
        <v>Western Ave</v>
      </c>
      <c r="X3758" t="str">
        <f>IF(ISBLANK(S3758),"Intersection","Non-Intersection")</f>
        <v>Intersection</v>
      </c>
      <c r="Y3758" t="s">
        <v>3749</v>
      </c>
      <c r="Z3758" t="str">
        <f t="shared" si="847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848"/>
        <v>40909</v>
      </c>
      <c r="D3759" s="4">
        <f t="shared" si="849"/>
        <v>0.41530054644808745</v>
      </c>
      <c r="E3759" s="3">
        <f t="shared" si="850"/>
        <v>2012</v>
      </c>
      <c r="F3759" s="3">
        <f t="shared" si="851"/>
        <v>6</v>
      </c>
      <c r="G3759" s="3">
        <f t="shared" si="852"/>
        <v>1</v>
      </c>
      <c r="H3759" s="3">
        <f t="shared" si="853"/>
        <v>17</v>
      </c>
      <c r="I3759" s="3">
        <f t="shared" si="854"/>
        <v>49</v>
      </c>
      <c r="J3759" s="3">
        <f t="shared" si="855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856"/>
        <v>YES</v>
      </c>
      <c r="Q3759" t="str">
        <f t="shared" si="857"/>
        <v>YES</v>
      </c>
      <c r="R3759" t="str">
        <f t="shared" si="858"/>
        <v>NO</v>
      </c>
      <c r="S3759">
        <v>2501</v>
      </c>
      <c r="T3759" t="s">
        <v>14</v>
      </c>
      <c r="U3759" t="str">
        <f t="shared" si="845"/>
        <v>Massachusetts Ave</v>
      </c>
      <c r="W3759" t="str">
        <f t="shared" si="846"/>
        <v/>
      </c>
      <c r="X3759" t="str">
        <f>IF(ISBLANK(S3759),"Intersection","Non-Intersection")</f>
        <v>Non-Intersection</v>
      </c>
      <c r="Y3759" t="s">
        <v>4590</v>
      </c>
      <c r="Z3759" t="str">
        <f t="shared" si="847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848"/>
        <v>40909</v>
      </c>
      <c r="D3760" s="4">
        <f t="shared" si="849"/>
        <v>0.41530054644808745</v>
      </c>
      <c r="E3760" s="3">
        <f t="shared" si="850"/>
        <v>2012</v>
      </c>
      <c r="F3760" s="3">
        <f t="shared" si="851"/>
        <v>6</v>
      </c>
      <c r="G3760" s="3">
        <f t="shared" si="852"/>
        <v>1</v>
      </c>
      <c r="H3760" s="3">
        <f t="shared" si="853"/>
        <v>16</v>
      </c>
      <c r="I3760" s="3">
        <f t="shared" si="854"/>
        <v>41</v>
      </c>
      <c r="J3760" s="3">
        <f t="shared" si="855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856"/>
        <v>YES</v>
      </c>
      <c r="Q3760" t="str">
        <f t="shared" si="857"/>
        <v>NO</v>
      </c>
      <c r="R3760" t="str">
        <f t="shared" si="858"/>
        <v>NO</v>
      </c>
      <c r="T3760" t="s">
        <v>105</v>
      </c>
      <c r="U3760" t="str">
        <f t="shared" si="845"/>
        <v>Broadway</v>
      </c>
      <c r="V3760" t="s">
        <v>342</v>
      </c>
      <c r="W3760" t="str">
        <f t="shared" si="846"/>
        <v>Prospect St</v>
      </c>
      <c r="X3760" t="str">
        <f>IF(ISBLANK(S3760),"Intersection","Non-Intersection")</f>
        <v>Intersection</v>
      </c>
      <c r="Y3760" t="s">
        <v>343</v>
      </c>
      <c r="Z3760" t="str">
        <f t="shared" si="847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848"/>
        <v>40909</v>
      </c>
      <c r="D3761" s="4">
        <f t="shared" si="849"/>
        <v>0.41530054644808745</v>
      </c>
      <c r="E3761" s="3">
        <f t="shared" si="850"/>
        <v>2012</v>
      </c>
      <c r="F3761" s="3">
        <f t="shared" si="851"/>
        <v>6</v>
      </c>
      <c r="G3761" s="3">
        <f t="shared" si="852"/>
        <v>1</v>
      </c>
      <c r="H3761" s="3">
        <f t="shared" si="853"/>
        <v>18</v>
      </c>
      <c r="I3761" s="3">
        <f t="shared" si="854"/>
        <v>40</v>
      </c>
      <c r="J3761" s="3">
        <f t="shared" si="855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856"/>
        <v>YES</v>
      </c>
      <c r="Q3761" t="str">
        <f t="shared" si="857"/>
        <v>NO</v>
      </c>
      <c r="R3761" t="str">
        <f t="shared" si="858"/>
        <v>NO</v>
      </c>
      <c r="T3761" t="s">
        <v>108</v>
      </c>
      <c r="U3761" t="str">
        <f t="shared" si="845"/>
        <v>Franklin St</v>
      </c>
      <c r="V3761" t="s">
        <v>192</v>
      </c>
      <c r="W3761" t="str">
        <f t="shared" si="846"/>
        <v>Hancock St</v>
      </c>
      <c r="X3761" t="str">
        <f>IF(ISBLANK(S3761),"Intersection","Non-Intersection")</f>
        <v>Intersection</v>
      </c>
      <c r="Y3761" t="s">
        <v>4592</v>
      </c>
      <c r="Z3761" t="str">
        <f t="shared" si="847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848"/>
        <v>40909</v>
      </c>
      <c r="D3762" s="4">
        <f t="shared" si="849"/>
        <v>0.41530054644808745</v>
      </c>
      <c r="E3762" s="3">
        <f t="shared" si="850"/>
        <v>2012</v>
      </c>
      <c r="F3762" s="3">
        <f t="shared" si="851"/>
        <v>6</v>
      </c>
      <c r="G3762" s="3">
        <f t="shared" si="852"/>
        <v>1</v>
      </c>
      <c r="H3762" s="3">
        <f t="shared" si="853"/>
        <v>15</v>
      </c>
      <c r="I3762" s="3">
        <f t="shared" si="854"/>
        <v>30</v>
      </c>
      <c r="J3762" s="3">
        <f t="shared" si="855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856"/>
        <v>YES</v>
      </c>
      <c r="Q3762" t="str">
        <f t="shared" si="857"/>
        <v>NO</v>
      </c>
      <c r="R3762" t="str">
        <f t="shared" si="858"/>
        <v>NO</v>
      </c>
      <c r="S3762">
        <v>700</v>
      </c>
      <c r="T3762" t="s">
        <v>142</v>
      </c>
      <c r="U3762" t="str">
        <f t="shared" si="845"/>
        <v>Huron Ave</v>
      </c>
      <c r="W3762" t="str">
        <f t="shared" si="846"/>
        <v/>
      </c>
      <c r="X3762" t="str">
        <f>IF(ISBLANK(S3762),"Intersection","Non-Intersection")</f>
        <v>Non-Intersection</v>
      </c>
      <c r="Y3762" t="s">
        <v>475</v>
      </c>
      <c r="Z3762" t="str">
        <f t="shared" si="847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848"/>
        <v>40909</v>
      </c>
      <c r="D3763" s="4">
        <f t="shared" si="849"/>
        <v>0.41530054644808745</v>
      </c>
      <c r="E3763" s="3">
        <f t="shared" si="850"/>
        <v>2012</v>
      </c>
      <c r="F3763" s="3">
        <f t="shared" si="851"/>
        <v>6</v>
      </c>
      <c r="G3763" s="3">
        <f t="shared" si="852"/>
        <v>1</v>
      </c>
      <c r="H3763" s="3">
        <f t="shared" si="853"/>
        <v>18</v>
      </c>
      <c r="I3763" s="3">
        <f t="shared" si="854"/>
        <v>14</v>
      </c>
      <c r="J3763" s="3">
        <f t="shared" si="855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856"/>
        <v>YES</v>
      </c>
      <c r="Q3763" t="str">
        <f t="shared" si="857"/>
        <v>NO</v>
      </c>
      <c r="R3763" t="str">
        <f t="shared" si="858"/>
        <v>NO</v>
      </c>
      <c r="S3763" t="s">
        <v>4594</v>
      </c>
      <c r="T3763" t="s">
        <v>651</v>
      </c>
      <c r="U3763" t="str">
        <f t="shared" si="845"/>
        <v>Surrey St</v>
      </c>
      <c r="W3763" t="str">
        <f t="shared" si="846"/>
        <v/>
      </c>
      <c r="X3763" t="str">
        <f>IF(ISBLANK(S3763),"Intersection","Non-Intersection")</f>
        <v>Non-Intersection</v>
      </c>
      <c r="Y3763" t="s">
        <v>4595</v>
      </c>
      <c r="Z3763" t="str">
        <f t="shared" si="847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848"/>
        <v>40909</v>
      </c>
      <c r="D3764" s="4">
        <f t="shared" si="849"/>
        <v>0.41530054644808745</v>
      </c>
      <c r="E3764" s="3">
        <f t="shared" si="850"/>
        <v>2012</v>
      </c>
      <c r="F3764" s="3">
        <f t="shared" si="851"/>
        <v>6</v>
      </c>
      <c r="G3764" s="3">
        <f t="shared" si="852"/>
        <v>1</v>
      </c>
      <c r="H3764" s="3">
        <f t="shared" si="853"/>
        <v>11</v>
      </c>
      <c r="I3764" s="3">
        <f t="shared" si="854"/>
        <v>51</v>
      </c>
      <c r="J3764" s="3">
        <f t="shared" si="855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856"/>
        <v>YES</v>
      </c>
      <c r="Q3764" t="str">
        <f t="shared" si="857"/>
        <v>NO</v>
      </c>
      <c r="R3764" t="str">
        <f t="shared" si="858"/>
        <v>NO</v>
      </c>
      <c r="S3764">
        <v>27</v>
      </c>
      <c r="T3764" t="s">
        <v>515</v>
      </c>
      <c r="U3764" t="str">
        <f t="shared" si="845"/>
        <v>Newtowne Ct</v>
      </c>
      <c r="W3764" t="str">
        <f t="shared" si="846"/>
        <v/>
      </c>
      <c r="X3764" t="str">
        <f>IF(ISBLANK(S3764),"Intersection","Non-Intersection")</f>
        <v>Non-Intersection</v>
      </c>
      <c r="Y3764" t="s">
        <v>4597</v>
      </c>
      <c r="Z3764" t="str">
        <f t="shared" si="847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848"/>
        <v>40909</v>
      </c>
      <c r="D3765" s="4">
        <f t="shared" si="849"/>
        <v>0.41803278688524592</v>
      </c>
      <c r="E3765" s="3">
        <f t="shared" si="850"/>
        <v>2012</v>
      </c>
      <c r="F3765" s="3">
        <f t="shared" si="851"/>
        <v>6</v>
      </c>
      <c r="G3765" s="3">
        <f t="shared" si="852"/>
        <v>2</v>
      </c>
      <c r="H3765" s="3">
        <f t="shared" si="853"/>
        <v>14</v>
      </c>
      <c r="I3765" s="3">
        <f t="shared" si="854"/>
        <v>15</v>
      </c>
      <c r="J3765" s="3">
        <f t="shared" si="855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856"/>
        <v>YES</v>
      </c>
      <c r="Q3765" t="str">
        <f t="shared" si="857"/>
        <v>NO</v>
      </c>
      <c r="R3765" t="str">
        <f t="shared" si="858"/>
        <v>NO</v>
      </c>
      <c r="S3765">
        <v>177</v>
      </c>
      <c r="T3765" t="s">
        <v>42</v>
      </c>
      <c r="U3765" t="str">
        <f t="shared" si="845"/>
        <v>Putnam Ave</v>
      </c>
      <c r="W3765" t="str">
        <f t="shared" si="846"/>
        <v/>
      </c>
      <c r="X3765" t="str">
        <f>IF(ISBLANK(S3765),"Intersection","Non-Intersection")</f>
        <v>Non-Intersection</v>
      </c>
      <c r="Y3765" t="s">
        <v>4599</v>
      </c>
      <c r="Z3765" t="str">
        <f t="shared" si="847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848"/>
        <v>40909</v>
      </c>
      <c r="D3766" s="4">
        <f t="shared" si="849"/>
        <v>0.41803278688524592</v>
      </c>
      <c r="E3766" s="3">
        <f t="shared" si="850"/>
        <v>2012</v>
      </c>
      <c r="F3766" s="3">
        <f t="shared" si="851"/>
        <v>6</v>
      </c>
      <c r="G3766" s="3">
        <f t="shared" si="852"/>
        <v>2</v>
      </c>
      <c r="H3766" s="3">
        <f t="shared" si="853"/>
        <v>14</v>
      </c>
      <c r="I3766" s="3">
        <f t="shared" si="854"/>
        <v>49</v>
      </c>
      <c r="J3766" s="3">
        <f t="shared" si="855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856"/>
        <v>YES</v>
      </c>
      <c r="Q3766" t="str">
        <f t="shared" si="857"/>
        <v>NO</v>
      </c>
      <c r="R3766" t="str">
        <f t="shared" si="858"/>
        <v>NO</v>
      </c>
      <c r="T3766" t="s">
        <v>325</v>
      </c>
      <c r="U3766" t="str">
        <f t="shared" si="845"/>
        <v>Eliot St</v>
      </c>
      <c r="V3766" t="s">
        <v>162</v>
      </c>
      <c r="W3766" t="str">
        <f t="shared" si="846"/>
        <v>Bennett St</v>
      </c>
      <c r="X3766" t="str">
        <f>IF(ISBLANK(S3766),"Intersection","Non-Intersection")</f>
        <v>Intersection</v>
      </c>
      <c r="Y3766" t="s">
        <v>1229</v>
      </c>
      <c r="Z3766" t="str">
        <f t="shared" si="847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848"/>
        <v>40909</v>
      </c>
      <c r="D3767" s="4">
        <f t="shared" si="849"/>
        <v>0.41803278688524592</v>
      </c>
      <c r="E3767" s="3">
        <f t="shared" si="850"/>
        <v>2012</v>
      </c>
      <c r="F3767" s="3">
        <f t="shared" si="851"/>
        <v>6</v>
      </c>
      <c r="G3767" s="3">
        <f t="shared" si="852"/>
        <v>2</v>
      </c>
      <c r="H3767" s="3">
        <f t="shared" si="853"/>
        <v>16</v>
      </c>
      <c r="I3767" s="3">
        <f t="shared" si="854"/>
        <v>37</v>
      </c>
      <c r="J3767" s="3">
        <f t="shared" si="855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856"/>
        <v>YES</v>
      </c>
      <c r="Q3767" t="str">
        <f t="shared" si="857"/>
        <v>NO</v>
      </c>
      <c r="R3767" t="str">
        <f t="shared" si="858"/>
        <v>NO</v>
      </c>
      <c r="S3767">
        <v>17</v>
      </c>
      <c r="T3767" t="s">
        <v>141</v>
      </c>
      <c r="U3767" t="str">
        <f t="shared" si="845"/>
        <v>Standish St</v>
      </c>
      <c r="W3767" t="str">
        <f t="shared" si="846"/>
        <v/>
      </c>
      <c r="X3767" t="str">
        <f>IF(ISBLANK(S3767),"Intersection","Non-Intersection")</f>
        <v>Non-Intersection</v>
      </c>
      <c r="Y3767" t="s">
        <v>4601</v>
      </c>
      <c r="Z3767" t="str">
        <f t="shared" si="847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848"/>
        <v>40909</v>
      </c>
      <c r="D3768" s="4">
        <f t="shared" si="849"/>
        <v>0.41803278688524592</v>
      </c>
      <c r="E3768" s="3">
        <f t="shared" si="850"/>
        <v>2012</v>
      </c>
      <c r="F3768" s="3">
        <f t="shared" si="851"/>
        <v>6</v>
      </c>
      <c r="G3768" s="3">
        <f t="shared" si="852"/>
        <v>2</v>
      </c>
      <c r="H3768" s="3">
        <f t="shared" si="853"/>
        <v>18</v>
      </c>
      <c r="I3768" s="3">
        <f t="shared" si="854"/>
        <v>59</v>
      </c>
      <c r="J3768" s="3">
        <f t="shared" si="855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856"/>
        <v>YES</v>
      </c>
      <c r="Q3768" t="str">
        <f t="shared" si="857"/>
        <v>NO</v>
      </c>
      <c r="R3768" t="str">
        <f t="shared" si="858"/>
        <v>NO</v>
      </c>
      <c r="S3768">
        <v>655</v>
      </c>
      <c r="T3768" t="s">
        <v>32</v>
      </c>
      <c r="U3768" t="str">
        <f t="shared" si="845"/>
        <v>Main St</v>
      </c>
      <c r="V3768" t="s">
        <v>515</v>
      </c>
      <c r="W3768" t="str">
        <f t="shared" si="846"/>
        <v>Newtowne Ct</v>
      </c>
      <c r="X3768" t="str">
        <f>IF(ISBLANK(S3768),"Intersection","Non-Intersection")</f>
        <v>Non-Intersection</v>
      </c>
      <c r="Y3768" t="s">
        <v>4603</v>
      </c>
      <c r="Z3768" t="str">
        <f t="shared" si="847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848"/>
        <v>40909</v>
      </c>
      <c r="D3769" s="4">
        <f t="shared" si="849"/>
        <v>0.41803278688524592</v>
      </c>
      <c r="E3769" s="3">
        <f t="shared" si="850"/>
        <v>2012</v>
      </c>
      <c r="F3769" s="3">
        <f t="shared" si="851"/>
        <v>6</v>
      </c>
      <c r="G3769" s="3">
        <f t="shared" si="852"/>
        <v>2</v>
      </c>
      <c r="H3769" s="3">
        <f t="shared" si="853"/>
        <v>22</v>
      </c>
      <c r="I3769" s="3">
        <f t="shared" si="854"/>
        <v>30</v>
      </c>
      <c r="J3769" s="3">
        <f t="shared" si="855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856"/>
        <v>YES</v>
      </c>
      <c r="Q3769" t="str">
        <f t="shared" si="857"/>
        <v>NO</v>
      </c>
      <c r="R3769" t="str">
        <f t="shared" si="858"/>
        <v>NO</v>
      </c>
      <c r="S3769">
        <v>131</v>
      </c>
      <c r="T3769" t="s">
        <v>587</v>
      </c>
      <c r="U3769" t="str">
        <f t="shared" si="845"/>
        <v>Webster Ave</v>
      </c>
      <c r="W3769" t="str">
        <f t="shared" si="846"/>
        <v/>
      </c>
      <c r="X3769" t="str">
        <f>IF(ISBLANK(S3769),"Intersection","Non-Intersection")</f>
        <v>Non-Intersection</v>
      </c>
      <c r="Y3769" t="s">
        <v>4605</v>
      </c>
      <c r="Z3769" t="str">
        <f t="shared" si="847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848"/>
        <v>40909</v>
      </c>
      <c r="D3770" s="4">
        <f t="shared" si="849"/>
        <v>0.42076502732240439</v>
      </c>
      <c r="E3770" s="3">
        <f t="shared" si="850"/>
        <v>2012</v>
      </c>
      <c r="F3770" s="3">
        <f t="shared" si="851"/>
        <v>6</v>
      </c>
      <c r="G3770" s="3">
        <f t="shared" si="852"/>
        <v>3</v>
      </c>
      <c r="H3770" s="3">
        <f t="shared" si="853"/>
        <v>20</v>
      </c>
      <c r="I3770" s="3">
        <f t="shared" si="854"/>
        <v>15</v>
      </c>
      <c r="J3770" s="3">
        <f t="shared" si="855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856"/>
        <v>YES</v>
      </c>
      <c r="Q3770" t="str">
        <f t="shared" si="857"/>
        <v>NO</v>
      </c>
      <c r="R3770" t="str">
        <f t="shared" si="858"/>
        <v>NO</v>
      </c>
      <c r="T3770" t="s">
        <v>186</v>
      </c>
      <c r="U3770" t="str">
        <f t="shared" si="845"/>
        <v>Concord Ave</v>
      </c>
      <c r="V3770" t="s">
        <v>459</v>
      </c>
      <c r="W3770" t="str">
        <f t="shared" si="846"/>
        <v>Fayerweather St</v>
      </c>
      <c r="X3770" t="str">
        <f>IF(ISBLANK(S3770),"Intersection","Non-Intersection")</f>
        <v>Intersection</v>
      </c>
      <c r="Y3770" t="s">
        <v>4392</v>
      </c>
      <c r="Z3770" t="str">
        <f t="shared" si="847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848"/>
        <v>40909</v>
      </c>
      <c r="D3771" s="4">
        <f t="shared" si="849"/>
        <v>0.42349726775956287</v>
      </c>
      <c r="E3771" s="3">
        <f t="shared" si="850"/>
        <v>2012</v>
      </c>
      <c r="F3771" s="3">
        <f t="shared" si="851"/>
        <v>6</v>
      </c>
      <c r="G3771" s="3">
        <f t="shared" si="852"/>
        <v>4</v>
      </c>
      <c r="H3771" s="3">
        <f t="shared" si="853"/>
        <v>10</v>
      </c>
      <c r="I3771" s="3">
        <f t="shared" si="854"/>
        <v>30</v>
      </c>
      <c r="J3771" s="3">
        <f t="shared" si="855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856"/>
        <v>YES</v>
      </c>
      <c r="Q3771" t="str">
        <f t="shared" si="857"/>
        <v>NO</v>
      </c>
      <c r="R3771" t="str">
        <f t="shared" si="858"/>
        <v>NO</v>
      </c>
      <c r="T3771" t="s">
        <v>14</v>
      </c>
      <c r="U3771" t="str">
        <f t="shared" si="845"/>
        <v>Massachusetts Ave</v>
      </c>
      <c r="V3771" t="s">
        <v>70</v>
      </c>
      <c r="W3771" t="str">
        <f t="shared" si="846"/>
        <v>Pearl St</v>
      </c>
      <c r="X3771" t="str">
        <f>IF(ISBLANK(S3771),"Intersection","Non-Intersection")</f>
        <v>Intersection</v>
      </c>
      <c r="Y3771" t="s">
        <v>855</v>
      </c>
      <c r="Z3771" t="str">
        <f t="shared" si="847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848"/>
        <v>40909</v>
      </c>
      <c r="D3772" s="4">
        <f t="shared" si="849"/>
        <v>0.42349726775956287</v>
      </c>
      <c r="E3772" s="3">
        <f t="shared" si="850"/>
        <v>2012</v>
      </c>
      <c r="F3772" s="3">
        <f t="shared" si="851"/>
        <v>6</v>
      </c>
      <c r="G3772" s="3">
        <f t="shared" si="852"/>
        <v>4</v>
      </c>
      <c r="H3772" s="3">
        <f t="shared" si="853"/>
        <v>9</v>
      </c>
      <c r="I3772" s="3">
        <f t="shared" si="854"/>
        <v>20</v>
      </c>
      <c r="J3772" s="3">
        <f t="shared" si="855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856"/>
        <v>YES</v>
      </c>
      <c r="Q3772" t="str">
        <f t="shared" si="857"/>
        <v>NO</v>
      </c>
      <c r="R3772" t="str">
        <f t="shared" si="858"/>
        <v>NO</v>
      </c>
      <c r="S3772">
        <v>30</v>
      </c>
      <c r="T3772" t="s">
        <v>199</v>
      </c>
      <c r="U3772" t="str">
        <f t="shared" si="845"/>
        <v>Brattle St</v>
      </c>
      <c r="W3772" t="str">
        <f t="shared" si="846"/>
        <v/>
      </c>
      <c r="X3772" t="str">
        <f>IF(ISBLANK(S3772),"Intersection","Non-Intersection")</f>
        <v>Non-Intersection</v>
      </c>
      <c r="Y3772" t="s">
        <v>4607</v>
      </c>
      <c r="Z3772" t="str">
        <f t="shared" si="847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848"/>
        <v>40909</v>
      </c>
      <c r="D3773" s="4">
        <f t="shared" si="849"/>
        <v>0.42349726775956287</v>
      </c>
      <c r="E3773" s="3">
        <f t="shared" si="850"/>
        <v>2012</v>
      </c>
      <c r="F3773" s="3">
        <f t="shared" si="851"/>
        <v>6</v>
      </c>
      <c r="G3773" s="3">
        <f t="shared" si="852"/>
        <v>4</v>
      </c>
      <c r="H3773" s="3">
        <f t="shared" si="853"/>
        <v>16</v>
      </c>
      <c r="I3773" s="3">
        <f t="shared" si="854"/>
        <v>30</v>
      </c>
      <c r="J3773" s="3">
        <f t="shared" si="855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856"/>
        <v>YES</v>
      </c>
      <c r="Q3773" t="str">
        <f t="shared" si="857"/>
        <v>NO</v>
      </c>
      <c r="R3773" t="str">
        <f t="shared" si="858"/>
        <v>NO</v>
      </c>
      <c r="S3773">
        <v>240</v>
      </c>
      <c r="T3773" t="s">
        <v>186</v>
      </c>
      <c r="U3773" t="str">
        <f t="shared" si="845"/>
        <v>Concord Ave</v>
      </c>
      <c r="W3773" t="str">
        <f t="shared" si="846"/>
        <v/>
      </c>
      <c r="X3773" t="str">
        <f>IF(ISBLANK(S3773),"Intersection","Non-Intersection")</f>
        <v>Non-Intersection</v>
      </c>
      <c r="Y3773" t="s">
        <v>4609</v>
      </c>
      <c r="Z3773" t="str">
        <f t="shared" si="847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848"/>
        <v>40909</v>
      </c>
      <c r="D3774" s="4">
        <f t="shared" si="849"/>
        <v>0.42349726775956287</v>
      </c>
      <c r="E3774" s="3">
        <f t="shared" si="850"/>
        <v>2012</v>
      </c>
      <c r="F3774" s="3">
        <f t="shared" si="851"/>
        <v>6</v>
      </c>
      <c r="G3774" s="3">
        <f t="shared" si="852"/>
        <v>4</v>
      </c>
      <c r="H3774" s="3">
        <f t="shared" si="853"/>
        <v>14</v>
      </c>
      <c r="I3774" s="3">
        <f t="shared" si="854"/>
        <v>19</v>
      </c>
      <c r="J3774" s="3">
        <f t="shared" si="855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856"/>
        <v>YES</v>
      </c>
      <c r="Q3774" t="str">
        <f t="shared" si="857"/>
        <v>NO</v>
      </c>
      <c r="R3774" t="str">
        <f t="shared" si="858"/>
        <v>NO</v>
      </c>
      <c r="S3774">
        <v>78</v>
      </c>
      <c r="T3774" t="s">
        <v>104</v>
      </c>
      <c r="U3774" t="str">
        <f t="shared" si="845"/>
        <v>Inman St</v>
      </c>
      <c r="W3774" t="str">
        <f t="shared" si="846"/>
        <v/>
      </c>
      <c r="X3774" t="str">
        <f>IF(ISBLANK(S3774),"Intersection","Non-Intersection")</f>
        <v>Non-Intersection</v>
      </c>
      <c r="Y3774" t="s">
        <v>4611</v>
      </c>
      <c r="Z3774" t="str">
        <f t="shared" si="847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848"/>
        <v>40909</v>
      </c>
      <c r="D3775" s="4">
        <f t="shared" si="849"/>
        <v>0.42349726775956287</v>
      </c>
      <c r="E3775" s="3">
        <f t="shared" si="850"/>
        <v>2012</v>
      </c>
      <c r="F3775" s="3">
        <f t="shared" si="851"/>
        <v>6</v>
      </c>
      <c r="G3775" s="3">
        <f t="shared" si="852"/>
        <v>4</v>
      </c>
      <c r="H3775" s="3">
        <f t="shared" si="853"/>
        <v>9</v>
      </c>
      <c r="I3775" s="3">
        <f t="shared" si="854"/>
        <v>30</v>
      </c>
      <c r="J3775" s="3">
        <f t="shared" si="855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856"/>
        <v>YES</v>
      </c>
      <c r="Q3775" t="str">
        <f t="shared" si="857"/>
        <v>NO</v>
      </c>
      <c r="R3775" t="str">
        <f t="shared" si="858"/>
        <v>NO</v>
      </c>
      <c r="S3775">
        <v>725</v>
      </c>
      <c r="T3775" t="s">
        <v>186</v>
      </c>
      <c r="U3775" t="str">
        <f t="shared" si="845"/>
        <v>Concord Ave</v>
      </c>
      <c r="W3775" t="str">
        <f t="shared" si="846"/>
        <v/>
      </c>
      <c r="X3775" t="str">
        <f>IF(ISBLANK(S3775),"Intersection","Non-Intersection")</f>
        <v>Non-Intersection</v>
      </c>
      <c r="Y3775" t="s">
        <v>617</v>
      </c>
      <c r="Z3775" t="str">
        <f t="shared" si="847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848"/>
        <v>40909</v>
      </c>
      <c r="D3776" s="4">
        <f t="shared" si="849"/>
        <v>0.42622950819672129</v>
      </c>
      <c r="E3776" s="3">
        <f t="shared" si="850"/>
        <v>2012</v>
      </c>
      <c r="F3776" s="3">
        <f t="shared" si="851"/>
        <v>6</v>
      </c>
      <c r="G3776" s="3">
        <f t="shared" si="852"/>
        <v>5</v>
      </c>
      <c r="H3776" s="3">
        <f t="shared" si="853"/>
        <v>5</v>
      </c>
      <c r="I3776" s="3">
        <f t="shared" si="854"/>
        <v>42</v>
      </c>
      <c r="J3776" s="3">
        <f t="shared" si="855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856"/>
        <v>YES</v>
      </c>
      <c r="Q3776" t="str">
        <f t="shared" si="857"/>
        <v>NO</v>
      </c>
      <c r="R3776" t="str">
        <f t="shared" si="858"/>
        <v>NO</v>
      </c>
      <c r="T3776" t="s">
        <v>14</v>
      </c>
      <c r="U3776" t="str">
        <f t="shared" si="845"/>
        <v>Massachusetts Ave</v>
      </c>
      <c r="V3776" t="s">
        <v>202</v>
      </c>
      <c r="W3776" t="str">
        <f t="shared" si="846"/>
        <v>Vassar St</v>
      </c>
      <c r="X3776" t="str">
        <f>IF(ISBLANK(S3776),"Intersection","Non-Intersection")</f>
        <v>Intersection</v>
      </c>
      <c r="Y3776" t="s">
        <v>361</v>
      </c>
      <c r="Z3776" t="str">
        <f t="shared" si="847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848"/>
        <v>40909</v>
      </c>
      <c r="D3777" s="4">
        <f t="shared" si="849"/>
        <v>0.42622950819672129</v>
      </c>
      <c r="E3777" s="3">
        <f t="shared" si="850"/>
        <v>2012</v>
      </c>
      <c r="F3777" s="3">
        <f t="shared" si="851"/>
        <v>6</v>
      </c>
      <c r="G3777" s="3">
        <f t="shared" si="852"/>
        <v>5</v>
      </c>
      <c r="H3777" s="3">
        <f t="shared" si="853"/>
        <v>12</v>
      </c>
      <c r="I3777" s="3">
        <f t="shared" si="854"/>
        <v>17</v>
      </c>
      <c r="J3777" s="3">
        <f t="shared" si="855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856"/>
        <v>YES</v>
      </c>
      <c r="Q3777" t="str">
        <f t="shared" si="857"/>
        <v>NO</v>
      </c>
      <c r="R3777" t="str">
        <f t="shared" si="858"/>
        <v>NO</v>
      </c>
      <c r="T3777" t="s">
        <v>288</v>
      </c>
      <c r="U3777" t="str">
        <f t="shared" si="845"/>
        <v>Galileo Galilei Way</v>
      </c>
      <c r="V3777" t="s">
        <v>105</v>
      </c>
      <c r="W3777" t="str">
        <f t="shared" si="846"/>
        <v>Broadway</v>
      </c>
      <c r="X3777" t="str">
        <f>IF(ISBLANK(S3777),"Intersection","Non-Intersection")</f>
        <v>Intersection</v>
      </c>
      <c r="Y3777" t="s">
        <v>307</v>
      </c>
      <c r="Z3777" t="str">
        <f t="shared" si="847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848"/>
        <v>40909</v>
      </c>
      <c r="D3778" s="4">
        <f t="shared" si="849"/>
        <v>0.42622950819672129</v>
      </c>
      <c r="E3778" s="3">
        <f t="shared" si="850"/>
        <v>2012</v>
      </c>
      <c r="F3778" s="3">
        <f t="shared" si="851"/>
        <v>6</v>
      </c>
      <c r="G3778" s="3">
        <f t="shared" si="852"/>
        <v>5</v>
      </c>
      <c r="H3778" s="3">
        <f t="shared" si="853"/>
        <v>16</v>
      </c>
      <c r="I3778" s="3">
        <f t="shared" si="854"/>
        <v>50</v>
      </c>
      <c r="J3778" s="3">
        <f t="shared" si="855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856"/>
        <v>YES</v>
      </c>
      <c r="Q3778" t="str">
        <f t="shared" si="857"/>
        <v>NO</v>
      </c>
      <c r="R3778" t="str">
        <f t="shared" si="858"/>
        <v>NO</v>
      </c>
      <c r="S3778">
        <v>699</v>
      </c>
      <c r="T3778" t="s">
        <v>198</v>
      </c>
      <c r="U3778" t="str">
        <f t="shared" si="845"/>
        <v>Mount Auburn St</v>
      </c>
      <c r="W3778" t="str">
        <f t="shared" si="846"/>
        <v/>
      </c>
      <c r="X3778" t="str">
        <f>IF(ISBLANK(S3778),"Intersection","Non-Intersection")</f>
        <v>Non-Intersection</v>
      </c>
      <c r="Y3778" t="s">
        <v>585</v>
      </c>
      <c r="Z3778" t="str">
        <f t="shared" si="847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848"/>
        <v>40909</v>
      </c>
      <c r="D3779" s="4">
        <f t="shared" si="849"/>
        <v>0.42622950819672129</v>
      </c>
      <c r="E3779" s="3">
        <f t="shared" si="850"/>
        <v>2012</v>
      </c>
      <c r="F3779" s="3">
        <f t="shared" si="851"/>
        <v>6</v>
      </c>
      <c r="G3779" s="3">
        <f t="shared" si="852"/>
        <v>5</v>
      </c>
      <c r="H3779" s="3">
        <f t="shared" si="853"/>
        <v>18</v>
      </c>
      <c r="I3779" s="3">
        <f t="shared" si="854"/>
        <v>2</v>
      </c>
      <c r="J3779" s="3">
        <f t="shared" si="855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856"/>
        <v>YES</v>
      </c>
      <c r="Q3779" t="str">
        <f t="shared" si="857"/>
        <v>NO</v>
      </c>
      <c r="R3779" t="str">
        <f t="shared" si="858"/>
        <v>YES</v>
      </c>
      <c r="T3779" t="s">
        <v>14</v>
      </c>
      <c r="U3779" t="str">
        <f t="shared" ref="U3779:U3842" si="859">TRIM(PROPER(T3779))</f>
        <v>Massachusetts Ave</v>
      </c>
      <c r="V3779" t="s">
        <v>453</v>
      </c>
      <c r="W3779" t="str">
        <f t="shared" ref="W3779:W3842" si="860">TRIM(PROPER(V3779))</f>
        <v>Brookline St</v>
      </c>
      <c r="X3779" t="str">
        <f>IF(ISBLANK(S3779),"Intersection","Non-Intersection")</f>
        <v>Intersection</v>
      </c>
      <c r="Y3779" t="s">
        <v>3069</v>
      </c>
      <c r="Z3779" t="str">
        <f t="shared" ref="Z3779:Z3842" si="86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848"/>
        <v>40909</v>
      </c>
      <c r="D3780" s="4">
        <f t="shared" si="849"/>
        <v>0.43169398907103823</v>
      </c>
      <c r="E3780" s="3">
        <f t="shared" si="850"/>
        <v>2012</v>
      </c>
      <c r="F3780" s="3">
        <f t="shared" si="851"/>
        <v>6</v>
      </c>
      <c r="G3780" s="3">
        <f t="shared" si="852"/>
        <v>7</v>
      </c>
      <c r="H3780" s="3">
        <f t="shared" si="853"/>
        <v>15</v>
      </c>
      <c r="I3780" s="3">
        <f t="shared" si="854"/>
        <v>7</v>
      </c>
      <c r="J3780" s="3">
        <f t="shared" si="855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856"/>
        <v>YES</v>
      </c>
      <c r="Q3780" t="str">
        <f t="shared" si="857"/>
        <v>NO</v>
      </c>
      <c r="R3780" t="str">
        <f t="shared" si="858"/>
        <v>NO</v>
      </c>
      <c r="S3780">
        <v>725</v>
      </c>
      <c r="T3780" t="s">
        <v>186</v>
      </c>
      <c r="U3780" t="str">
        <f t="shared" si="859"/>
        <v>Concord Ave</v>
      </c>
      <c r="W3780" t="str">
        <f t="shared" si="860"/>
        <v/>
      </c>
      <c r="X3780" t="str">
        <f>IF(ISBLANK(S3780),"Intersection","Non-Intersection")</f>
        <v>Non-Intersection</v>
      </c>
      <c r="Y3780" t="s">
        <v>617</v>
      </c>
      <c r="Z3780" t="str">
        <f t="shared" si="86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848"/>
        <v>40909</v>
      </c>
      <c r="D3781" s="4">
        <f t="shared" si="849"/>
        <v>0.43169398907103823</v>
      </c>
      <c r="E3781" s="3">
        <f t="shared" si="850"/>
        <v>2012</v>
      </c>
      <c r="F3781" s="3">
        <f t="shared" si="851"/>
        <v>6</v>
      </c>
      <c r="G3781" s="3">
        <f t="shared" si="852"/>
        <v>7</v>
      </c>
      <c r="H3781" s="3">
        <f t="shared" si="853"/>
        <v>15</v>
      </c>
      <c r="I3781" s="3">
        <f t="shared" si="854"/>
        <v>59</v>
      </c>
      <c r="J3781" s="3">
        <f t="shared" si="855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856"/>
        <v>YES</v>
      </c>
      <c r="Q3781" t="str">
        <f t="shared" si="857"/>
        <v>NO</v>
      </c>
      <c r="R3781" t="str">
        <f t="shared" si="858"/>
        <v>NO</v>
      </c>
      <c r="T3781" t="s">
        <v>993</v>
      </c>
      <c r="U3781" t="str">
        <f t="shared" si="859"/>
        <v>Fifth St</v>
      </c>
      <c r="V3781" t="s">
        <v>60</v>
      </c>
      <c r="W3781" t="str">
        <f t="shared" si="860"/>
        <v>Rogers St</v>
      </c>
      <c r="X3781" t="str">
        <f>IF(ISBLANK(S3781),"Intersection","Non-Intersection")</f>
        <v>Intersection</v>
      </c>
      <c r="Y3781" t="s">
        <v>1605</v>
      </c>
      <c r="Z3781" t="str">
        <f t="shared" si="86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848"/>
        <v>40909</v>
      </c>
      <c r="D3782" s="4">
        <f t="shared" si="849"/>
        <v>0.43169398907103823</v>
      </c>
      <c r="E3782" s="3">
        <f t="shared" si="850"/>
        <v>2012</v>
      </c>
      <c r="F3782" s="3">
        <f t="shared" si="851"/>
        <v>6</v>
      </c>
      <c r="G3782" s="3">
        <f t="shared" si="852"/>
        <v>7</v>
      </c>
      <c r="H3782" s="3">
        <f t="shared" si="853"/>
        <v>16</v>
      </c>
      <c r="I3782" s="3">
        <f t="shared" si="854"/>
        <v>19</v>
      </c>
      <c r="J3782" s="3">
        <f t="shared" si="855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856"/>
        <v>YES</v>
      </c>
      <c r="Q3782" t="str">
        <f t="shared" si="857"/>
        <v>NO</v>
      </c>
      <c r="R3782" t="str">
        <f t="shared" si="858"/>
        <v>NO</v>
      </c>
      <c r="T3782" t="s">
        <v>61</v>
      </c>
      <c r="U3782" t="str">
        <f t="shared" si="859"/>
        <v>First St</v>
      </c>
      <c r="V3782" t="s">
        <v>1765</v>
      </c>
      <c r="W3782" t="str">
        <f t="shared" si="860"/>
        <v>Cambridgepark Pl</v>
      </c>
      <c r="X3782" t="str">
        <f>IF(ISBLANK(S3782),"Intersection","Non-Intersection")</f>
        <v>Intersection</v>
      </c>
      <c r="Y3782" t="s">
        <v>4613</v>
      </c>
      <c r="Z3782" t="str">
        <f t="shared" si="86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848"/>
        <v>40909</v>
      </c>
      <c r="D3783" s="4">
        <f t="shared" si="849"/>
        <v>0.43169398907103823</v>
      </c>
      <c r="E3783" s="3">
        <f t="shared" si="850"/>
        <v>2012</v>
      </c>
      <c r="F3783" s="3">
        <f t="shared" si="851"/>
        <v>6</v>
      </c>
      <c r="G3783" s="3">
        <f t="shared" si="852"/>
        <v>7</v>
      </c>
      <c r="H3783" s="3">
        <f t="shared" si="853"/>
        <v>16</v>
      </c>
      <c r="I3783" s="3">
        <f t="shared" si="854"/>
        <v>34</v>
      </c>
      <c r="J3783" s="3">
        <f t="shared" si="855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856"/>
        <v>YES</v>
      </c>
      <c r="Q3783" t="str">
        <f t="shared" si="857"/>
        <v>NO</v>
      </c>
      <c r="R3783" t="str">
        <f t="shared" si="858"/>
        <v>NO</v>
      </c>
      <c r="T3783" t="s">
        <v>19</v>
      </c>
      <c r="U3783" t="str">
        <f t="shared" si="859"/>
        <v>Cambridge St</v>
      </c>
      <c r="W3783" t="str">
        <f t="shared" si="860"/>
        <v/>
      </c>
      <c r="X3783" t="str">
        <f>IF(ISBLANK(S3783),"Intersection","Non-Intersection")</f>
        <v>Intersection</v>
      </c>
      <c r="Y3783" t="s">
        <v>2237</v>
      </c>
      <c r="Z3783" t="str">
        <f t="shared" si="86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848"/>
        <v>40909</v>
      </c>
      <c r="D3784" s="4">
        <f t="shared" si="849"/>
        <v>0.43169398907103823</v>
      </c>
      <c r="E3784" s="3">
        <f t="shared" si="850"/>
        <v>2012</v>
      </c>
      <c r="F3784" s="3">
        <f t="shared" si="851"/>
        <v>6</v>
      </c>
      <c r="G3784" s="3">
        <f t="shared" si="852"/>
        <v>7</v>
      </c>
      <c r="H3784" s="3">
        <f t="shared" si="853"/>
        <v>17</v>
      </c>
      <c r="I3784" s="3">
        <f t="shared" si="854"/>
        <v>35</v>
      </c>
      <c r="J3784" s="3">
        <f t="shared" si="855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856"/>
        <v>YES</v>
      </c>
      <c r="Q3784" t="str">
        <f t="shared" si="857"/>
        <v>YES</v>
      </c>
      <c r="R3784" t="str">
        <f t="shared" si="858"/>
        <v>NO</v>
      </c>
      <c r="S3784">
        <v>1673</v>
      </c>
      <c r="T3784" t="s">
        <v>19</v>
      </c>
      <c r="U3784" t="str">
        <f t="shared" si="859"/>
        <v>Cambridge St</v>
      </c>
      <c r="V3784" t="s">
        <v>698</v>
      </c>
      <c r="W3784" t="str">
        <f t="shared" si="860"/>
        <v>Thorndike St</v>
      </c>
      <c r="X3784" t="str">
        <f>IF(ISBLANK(S3784),"Intersection","Non-Intersection")</f>
        <v>Non-Intersection</v>
      </c>
      <c r="Y3784" t="s">
        <v>4614</v>
      </c>
      <c r="Z3784" t="str">
        <f t="shared" si="86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848"/>
        <v>40909</v>
      </c>
      <c r="D3785" s="4">
        <f t="shared" si="849"/>
        <v>0.43169398907103823</v>
      </c>
      <c r="E3785" s="3">
        <f t="shared" si="850"/>
        <v>2012</v>
      </c>
      <c r="F3785" s="3">
        <f t="shared" si="851"/>
        <v>6</v>
      </c>
      <c r="G3785" s="3">
        <f t="shared" si="852"/>
        <v>7</v>
      </c>
      <c r="H3785" s="3">
        <f t="shared" si="853"/>
        <v>18</v>
      </c>
      <c r="I3785" s="3">
        <f t="shared" si="854"/>
        <v>30</v>
      </c>
      <c r="J3785" s="3">
        <f t="shared" si="855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856"/>
        <v>YES</v>
      </c>
      <c r="Q3785" t="str">
        <f t="shared" si="857"/>
        <v>NO</v>
      </c>
      <c r="R3785" t="str">
        <f t="shared" si="858"/>
        <v>NO</v>
      </c>
      <c r="S3785">
        <v>5</v>
      </c>
      <c r="T3785" t="s">
        <v>288</v>
      </c>
      <c r="U3785" t="str">
        <f t="shared" si="859"/>
        <v>Galileo Galilei Way</v>
      </c>
      <c r="V3785" t="s">
        <v>32</v>
      </c>
      <c r="W3785" t="str">
        <f t="shared" si="860"/>
        <v>Main St</v>
      </c>
      <c r="X3785" t="str">
        <f>IF(ISBLANK(S3785),"Intersection","Non-Intersection")</f>
        <v>Non-Intersection</v>
      </c>
      <c r="Y3785" t="s">
        <v>4616</v>
      </c>
      <c r="Z3785" t="str">
        <f t="shared" si="86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848"/>
        <v>40909</v>
      </c>
      <c r="D3786" s="4">
        <f t="shared" si="849"/>
        <v>0.43169398907103823</v>
      </c>
      <c r="E3786" s="3">
        <f t="shared" si="850"/>
        <v>2012</v>
      </c>
      <c r="F3786" s="3">
        <f t="shared" si="851"/>
        <v>6</v>
      </c>
      <c r="G3786" s="3">
        <f t="shared" si="852"/>
        <v>7</v>
      </c>
      <c r="H3786" s="3">
        <f t="shared" si="853"/>
        <v>20</v>
      </c>
      <c r="I3786" s="3">
        <f t="shared" si="854"/>
        <v>17</v>
      </c>
      <c r="J3786" s="3">
        <f t="shared" si="855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856"/>
        <v>YES</v>
      </c>
      <c r="Q3786" t="str">
        <f t="shared" si="857"/>
        <v>YES</v>
      </c>
      <c r="R3786" t="str">
        <f t="shared" si="858"/>
        <v>NO</v>
      </c>
      <c r="S3786">
        <v>16</v>
      </c>
      <c r="T3786" t="s">
        <v>396</v>
      </c>
      <c r="U3786" t="str">
        <f t="shared" si="859"/>
        <v>Prescott St</v>
      </c>
      <c r="W3786" t="str">
        <f t="shared" si="860"/>
        <v/>
      </c>
      <c r="X3786" t="str">
        <f>IF(ISBLANK(S3786),"Intersection","Non-Intersection")</f>
        <v>Non-Intersection</v>
      </c>
      <c r="Y3786" t="s">
        <v>4618</v>
      </c>
      <c r="Z3786" t="str">
        <f t="shared" si="86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848"/>
        <v>40909</v>
      </c>
      <c r="D3787" s="4">
        <f t="shared" si="849"/>
        <v>0.4344262295081967</v>
      </c>
      <c r="E3787" s="3">
        <f t="shared" si="850"/>
        <v>2012</v>
      </c>
      <c r="F3787" s="3">
        <f t="shared" si="851"/>
        <v>6</v>
      </c>
      <c r="G3787" s="3">
        <f t="shared" si="852"/>
        <v>8</v>
      </c>
      <c r="H3787" s="3">
        <f t="shared" si="853"/>
        <v>9</v>
      </c>
      <c r="I3787" s="3">
        <f t="shared" si="854"/>
        <v>4</v>
      </c>
      <c r="J3787" s="3">
        <f t="shared" si="855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856"/>
        <v>YES</v>
      </c>
      <c r="Q3787" t="str">
        <f t="shared" si="857"/>
        <v>NO</v>
      </c>
      <c r="R3787" t="str">
        <f t="shared" si="858"/>
        <v>YES</v>
      </c>
      <c r="T3787" t="s">
        <v>14</v>
      </c>
      <c r="U3787" t="str">
        <f t="shared" si="859"/>
        <v>Massachusetts Ave</v>
      </c>
      <c r="V3787" t="s">
        <v>1088</v>
      </c>
      <c r="W3787" t="str">
        <f t="shared" si="860"/>
        <v>Temple St</v>
      </c>
      <c r="X3787" t="str">
        <f>IF(ISBLANK(S3787),"Intersection","Non-Intersection")</f>
        <v>Intersection</v>
      </c>
      <c r="Y3787" t="s">
        <v>1089</v>
      </c>
      <c r="Z3787" t="str">
        <f t="shared" si="86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862">EOMONTH(B3788,MONTH(B3788)*-1)+1</f>
        <v>40909</v>
      </c>
      <c r="D3788" s="4">
        <f t="shared" ref="D3788:D3850" si="863">YEARFRAC(C3788,B3788,1)</f>
        <v>0.4344262295081967</v>
      </c>
      <c r="E3788" s="3">
        <f t="shared" ref="E3788:E3850" si="864">YEAR(B3788)</f>
        <v>2012</v>
      </c>
      <c r="F3788" s="3">
        <f t="shared" ref="F3788:F3850" si="865">MONTH(B3788)</f>
        <v>6</v>
      </c>
      <c r="G3788" s="3">
        <f t="shared" ref="G3788:G3850" si="866">DAY(B3788)</f>
        <v>8</v>
      </c>
      <c r="H3788" s="3">
        <f t="shared" ref="H3788:H3850" si="867">HOUR(B3788)</f>
        <v>10</v>
      </c>
      <c r="I3788" s="3">
        <f t="shared" ref="I3788:I3850" si="868">MINUTE(B3788)</f>
        <v>5</v>
      </c>
      <c r="J3788" s="3">
        <f t="shared" ref="J3788:J3850" si="86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870">IF(OR(N3788="Auto",O3788="Auto"),"YES",IF(OR(N3788="Taxi",O3788="Taxi"),"YES",IF(OR(N3788="Van",O3788="Van"),"YES",IF(OR(N3788="Truck",O3788="Truck"),"YES","NO"))))</f>
        <v>YES</v>
      </c>
      <c r="Q3788" t="str">
        <f t="shared" ref="Q3788:Q3850" si="871">IF(OR(N3788="Bicycle",O3788="Bicycle"),"YES","NO")</f>
        <v>NO</v>
      </c>
      <c r="R3788" t="str">
        <f t="shared" ref="R3788:R3850" si="872">IF(OR(N3788="Pedestrian",O3788="Pedestrian"),"YES","NO")</f>
        <v>NO</v>
      </c>
      <c r="T3788" t="s">
        <v>238</v>
      </c>
      <c r="U3788" t="str">
        <f t="shared" si="859"/>
        <v>Kirkland St</v>
      </c>
      <c r="V3788" t="s">
        <v>134</v>
      </c>
      <c r="W3788" t="str">
        <f t="shared" si="860"/>
        <v>Quincy St</v>
      </c>
      <c r="X3788" t="str">
        <f>IF(ISBLANK(S3788),"Intersection","Non-Intersection")</f>
        <v>Intersection</v>
      </c>
      <c r="Y3788" t="s">
        <v>4620</v>
      </c>
      <c r="Z3788" t="str">
        <f t="shared" si="86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862"/>
        <v>40909</v>
      </c>
      <c r="D3789" s="4">
        <f t="shared" si="863"/>
        <v>0.4344262295081967</v>
      </c>
      <c r="E3789" s="3">
        <f t="shared" si="864"/>
        <v>2012</v>
      </c>
      <c r="F3789" s="3">
        <f t="shared" si="865"/>
        <v>6</v>
      </c>
      <c r="G3789" s="3">
        <f t="shared" si="866"/>
        <v>8</v>
      </c>
      <c r="H3789" s="3">
        <f t="shared" si="867"/>
        <v>15</v>
      </c>
      <c r="I3789" s="3">
        <f t="shared" si="868"/>
        <v>29</v>
      </c>
      <c r="J3789" s="3">
        <f t="shared" si="86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870"/>
        <v>YES</v>
      </c>
      <c r="Q3789" t="str">
        <f t="shared" si="871"/>
        <v>YES</v>
      </c>
      <c r="R3789" t="str">
        <f t="shared" si="872"/>
        <v>NO</v>
      </c>
      <c r="T3789" t="s">
        <v>379</v>
      </c>
      <c r="U3789" t="str">
        <f t="shared" si="859"/>
        <v>Second St</v>
      </c>
      <c r="V3789" t="s">
        <v>380</v>
      </c>
      <c r="W3789" t="str">
        <f t="shared" si="860"/>
        <v>Charles St</v>
      </c>
      <c r="X3789" t="str">
        <f>IF(ISBLANK(S3789),"Intersection","Non-Intersection")</f>
        <v>Intersection</v>
      </c>
      <c r="Y3789" t="s">
        <v>381</v>
      </c>
      <c r="Z3789" t="str">
        <f t="shared" si="86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862"/>
        <v>40909</v>
      </c>
      <c r="D3790" s="4">
        <f t="shared" si="863"/>
        <v>0.4344262295081967</v>
      </c>
      <c r="E3790" s="3">
        <f t="shared" si="864"/>
        <v>2012</v>
      </c>
      <c r="F3790" s="3">
        <f t="shared" si="865"/>
        <v>6</v>
      </c>
      <c r="G3790" s="3">
        <f t="shared" si="866"/>
        <v>8</v>
      </c>
      <c r="H3790" s="3">
        <f t="shared" si="867"/>
        <v>16</v>
      </c>
      <c r="I3790" s="3">
        <f t="shared" si="868"/>
        <v>5</v>
      </c>
      <c r="J3790" s="3">
        <f t="shared" si="86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870"/>
        <v>YES</v>
      </c>
      <c r="Q3790" t="str">
        <f t="shared" si="871"/>
        <v>NO</v>
      </c>
      <c r="R3790" t="str">
        <f t="shared" si="872"/>
        <v>NO</v>
      </c>
      <c r="T3790" t="s">
        <v>203</v>
      </c>
      <c r="U3790" t="str">
        <f t="shared" si="859"/>
        <v>Memorial Dr</v>
      </c>
      <c r="W3790" t="str">
        <f t="shared" si="860"/>
        <v/>
      </c>
      <c r="X3790" t="str">
        <f>IF(ISBLANK(S3790),"Intersection","Non-Intersection")</f>
        <v>Intersection</v>
      </c>
      <c r="Y3790" t="s">
        <v>2085</v>
      </c>
      <c r="Z3790" t="str">
        <f t="shared" si="86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862"/>
        <v>40909</v>
      </c>
      <c r="D3791" s="4">
        <f t="shared" si="863"/>
        <v>0.4344262295081967</v>
      </c>
      <c r="E3791" s="3">
        <f t="shared" si="864"/>
        <v>2012</v>
      </c>
      <c r="F3791" s="3">
        <f t="shared" si="865"/>
        <v>6</v>
      </c>
      <c r="G3791" s="3">
        <f t="shared" si="866"/>
        <v>8</v>
      </c>
      <c r="H3791" s="3">
        <f t="shared" si="867"/>
        <v>16</v>
      </c>
      <c r="I3791" s="3">
        <f t="shared" si="868"/>
        <v>16</v>
      </c>
      <c r="J3791" s="3">
        <f t="shared" si="86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870"/>
        <v>YES</v>
      </c>
      <c r="Q3791" t="str">
        <f t="shared" si="871"/>
        <v>NO</v>
      </c>
      <c r="R3791" t="str">
        <f t="shared" si="872"/>
        <v>NO</v>
      </c>
      <c r="S3791">
        <v>485</v>
      </c>
      <c r="T3791" t="s">
        <v>105</v>
      </c>
      <c r="U3791" t="str">
        <f t="shared" si="859"/>
        <v>Broadway</v>
      </c>
      <c r="V3791" t="s">
        <v>134</v>
      </c>
      <c r="W3791" t="str">
        <f t="shared" si="860"/>
        <v>Quincy St</v>
      </c>
      <c r="X3791" t="str">
        <f>IF(ISBLANK(S3791),"Intersection","Non-Intersection")</f>
        <v>Non-Intersection</v>
      </c>
      <c r="Y3791" t="s">
        <v>4621</v>
      </c>
      <c r="Z3791" t="str">
        <f t="shared" si="86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862"/>
        <v>40909</v>
      </c>
      <c r="D3792" s="4">
        <f t="shared" si="863"/>
        <v>0.4344262295081967</v>
      </c>
      <c r="E3792" s="3">
        <f t="shared" si="864"/>
        <v>2012</v>
      </c>
      <c r="F3792" s="3">
        <f t="shared" si="865"/>
        <v>6</v>
      </c>
      <c r="G3792" s="3">
        <f t="shared" si="866"/>
        <v>8</v>
      </c>
      <c r="H3792" s="3">
        <f t="shared" si="867"/>
        <v>16</v>
      </c>
      <c r="I3792" s="3">
        <f t="shared" si="868"/>
        <v>41</v>
      </c>
      <c r="J3792" s="3">
        <f t="shared" si="86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870"/>
        <v>YES</v>
      </c>
      <c r="Q3792" t="str">
        <f t="shared" si="871"/>
        <v>NO</v>
      </c>
      <c r="R3792" t="str">
        <f t="shared" si="872"/>
        <v>NO</v>
      </c>
      <c r="S3792">
        <v>26</v>
      </c>
      <c r="T3792" t="s">
        <v>379</v>
      </c>
      <c r="U3792" t="str">
        <f t="shared" si="859"/>
        <v>Second St</v>
      </c>
      <c r="W3792" t="str">
        <f t="shared" si="860"/>
        <v/>
      </c>
      <c r="X3792" t="str">
        <f>IF(ISBLANK(S3792),"Intersection","Non-Intersection")</f>
        <v>Non-Intersection</v>
      </c>
      <c r="Y3792" t="s">
        <v>4623</v>
      </c>
      <c r="Z3792" t="str">
        <f t="shared" si="86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862"/>
        <v>40909</v>
      </c>
      <c r="D3793" s="4">
        <f t="shared" si="863"/>
        <v>0.43715846994535518</v>
      </c>
      <c r="E3793" s="3">
        <f t="shared" si="864"/>
        <v>2012</v>
      </c>
      <c r="F3793" s="3">
        <f t="shared" si="865"/>
        <v>6</v>
      </c>
      <c r="G3793" s="3">
        <f t="shared" si="866"/>
        <v>9</v>
      </c>
      <c r="H3793" s="3">
        <f t="shared" si="867"/>
        <v>14</v>
      </c>
      <c r="I3793" s="3">
        <f t="shared" si="868"/>
        <v>12</v>
      </c>
      <c r="J3793" s="3">
        <f t="shared" si="86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870"/>
        <v>YES</v>
      </c>
      <c r="Q3793" t="str">
        <f t="shared" si="871"/>
        <v>YES</v>
      </c>
      <c r="R3793" t="str">
        <f t="shared" si="872"/>
        <v>NO</v>
      </c>
      <c r="T3793" t="s">
        <v>108</v>
      </c>
      <c r="U3793" t="str">
        <f t="shared" si="859"/>
        <v>Franklin St</v>
      </c>
      <c r="V3793" t="s">
        <v>2240</v>
      </c>
      <c r="W3793" t="str">
        <f t="shared" si="860"/>
        <v>Bay St</v>
      </c>
      <c r="X3793" t="str">
        <f>IF(ISBLANK(S3793),"Intersection","Non-Intersection")</f>
        <v>Intersection</v>
      </c>
      <c r="Y3793" t="s">
        <v>3797</v>
      </c>
      <c r="Z3793" t="str">
        <f t="shared" si="86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862"/>
        <v>40909</v>
      </c>
      <c r="D3794" s="4">
        <f t="shared" si="863"/>
        <v>0.43715846994535518</v>
      </c>
      <c r="E3794" s="3">
        <f t="shared" si="864"/>
        <v>2012</v>
      </c>
      <c r="F3794" s="3">
        <f t="shared" si="865"/>
        <v>6</v>
      </c>
      <c r="G3794" s="3">
        <f t="shared" si="866"/>
        <v>9</v>
      </c>
      <c r="H3794" s="3">
        <f t="shared" si="867"/>
        <v>13</v>
      </c>
      <c r="I3794" s="3">
        <f t="shared" si="868"/>
        <v>9</v>
      </c>
      <c r="J3794" s="3">
        <f t="shared" si="86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870"/>
        <v>YES</v>
      </c>
      <c r="Q3794" t="str">
        <f t="shared" si="871"/>
        <v>NO</v>
      </c>
      <c r="R3794" t="str">
        <f t="shared" si="872"/>
        <v>NO</v>
      </c>
      <c r="S3794">
        <v>200</v>
      </c>
      <c r="T3794" t="s">
        <v>170</v>
      </c>
      <c r="U3794" t="str">
        <f t="shared" si="859"/>
        <v>Alewife Brook Pky</v>
      </c>
      <c r="W3794" t="str">
        <f t="shared" si="860"/>
        <v/>
      </c>
      <c r="X3794" t="str">
        <f>IF(ISBLANK(S3794),"Intersection","Non-Intersection")</f>
        <v>Non-Intersection</v>
      </c>
      <c r="Y3794" t="s">
        <v>2274</v>
      </c>
      <c r="Z3794" t="str">
        <f t="shared" si="86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862"/>
        <v>40909</v>
      </c>
      <c r="D3795" s="4">
        <f t="shared" si="863"/>
        <v>0.43715846994535518</v>
      </c>
      <c r="E3795" s="3">
        <f t="shared" si="864"/>
        <v>2012</v>
      </c>
      <c r="F3795" s="3">
        <f t="shared" si="865"/>
        <v>6</v>
      </c>
      <c r="G3795" s="3">
        <f t="shared" si="866"/>
        <v>9</v>
      </c>
      <c r="H3795" s="3">
        <f t="shared" si="867"/>
        <v>10</v>
      </c>
      <c r="I3795" s="3">
        <f t="shared" si="868"/>
        <v>19</v>
      </c>
      <c r="J3795" s="3">
        <f t="shared" si="86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870"/>
        <v>YES</v>
      </c>
      <c r="Q3795" t="str">
        <f t="shared" si="871"/>
        <v>NO</v>
      </c>
      <c r="R3795" t="str">
        <f t="shared" si="872"/>
        <v>NO</v>
      </c>
      <c r="S3795">
        <v>733</v>
      </c>
      <c r="T3795" t="s">
        <v>186</v>
      </c>
      <c r="U3795" t="str">
        <f t="shared" si="859"/>
        <v>Concord Ave</v>
      </c>
      <c r="W3795" t="str">
        <f t="shared" si="860"/>
        <v/>
      </c>
      <c r="X3795" t="str">
        <f>IF(ISBLANK(S3795),"Intersection","Non-Intersection")</f>
        <v>Non-Intersection</v>
      </c>
      <c r="Y3795" t="s">
        <v>2456</v>
      </c>
      <c r="Z3795" t="str">
        <f t="shared" si="86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862"/>
        <v>40909</v>
      </c>
      <c r="D3796" s="4">
        <f t="shared" si="863"/>
        <v>0.43989071038251365</v>
      </c>
      <c r="E3796" s="3">
        <f t="shared" si="864"/>
        <v>2012</v>
      </c>
      <c r="F3796" s="3">
        <f t="shared" si="865"/>
        <v>6</v>
      </c>
      <c r="G3796" s="3">
        <f t="shared" si="866"/>
        <v>10</v>
      </c>
      <c r="H3796" s="3">
        <f t="shared" si="867"/>
        <v>8</v>
      </c>
      <c r="I3796" s="3">
        <f t="shared" si="868"/>
        <v>39</v>
      </c>
      <c r="J3796" s="3">
        <f t="shared" si="86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870"/>
        <v>YES</v>
      </c>
      <c r="Q3796" t="str">
        <f t="shared" si="871"/>
        <v>NO</v>
      </c>
      <c r="R3796" t="str">
        <f t="shared" si="872"/>
        <v>NO</v>
      </c>
      <c r="T3796" t="s">
        <v>209</v>
      </c>
      <c r="U3796" t="str">
        <f t="shared" si="859"/>
        <v>Binney St</v>
      </c>
      <c r="V3796" t="s">
        <v>61</v>
      </c>
      <c r="W3796" t="str">
        <f t="shared" si="860"/>
        <v>First St</v>
      </c>
      <c r="X3796" t="str">
        <f>IF(ISBLANK(S3796),"Intersection","Non-Intersection")</f>
        <v>Intersection</v>
      </c>
      <c r="Y3796" t="s">
        <v>579</v>
      </c>
      <c r="Z3796" t="str">
        <f t="shared" si="86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862"/>
        <v>40909</v>
      </c>
      <c r="D3797" s="4">
        <f t="shared" si="863"/>
        <v>0.43989071038251365</v>
      </c>
      <c r="E3797" s="3">
        <f t="shared" si="864"/>
        <v>2012</v>
      </c>
      <c r="F3797" s="3">
        <f t="shared" si="865"/>
        <v>6</v>
      </c>
      <c r="G3797" s="3">
        <f t="shared" si="866"/>
        <v>10</v>
      </c>
      <c r="H3797" s="3">
        <f t="shared" si="867"/>
        <v>12</v>
      </c>
      <c r="I3797" s="3">
        <f t="shared" si="868"/>
        <v>59</v>
      </c>
      <c r="J3797" s="3">
        <f t="shared" si="86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870"/>
        <v>YES</v>
      </c>
      <c r="Q3797" t="str">
        <f t="shared" si="871"/>
        <v>NO</v>
      </c>
      <c r="R3797" t="str">
        <f t="shared" si="872"/>
        <v>YES</v>
      </c>
      <c r="S3797">
        <v>1414</v>
      </c>
      <c r="T3797" t="s">
        <v>14</v>
      </c>
      <c r="U3797" t="str">
        <f t="shared" si="859"/>
        <v>Massachusetts Ave</v>
      </c>
      <c r="W3797" t="str">
        <f t="shared" si="860"/>
        <v/>
      </c>
      <c r="X3797" t="str">
        <f>IF(ISBLANK(S3797),"Intersection","Non-Intersection")</f>
        <v>Non-Intersection</v>
      </c>
      <c r="Y3797" t="s">
        <v>3273</v>
      </c>
      <c r="Z3797" t="str">
        <f t="shared" si="86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862"/>
        <v>40909</v>
      </c>
      <c r="D3798" s="4">
        <f t="shared" si="863"/>
        <v>0.43989071038251365</v>
      </c>
      <c r="E3798" s="3">
        <f t="shared" si="864"/>
        <v>2012</v>
      </c>
      <c r="F3798" s="3">
        <f t="shared" si="865"/>
        <v>6</v>
      </c>
      <c r="G3798" s="3">
        <f t="shared" si="866"/>
        <v>10</v>
      </c>
      <c r="H3798" s="3">
        <f t="shared" si="867"/>
        <v>18</v>
      </c>
      <c r="I3798" s="3">
        <f t="shared" si="868"/>
        <v>53</v>
      </c>
      <c r="J3798" s="3">
        <f t="shared" si="86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870"/>
        <v>YES</v>
      </c>
      <c r="Q3798" t="str">
        <f t="shared" si="871"/>
        <v>YES</v>
      </c>
      <c r="R3798" t="str">
        <f t="shared" si="872"/>
        <v>NO</v>
      </c>
      <c r="S3798">
        <v>1621</v>
      </c>
      <c r="T3798" t="s">
        <v>19</v>
      </c>
      <c r="U3798" t="str">
        <f t="shared" si="859"/>
        <v>Cambridge St</v>
      </c>
      <c r="W3798" t="str">
        <f t="shared" si="860"/>
        <v/>
      </c>
      <c r="X3798" t="str">
        <f>IF(ISBLANK(S3798),"Intersection","Non-Intersection")</f>
        <v>Non-Intersection</v>
      </c>
      <c r="Y3798" t="s">
        <v>2928</v>
      </c>
      <c r="Z3798" t="str">
        <f t="shared" si="86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862"/>
        <v>40909</v>
      </c>
      <c r="D3799" s="4">
        <f t="shared" si="863"/>
        <v>0.43989071038251365</v>
      </c>
      <c r="E3799" s="3">
        <f t="shared" si="864"/>
        <v>2012</v>
      </c>
      <c r="F3799" s="3">
        <f t="shared" si="865"/>
        <v>6</v>
      </c>
      <c r="G3799" s="3">
        <f t="shared" si="866"/>
        <v>10</v>
      </c>
      <c r="H3799" s="3">
        <f t="shared" si="867"/>
        <v>15</v>
      </c>
      <c r="I3799" s="3">
        <f t="shared" si="868"/>
        <v>47</v>
      </c>
      <c r="J3799" s="3">
        <f t="shared" si="86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870"/>
        <v>YES</v>
      </c>
      <c r="Q3799" t="str">
        <f t="shared" si="871"/>
        <v>NO</v>
      </c>
      <c r="R3799" t="str">
        <f t="shared" si="872"/>
        <v>NO</v>
      </c>
      <c r="T3799" t="s">
        <v>74</v>
      </c>
      <c r="U3799" t="str">
        <f t="shared" si="859"/>
        <v>Hampshire St</v>
      </c>
      <c r="V3799" t="s">
        <v>506</v>
      </c>
      <c r="W3799" t="str">
        <f t="shared" si="860"/>
        <v>Bigelow St</v>
      </c>
      <c r="X3799" t="str">
        <f>IF(ISBLANK(S3799),"Intersection","Non-Intersection")</f>
        <v>Intersection</v>
      </c>
      <c r="Y3799" t="s">
        <v>4625</v>
      </c>
      <c r="Z3799" t="str">
        <f t="shared" si="86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862"/>
        <v>40909</v>
      </c>
      <c r="D3800" s="4">
        <f t="shared" si="863"/>
        <v>0.43989071038251365</v>
      </c>
      <c r="E3800" s="3">
        <f t="shared" si="864"/>
        <v>2012</v>
      </c>
      <c r="F3800" s="3">
        <f t="shared" si="865"/>
        <v>6</v>
      </c>
      <c r="G3800" s="3">
        <f t="shared" si="866"/>
        <v>10</v>
      </c>
      <c r="H3800" s="3">
        <f t="shared" si="867"/>
        <v>15</v>
      </c>
      <c r="I3800" s="3">
        <f t="shared" si="868"/>
        <v>47</v>
      </c>
      <c r="J3800" s="3">
        <f t="shared" si="86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870"/>
        <v>YES</v>
      </c>
      <c r="Q3800" t="str">
        <f t="shared" si="871"/>
        <v>NO</v>
      </c>
      <c r="R3800" t="str">
        <f t="shared" si="872"/>
        <v>NO</v>
      </c>
      <c r="T3800" t="s">
        <v>74</v>
      </c>
      <c r="U3800" t="str">
        <f t="shared" si="859"/>
        <v>Hampshire St</v>
      </c>
      <c r="V3800" t="s">
        <v>2344</v>
      </c>
      <c r="W3800" t="str">
        <f t="shared" si="860"/>
        <v>Bristol St</v>
      </c>
      <c r="X3800" t="str">
        <f>IF(ISBLANK(S3800),"Intersection","Non-Intersection")</f>
        <v>Intersection</v>
      </c>
      <c r="Y3800" t="s">
        <v>2982</v>
      </c>
      <c r="Z3800" t="str">
        <f t="shared" si="86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862"/>
        <v>40909</v>
      </c>
      <c r="D3801" s="4">
        <f t="shared" si="863"/>
        <v>0.44262295081967212</v>
      </c>
      <c r="E3801" s="3">
        <f t="shared" si="864"/>
        <v>2012</v>
      </c>
      <c r="F3801" s="3">
        <f t="shared" si="865"/>
        <v>6</v>
      </c>
      <c r="G3801" s="3">
        <f t="shared" si="866"/>
        <v>11</v>
      </c>
      <c r="H3801" s="3">
        <f t="shared" si="867"/>
        <v>18</v>
      </c>
      <c r="I3801" s="3">
        <f t="shared" si="868"/>
        <v>24</v>
      </c>
      <c r="J3801" s="3">
        <f t="shared" si="86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870"/>
        <v>YES</v>
      </c>
      <c r="Q3801" t="str">
        <f t="shared" si="871"/>
        <v>YES</v>
      </c>
      <c r="R3801" t="str">
        <f t="shared" si="872"/>
        <v>NO</v>
      </c>
      <c r="S3801">
        <v>23</v>
      </c>
      <c r="T3801" t="s">
        <v>316</v>
      </c>
      <c r="U3801" t="str">
        <f t="shared" si="859"/>
        <v>Bishop Allen Dr</v>
      </c>
      <c r="W3801" t="str">
        <f t="shared" si="860"/>
        <v/>
      </c>
      <c r="X3801" t="str">
        <f>IF(ISBLANK(S3801),"Intersection","Non-Intersection")</f>
        <v>Non-Intersection</v>
      </c>
      <c r="Y3801" t="s">
        <v>4626</v>
      </c>
      <c r="Z3801" t="str">
        <f t="shared" si="86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862"/>
        <v>40909</v>
      </c>
      <c r="D3802" s="4">
        <f t="shared" si="863"/>
        <v>0.4453551912568306</v>
      </c>
      <c r="E3802" s="3">
        <f t="shared" si="864"/>
        <v>2012</v>
      </c>
      <c r="F3802" s="3">
        <f t="shared" si="865"/>
        <v>6</v>
      </c>
      <c r="G3802" s="3">
        <f t="shared" si="866"/>
        <v>12</v>
      </c>
      <c r="H3802" s="3">
        <f t="shared" si="867"/>
        <v>8</v>
      </c>
      <c r="I3802" s="3">
        <f t="shared" si="868"/>
        <v>45</v>
      </c>
      <c r="J3802" s="3">
        <f t="shared" si="86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870"/>
        <v>YES</v>
      </c>
      <c r="Q3802" t="str">
        <f t="shared" si="871"/>
        <v>NO</v>
      </c>
      <c r="R3802" t="str">
        <f t="shared" si="872"/>
        <v>NO</v>
      </c>
      <c r="T3802" t="s">
        <v>60</v>
      </c>
      <c r="U3802" t="str">
        <f t="shared" si="859"/>
        <v>Rogers St</v>
      </c>
      <c r="V3802" t="s">
        <v>2580</v>
      </c>
      <c r="W3802" t="str">
        <f t="shared" si="860"/>
        <v>Land Blvd</v>
      </c>
      <c r="X3802" t="str">
        <f>IF(ISBLANK(S3802),"Intersection","Non-Intersection")</f>
        <v>Intersection</v>
      </c>
      <c r="Y3802" t="s">
        <v>4628</v>
      </c>
      <c r="Z3802" t="str">
        <f t="shared" si="86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862"/>
        <v>40909</v>
      </c>
      <c r="D3803" s="4">
        <f t="shared" si="863"/>
        <v>0.4453551912568306</v>
      </c>
      <c r="E3803" s="3">
        <f t="shared" si="864"/>
        <v>2012</v>
      </c>
      <c r="F3803" s="3">
        <f t="shared" si="865"/>
        <v>6</v>
      </c>
      <c r="G3803" s="3">
        <f t="shared" si="866"/>
        <v>12</v>
      </c>
      <c r="H3803" s="3">
        <f t="shared" si="867"/>
        <v>9</v>
      </c>
      <c r="I3803" s="3">
        <f t="shared" si="868"/>
        <v>21</v>
      </c>
      <c r="J3803" s="3">
        <f t="shared" si="86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870"/>
        <v>YES</v>
      </c>
      <c r="Q3803" t="str">
        <f t="shared" si="871"/>
        <v>NO</v>
      </c>
      <c r="R3803" t="str">
        <f t="shared" si="872"/>
        <v>NO</v>
      </c>
      <c r="S3803">
        <v>2500</v>
      </c>
      <c r="T3803" t="s">
        <v>14</v>
      </c>
      <c r="U3803" t="str">
        <f t="shared" si="859"/>
        <v>Massachusetts Ave</v>
      </c>
      <c r="W3803" t="str">
        <f t="shared" si="860"/>
        <v/>
      </c>
      <c r="X3803" t="str">
        <f>IF(ISBLANK(S3803),"Intersection","Non-Intersection")</f>
        <v>Non-Intersection</v>
      </c>
      <c r="Y3803" t="s">
        <v>3846</v>
      </c>
      <c r="Z3803" t="str">
        <f t="shared" si="86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862"/>
        <v>40909</v>
      </c>
      <c r="D3804" s="4">
        <f t="shared" si="863"/>
        <v>0.4453551912568306</v>
      </c>
      <c r="E3804" s="3">
        <f t="shared" si="864"/>
        <v>2012</v>
      </c>
      <c r="F3804" s="3">
        <f t="shared" si="865"/>
        <v>6</v>
      </c>
      <c r="G3804" s="3">
        <f t="shared" si="866"/>
        <v>12</v>
      </c>
      <c r="H3804" s="3">
        <f t="shared" si="867"/>
        <v>13</v>
      </c>
      <c r="I3804" s="3">
        <f t="shared" si="868"/>
        <v>3</v>
      </c>
      <c r="J3804" s="3">
        <f t="shared" si="86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870"/>
        <v>YES</v>
      </c>
      <c r="Q3804" t="str">
        <f t="shared" si="871"/>
        <v>NO</v>
      </c>
      <c r="R3804" t="str">
        <f t="shared" si="872"/>
        <v>NO</v>
      </c>
      <c r="T3804" t="s">
        <v>142</v>
      </c>
      <c r="U3804" t="str">
        <f t="shared" si="859"/>
        <v>Huron Ave</v>
      </c>
      <c r="V3804" t="s">
        <v>1469</v>
      </c>
      <c r="W3804" t="str">
        <f t="shared" si="860"/>
        <v>Fresh Pond Ln</v>
      </c>
      <c r="X3804" t="str">
        <f>IF(ISBLANK(S3804),"Intersection","Non-Intersection")</f>
        <v>Intersection</v>
      </c>
      <c r="Y3804" t="s">
        <v>4630</v>
      </c>
      <c r="Z3804" t="str">
        <f t="shared" si="86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862"/>
        <v>40909</v>
      </c>
      <c r="D3805" s="4">
        <f t="shared" si="863"/>
        <v>0.44808743169398907</v>
      </c>
      <c r="E3805" s="3">
        <f t="shared" si="864"/>
        <v>2012</v>
      </c>
      <c r="F3805" s="3">
        <f t="shared" si="865"/>
        <v>6</v>
      </c>
      <c r="G3805" s="3">
        <f t="shared" si="866"/>
        <v>13</v>
      </c>
      <c r="H3805" s="3">
        <f t="shared" si="867"/>
        <v>7</v>
      </c>
      <c r="I3805" s="3">
        <f t="shared" si="868"/>
        <v>50</v>
      </c>
      <c r="J3805" s="3">
        <f t="shared" si="86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870"/>
        <v>YES</v>
      </c>
      <c r="Q3805" t="str">
        <f t="shared" si="871"/>
        <v>NO</v>
      </c>
      <c r="R3805" t="str">
        <f t="shared" si="872"/>
        <v>NO</v>
      </c>
      <c r="S3805">
        <v>118</v>
      </c>
      <c r="T3805" t="s">
        <v>192</v>
      </c>
      <c r="U3805" t="str">
        <f t="shared" si="859"/>
        <v>Hancock St</v>
      </c>
      <c r="W3805" t="str">
        <f t="shared" si="860"/>
        <v/>
      </c>
      <c r="X3805" t="str">
        <f>IF(ISBLANK(S3805),"Intersection","Non-Intersection")</f>
        <v>Non-Intersection</v>
      </c>
      <c r="Y3805" t="s">
        <v>4631</v>
      </c>
      <c r="Z3805" t="str">
        <f t="shared" si="86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862"/>
        <v>40909</v>
      </c>
      <c r="D3806" s="4">
        <f t="shared" si="863"/>
        <v>0.44808743169398907</v>
      </c>
      <c r="E3806" s="3">
        <f t="shared" si="864"/>
        <v>2012</v>
      </c>
      <c r="F3806" s="3">
        <f t="shared" si="865"/>
        <v>6</v>
      </c>
      <c r="G3806" s="3">
        <f t="shared" si="866"/>
        <v>13</v>
      </c>
      <c r="H3806" s="3">
        <f t="shared" si="867"/>
        <v>5</v>
      </c>
      <c r="I3806" s="3">
        <f t="shared" si="868"/>
        <v>49</v>
      </c>
      <c r="J3806" s="3">
        <f t="shared" si="86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870"/>
        <v>YES</v>
      </c>
      <c r="Q3806" t="str">
        <f t="shared" si="871"/>
        <v>NO</v>
      </c>
      <c r="R3806" t="str">
        <f t="shared" si="872"/>
        <v>NO</v>
      </c>
      <c r="S3806">
        <v>32</v>
      </c>
      <c r="T3806" t="s">
        <v>134</v>
      </c>
      <c r="U3806" t="str">
        <f t="shared" si="859"/>
        <v>Quincy St</v>
      </c>
      <c r="W3806" t="str">
        <f t="shared" si="860"/>
        <v/>
      </c>
      <c r="X3806" t="str">
        <f>IF(ISBLANK(S3806),"Intersection","Non-Intersection")</f>
        <v>Non-Intersection</v>
      </c>
      <c r="Y3806" t="s">
        <v>4633</v>
      </c>
      <c r="Z3806" t="str">
        <f t="shared" si="86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862"/>
        <v>40909</v>
      </c>
      <c r="D3807" s="4">
        <f t="shared" si="863"/>
        <v>0.44808743169398907</v>
      </c>
      <c r="E3807" s="3">
        <f t="shared" si="864"/>
        <v>2012</v>
      </c>
      <c r="F3807" s="3">
        <f t="shared" si="865"/>
        <v>6</v>
      </c>
      <c r="G3807" s="3">
        <f t="shared" si="866"/>
        <v>13</v>
      </c>
      <c r="H3807" s="3">
        <f t="shared" si="867"/>
        <v>8</v>
      </c>
      <c r="I3807" s="3">
        <f t="shared" si="868"/>
        <v>25</v>
      </c>
      <c r="J3807" s="3">
        <f t="shared" si="86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870"/>
        <v>YES</v>
      </c>
      <c r="Q3807" t="str">
        <f t="shared" si="871"/>
        <v>NO</v>
      </c>
      <c r="R3807" t="str">
        <f t="shared" si="872"/>
        <v>NO</v>
      </c>
      <c r="T3807" t="s">
        <v>185</v>
      </c>
      <c r="U3807" t="str">
        <f t="shared" si="859"/>
        <v>Garden St</v>
      </c>
      <c r="V3807" t="s">
        <v>988</v>
      </c>
      <c r="W3807" t="str">
        <f t="shared" si="860"/>
        <v>Bond St</v>
      </c>
      <c r="X3807" t="str">
        <f>IF(ISBLANK(S3807),"Intersection","Non-Intersection")</f>
        <v>Intersection</v>
      </c>
      <c r="Y3807" t="s">
        <v>3716</v>
      </c>
      <c r="Z3807" t="str">
        <f t="shared" si="86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862"/>
        <v>40909</v>
      </c>
      <c r="D3808" s="4">
        <f t="shared" si="863"/>
        <v>0.44808743169398907</v>
      </c>
      <c r="E3808" s="3">
        <f t="shared" si="864"/>
        <v>2012</v>
      </c>
      <c r="F3808" s="3">
        <f t="shared" si="865"/>
        <v>6</v>
      </c>
      <c r="G3808" s="3">
        <f t="shared" si="866"/>
        <v>13</v>
      </c>
      <c r="H3808" s="3">
        <f t="shared" si="867"/>
        <v>8</v>
      </c>
      <c r="I3808" s="3">
        <f t="shared" si="868"/>
        <v>48</v>
      </c>
      <c r="J3808" s="3">
        <f t="shared" si="86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870"/>
        <v>YES</v>
      </c>
      <c r="Q3808" t="str">
        <f t="shared" si="871"/>
        <v>NO</v>
      </c>
      <c r="R3808" t="str">
        <f t="shared" si="872"/>
        <v>NO</v>
      </c>
      <c r="S3808">
        <v>2254</v>
      </c>
      <c r="T3808" t="s">
        <v>14</v>
      </c>
      <c r="U3808" t="str">
        <f t="shared" si="859"/>
        <v>Massachusetts Ave</v>
      </c>
      <c r="W3808" t="str">
        <f t="shared" si="860"/>
        <v/>
      </c>
      <c r="X3808" t="str">
        <f>IF(ISBLANK(S3808),"Intersection","Non-Intersection")</f>
        <v>Non-Intersection</v>
      </c>
      <c r="Y3808" t="s">
        <v>4036</v>
      </c>
      <c r="Z3808" t="str">
        <f t="shared" si="86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862"/>
        <v>40909</v>
      </c>
      <c r="D3809" s="4">
        <f t="shared" si="863"/>
        <v>0.44808743169398907</v>
      </c>
      <c r="E3809" s="3">
        <f t="shared" si="864"/>
        <v>2012</v>
      </c>
      <c r="F3809" s="3">
        <f t="shared" si="865"/>
        <v>6</v>
      </c>
      <c r="G3809" s="3">
        <f t="shared" si="866"/>
        <v>13</v>
      </c>
      <c r="H3809" s="3">
        <f t="shared" si="867"/>
        <v>14</v>
      </c>
      <c r="I3809" s="3">
        <f t="shared" si="868"/>
        <v>49</v>
      </c>
      <c r="J3809" s="3">
        <f t="shared" si="86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870"/>
        <v>YES</v>
      </c>
      <c r="Q3809" t="str">
        <f t="shared" si="871"/>
        <v>NO</v>
      </c>
      <c r="R3809" t="str">
        <f t="shared" si="872"/>
        <v>NO</v>
      </c>
      <c r="T3809" t="s">
        <v>189</v>
      </c>
      <c r="U3809" t="str">
        <f t="shared" si="859"/>
        <v>Windsor St</v>
      </c>
      <c r="V3809" t="s">
        <v>1371</v>
      </c>
      <c r="W3809" t="str">
        <f t="shared" si="860"/>
        <v>Front St</v>
      </c>
      <c r="X3809" t="str">
        <f>IF(ISBLANK(S3809),"Intersection","Non-Intersection")</f>
        <v>Intersection</v>
      </c>
      <c r="Y3809" t="s">
        <v>4635</v>
      </c>
      <c r="Z3809" t="str">
        <f t="shared" si="86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862"/>
        <v>40909</v>
      </c>
      <c r="D3810" s="4">
        <f t="shared" si="863"/>
        <v>0.44808743169398907</v>
      </c>
      <c r="E3810" s="3">
        <f t="shared" si="864"/>
        <v>2012</v>
      </c>
      <c r="F3810" s="3">
        <f t="shared" si="865"/>
        <v>6</v>
      </c>
      <c r="G3810" s="3">
        <f t="shared" si="866"/>
        <v>13</v>
      </c>
      <c r="H3810" s="3">
        <f t="shared" si="867"/>
        <v>15</v>
      </c>
      <c r="I3810" s="3">
        <f t="shared" si="868"/>
        <v>21</v>
      </c>
      <c r="J3810" s="3">
        <f t="shared" si="86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870"/>
        <v>YES</v>
      </c>
      <c r="Q3810" t="str">
        <f t="shared" si="871"/>
        <v>NO</v>
      </c>
      <c r="R3810" t="str">
        <f t="shared" si="872"/>
        <v>NO</v>
      </c>
      <c r="S3810">
        <v>12</v>
      </c>
      <c r="T3810" t="s">
        <v>1111</v>
      </c>
      <c r="U3810" t="str">
        <f t="shared" si="859"/>
        <v>Museum Way</v>
      </c>
      <c r="V3810" t="s">
        <v>3893</v>
      </c>
      <c r="W3810" t="str">
        <f t="shared" si="860"/>
        <v>North Point Blvd</v>
      </c>
      <c r="X3810" t="str">
        <f>IF(ISBLANK(S3810),"Intersection","Non-Intersection")</f>
        <v>Non-Intersection</v>
      </c>
      <c r="Y3810" t="s">
        <v>4637</v>
      </c>
      <c r="Z3810" t="str">
        <f t="shared" si="86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862"/>
        <v>40909</v>
      </c>
      <c r="D3811" s="4">
        <f t="shared" si="863"/>
        <v>0.44808743169398907</v>
      </c>
      <c r="E3811" s="3">
        <f t="shared" si="864"/>
        <v>2012</v>
      </c>
      <c r="F3811" s="3">
        <f t="shared" si="865"/>
        <v>6</v>
      </c>
      <c r="G3811" s="3">
        <f t="shared" si="866"/>
        <v>13</v>
      </c>
      <c r="H3811" s="3">
        <f t="shared" si="867"/>
        <v>16</v>
      </c>
      <c r="I3811" s="3">
        <f t="shared" si="868"/>
        <v>47</v>
      </c>
      <c r="J3811" s="3">
        <f t="shared" si="86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870"/>
        <v>YES</v>
      </c>
      <c r="Q3811" t="str">
        <f t="shared" si="871"/>
        <v>NO</v>
      </c>
      <c r="R3811" t="str">
        <f t="shared" si="872"/>
        <v>NO</v>
      </c>
      <c r="S3811">
        <v>43</v>
      </c>
      <c r="T3811" t="s">
        <v>199</v>
      </c>
      <c r="U3811" t="str">
        <f t="shared" si="859"/>
        <v>Brattle St</v>
      </c>
      <c r="W3811" t="str">
        <f t="shared" si="860"/>
        <v/>
      </c>
      <c r="X3811" t="str">
        <f>IF(ISBLANK(S3811),"Intersection","Non-Intersection")</f>
        <v>Non-Intersection</v>
      </c>
      <c r="Y3811" t="s">
        <v>4639</v>
      </c>
      <c r="Z3811" t="str">
        <f t="shared" si="86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862"/>
        <v>40909</v>
      </c>
      <c r="D3812" s="4">
        <f t="shared" si="863"/>
        <v>0.44808743169398907</v>
      </c>
      <c r="E3812" s="3">
        <f t="shared" si="864"/>
        <v>2012</v>
      </c>
      <c r="F3812" s="3">
        <f t="shared" si="865"/>
        <v>6</v>
      </c>
      <c r="G3812" s="3">
        <f t="shared" si="866"/>
        <v>13</v>
      </c>
      <c r="H3812" s="3">
        <f t="shared" si="867"/>
        <v>22</v>
      </c>
      <c r="I3812" s="3">
        <f t="shared" si="868"/>
        <v>44</v>
      </c>
      <c r="J3812" s="3">
        <f t="shared" si="86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870"/>
        <v>YES</v>
      </c>
      <c r="Q3812" t="str">
        <f t="shared" si="871"/>
        <v>NO</v>
      </c>
      <c r="R3812" t="str">
        <f t="shared" si="872"/>
        <v>NO</v>
      </c>
      <c r="S3812">
        <v>139</v>
      </c>
      <c r="T3812" t="s">
        <v>27</v>
      </c>
      <c r="U3812" t="str">
        <f t="shared" si="859"/>
        <v>Western Ave</v>
      </c>
      <c r="W3812" t="str">
        <f t="shared" si="860"/>
        <v/>
      </c>
      <c r="X3812" t="str">
        <f>IF(ISBLANK(S3812),"Intersection","Non-Intersection")</f>
        <v>Non-Intersection</v>
      </c>
      <c r="Y3812" t="s">
        <v>4641</v>
      </c>
      <c r="Z3812" t="str">
        <f t="shared" si="86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862"/>
        <v>40909</v>
      </c>
      <c r="D3813" s="4">
        <f t="shared" si="863"/>
        <v>0.44808743169398907</v>
      </c>
      <c r="E3813" s="3">
        <f t="shared" si="864"/>
        <v>2012</v>
      </c>
      <c r="F3813" s="3">
        <f t="shared" si="865"/>
        <v>6</v>
      </c>
      <c r="G3813" s="3">
        <f t="shared" si="866"/>
        <v>13</v>
      </c>
      <c r="H3813" s="3">
        <f t="shared" si="867"/>
        <v>11</v>
      </c>
      <c r="I3813" s="3">
        <f t="shared" si="868"/>
        <v>15</v>
      </c>
      <c r="J3813" s="3">
        <f t="shared" si="86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870"/>
        <v>YES</v>
      </c>
      <c r="Q3813" t="str">
        <f t="shared" si="871"/>
        <v>NO</v>
      </c>
      <c r="R3813" t="str">
        <f t="shared" si="872"/>
        <v>YES</v>
      </c>
      <c r="T3813" t="s">
        <v>365</v>
      </c>
      <c r="U3813" t="str">
        <f t="shared" si="859"/>
        <v>Hurley St</v>
      </c>
      <c r="V3813" t="s">
        <v>61</v>
      </c>
      <c r="W3813" t="str">
        <f t="shared" si="860"/>
        <v>First St</v>
      </c>
      <c r="X3813" t="str">
        <f>IF(ISBLANK(S3813),"Intersection","Non-Intersection")</f>
        <v>Intersection</v>
      </c>
      <c r="Y3813" t="s">
        <v>4643</v>
      </c>
      <c r="Z3813" t="str">
        <f t="shared" si="86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862"/>
        <v>40909</v>
      </c>
      <c r="D3814" s="4">
        <f t="shared" si="863"/>
        <v>0.45081967213114754</v>
      </c>
      <c r="E3814" s="3">
        <f t="shared" si="864"/>
        <v>2012</v>
      </c>
      <c r="F3814" s="3">
        <f t="shared" si="865"/>
        <v>6</v>
      </c>
      <c r="G3814" s="3">
        <f t="shared" si="866"/>
        <v>14</v>
      </c>
      <c r="H3814" s="3">
        <f t="shared" si="867"/>
        <v>11</v>
      </c>
      <c r="I3814" s="3">
        <f t="shared" si="868"/>
        <v>39</v>
      </c>
      <c r="J3814" s="3">
        <f t="shared" si="86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870"/>
        <v>YES</v>
      </c>
      <c r="Q3814" t="str">
        <f t="shared" si="871"/>
        <v>NO</v>
      </c>
      <c r="R3814" t="str">
        <f t="shared" si="872"/>
        <v>NO</v>
      </c>
      <c r="T3814" t="s">
        <v>142</v>
      </c>
      <c r="U3814" t="str">
        <f t="shared" si="859"/>
        <v>Huron Ave</v>
      </c>
      <c r="V3814" t="s">
        <v>459</v>
      </c>
      <c r="W3814" t="str">
        <f t="shared" si="860"/>
        <v>Fayerweather St</v>
      </c>
      <c r="X3814" t="str">
        <f>IF(ISBLANK(S3814),"Intersection","Non-Intersection")</f>
        <v>Intersection</v>
      </c>
      <c r="Y3814" t="s">
        <v>460</v>
      </c>
      <c r="Z3814" t="str">
        <f t="shared" si="86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862"/>
        <v>40909</v>
      </c>
      <c r="D3815" s="4">
        <f t="shared" si="863"/>
        <v>0.45081967213114754</v>
      </c>
      <c r="E3815" s="3">
        <f t="shared" si="864"/>
        <v>2012</v>
      </c>
      <c r="F3815" s="3">
        <f t="shared" si="865"/>
        <v>6</v>
      </c>
      <c r="G3815" s="3">
        <f t="shared" si="866"/>
        <v>14</v>
      </c>
      <c r="H3815" s="3">
        <f t="shared" si="867"/>
        <v>20</v>
      </c>
      <c r="I3815" s="3">
        <f t="shared" si="868"/>
        <v>23</v>
      </c>
      <c r="J3815" s="3">
        <f t="shared" si="86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870"/>
        <v>YES</v>
      </c>
      <c r="Q3815" t="str">
        <f t="shared" si="871"/>
        <v>YES</v>
      </c>
      <c r="R3815" t="str">
        <f t="shared" si="872"/>
        <v>NO</v>
      </c>
      <c r="S3815">
        <v>260</v>
      </c>
      <c r="T3815" t="s">
        <v>133</v>
      </c>
      <c r="U3815" t="str">
        <f t="shared" si="859"/>
        <v>Harvard St</v>
      </c>
      <c r="W3815" t="str">
        <f t="shared" si="860"/>
        <v/>
      </c>
      <c r="X3815" t="str">
        <f>IF(ISBLANK(S3815),"Intersection","Non-Intersection")</f>
        <v>Non-Intersection</v>
      </c>
      <c r="Y3815" t="s">
        <v>4375</v>
      </c>
      <c r="Z3815" t="str">
        <f t="shared" si="86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862"/>
        <v>40909</v>
      </c>
      <c r="D3816" s="4">
        <f t="shared" si="863"/>
        <v>0.45081967213114754</v>
      </c>
      <c r="E3816" s="3">
        <f t="shared" si="864"/>
        <v>2012</v>
      </c>
      <c r="F3816" s="3">
        <f t="shared" si="865"/>
        <v>6</v>
      </c>
      <c r="G3816" s="3">
        <f t="shared" si="866"/>
        <v>14</v>
      </c>
      <c r="H3816" s="3">
        <f t="shared" si="867"/>
        <v>21</v>
      </c>
      <c r="I3816" s="3">
        <f t="shared" si="868"/>
        <v>30</v>
      </c>
      <c r="J3816" s="3">
        <f t="shared" si="86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870"/>
        <v>YES</v>
      </c>
      <c r="Q3816" t="str">
        <f t="shared" si="871"/>
        <v>YES</v>
      </c>
      <c r="R3816" t="str">
        <f t="shared" si="872"/>
        <v>NO</v>
      </c>
      <c r="T3816" t="s">
        <v>105</v>
      </c>
      <c r="U3816" t="str">
        <f t="shared" si="859"/>
        <v>Broadway</v>
      </c>
      <c r="V3816" t="s">
        <v>260</v>
      </c>
      <c r="W3816" t="str">
        <f t="shared" si="860"/>
        <v>Third St</v>
      </c>
      <c r="X3816" t="str">
        <f>IF(ISBLANK(S3816),"Intersection","Non-Intersection")</f>
        <v>Intersection</v>
      </c>
      <c r="Y3816" t="s">
        <v>2506</v>
      </c>
      <c r="Z3816" t="str">
        <f t="shared" si="86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862"/>
        <v>40909</v>
      </c>
      <c r="D3817" s="4">
        <f t="shared" si="863"/>
        <v>0.45081967213114754</v>
      </c>
      <c r="E3817" s="3">
        <f t="shared" si="864"/>
        <v>2012</v>
      </c>
      <c r="F3817" s="3">
        <f t="shared" si="865"/>
        <v>6</v>
      </c>
      <c r="G3817" s="3">
        <f t="shared" si="866"/>
        <v>14</v>
      </c>
      <c r="H3817" s="3">
        <f t="shared" si="867"/>
        <v>6</v>
      </c>
      <c r="I3817" s="3">
        <f t="shared" si="868"/>
        <v>59</v>
      </c>
      <c r="J3817" s="3">
        <f t="shared" si="86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870"/>
        <v>YES</v>
      </c>
      <c r="Q3817" t="str">
        <f t="shared" si="871"/>
        <v>NO</v>
      </c>
      <c r="R3817" t="str">
        <f t="shared" si="872"/>
        <v>NO</v>
      </c>
      <c r="T3817" t="s">
        <v>1502</v>
      </c>
      <c r="U3817" t="str">
        <f t="shared" si="859"/>
        <v>Gore St</v>
      </c>
      <c r="V3817" t="s">
        <v>260</v>
      </c>
      <c r="W3817" t="str">
        <f t="shared" si="860"/>
        <v>Third St</v>
      </c>
      <c r="X3817" t="str">
        <f>IF(ISBLANK(S3817),"Intersection","Non-Intersection")</f>
        <v>Intersection</v>
      </c>
      <c r="Y3817" t="s">
        <v>2873</v>
      </c>
      <c r="Z3817" t="str">
        <f t="shared" si="86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862"/>
        <v>40909</v>
      </c>
      <c r="D3818" s="4">
        <f t="shared" si="863"/>
        <v>0.45355191256830601</v>
      </c>
      <c r="E3818" s="3">
        <f t="shared" si="864"/>
        <v>2012</v>
      </c>
      <c r="F3818" s="3">
        <f t="shared" si="865"/>
        <v>6</v>
      </c>
      <c r="G3818" s="3">
        <f t="shared" si="866"/>
        <v>15</v>
      </c>
      <c r="H3818" s="3">
        <f t="shared" si="867"/>
        <v>8</v>
      </c>
      <c r="I3818" s="3">
        <f t="shared" si="868"/>
        <v>25</v>
      </c>
      <c r="J3818" s="3">
        <f t="shared" si="86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870"/>
        <v>YES</v>
      </c>
      <c r="Q3818" t="str">
        <f t="shared" si="871"/>
        <v>NO</v>
      </c>
      <c r="R3818" t="str">
        <f t="shared" si="872"/>
        <v>NO</v>
      </c>
      <c r="T3818" t="s">
        <v>335</v>
      </c>
      <c r="U3818" t="str">
        <f t="shared" si="859"/>
        <v>Ware St</v>
      </c>
      <c r="V3818" t="s">
        <v>133</v>
      </c>
      <c r="W3818" t="str">
        <f t="shared" si="860"/>
        <v>Harvard St</v>
      </c>
      <c r="X3818" t="str">
        <f>IF(ISBLANK(S3818),"Intersection","Non-Intersection")</f>
        <v>Intersection</v>
      </c>
      <c r="Y3818" t="s">
        <v>3990</v>
      </c>
      <c r="Z3818" t="str">
        <f t="shared" si="86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862"/>
        <v>40909</v>
      </c>
      <c r="D3819" s="4">
        <f t="shared" si="863"/>
        <v>0.45355191256830601</v>
      </c>
      <c r="E3819" s="3">
        <f t="shared" si="864"/>
        <v>2012</v>
      </c>
      <c r="F3819" s="3">
        <f t="shared" si="865"/>
        <v>6</v>
      </c>
      <c r="G3819" s="3">
        <f t="shared" si="866"/>
        <v>15</v>
      </c>
      <c r="H3819" s="3">
        <f t="shared" si="867"/>
        <v>18</v>
      </c>
      <c r="I3819" s="3">
        <f t="shared" si="868"/>
        <v>0</v>
      </c>
      <c r="J3819" s="3">
        <f t="shared" si="86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870"/>
        <v>YES</v>
      </c>
      <c r="Q3819" t="str">
        <f t="shared" si="871"/>
        <v>NO</v>
      </c>
      <c r="R3819" t="str">
        <f t="shared" si="872"/>
        <v>NO</v>
      </c>
      <c r="S3819">
        <v>413</v>
      </c>
      <c r="T3819" t="s">
        <v>216</v>
      </c>
      <c r="U3819" t="str">
        <f t="shared" si="859"/>
        <v>Washington Ave</v>
      </c>
      <c r="W3819" t="str">
        <f t="shared" si="860"/>
        <v/>
      </c>
      <c r="X3819" t="str">
        <f>IF(ISBLANK(S3819),"Intersection","Non-Intersection")</f>
        <v>Non-Intersection</v>
      </c>
      <c r="Y3819" t="s">
        <v>3142</v>
      </c>
      <c r="Z3819" t="str">
        <f t="shared" si="86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862"/>
        <v>40909</v>
      </c>
      <c r="D3820" s="4">
        <f t="shared" si="863"/>
        <v>0.45355191256830601</v>
      </c>
      <c r="E3820" s="3">
        <f t="shared" si="864"/>
        <v>2012</v>
      </c>
      <c r="F3820" s="3">
        <f t="shared" si="865"/>
        <v>6</v>
      </c>
      <c r="G3820" s="3">
        <f t="shared" si="866"/>
        <v>15</v>
      </c>
      <c r="H3820" s="3">
        <f t="shared" si="867"/>
        <v>22</v>
      </c>
      <c r="I3820" s="3">
        <f t="shared" si="868"/>
        <v>19</v>
      </c>
      <c r="J3820" s="3">
        <f t="shared" si="86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870"/>
        <v>YES</v>
      </c>
      <c r="Q3820" t="str">
        <f t="shared" si="871"/>
        <v>NO</v>
      </c>
      <c r="R3820" t="str">
        <f t="shared" si="872"/>
        <v>NO</v>
      </c>
      <c r="S3820">
        <v>46</v>
      </c>
      <c r="T3820" t="s">
        <v>985</v>
      </c>
      <c r="U3820" t="str">
        <f t="shared" si="859"/>
        <v>Plymouth St</v>
      </c>
      <c r="W3820" t="str">
        <f t="shared" si="860"/>
        <v/>
      </c>
      <c r="X3820" t="str">
        <f>IF(ISBLANK(S3820),"Intersection","Non-Intersection")</f>
        <v>Non-Intersection</v>
      </c>
      <c r="Y3820" t="s">
        <v>4645</v>
      </c>
      <c r="Z3820" t="str">
        <f t="shared" si="86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862"/>
        <v>40909</v>
      </c>
      <c r="D3821" s="4">
        <f t="shared" si="863"/>
        <v>0.45355191256830601</v>
      </c>
      <c r="E3821" s="3">
        <f t="shared" si="864"/>
        <v>2012</v>
      </c>
      <c r="F3821" s="3">
        <f t="shared" si="865"/>
        <v>6</v>
      </c>
      <c r="G3821" s="3">
        <f t="shared" si="866"/>
        <v>15</v>
      </c>
      <c r="H3821" s="3">
        <f t="shared" si="867"/>
        <v>22</v>
      </c>
      <c r="I3821" s="3">
        <f t="shared" si="868"/>
        <v>45</v>
      </c>
      <c r="J3821" s="3">
        <f t="shared" si="86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870"/>
        <v>YES</v>
      </c>
      <c r="Q3821" t="str">
        <f t="shared" si="871"/>
        <v>NO</v>
      </c>
      <c r="R3821" t="str">
        <f t="shared" si="872"/>
        <v>NO</v>
      </c>
      <c r="T3821" t="s">
        <v>14</v>
      </c>
      <c r="U3821" t="str">
        <f t="shared" si="859"/>
        <v>Massachusetts Ave</v>
      </c>
      <c r="V3821" t="s">
        <v>57</v>
      </c>
      <c r="W3821" t="str">
        <f t="shared" si="860"/>
        <v>Everett St</v>
      </c>
      <c r="X3821" t="str">
        <f>IF(ISBLANK(S3821),"Intersection","Non-Intersection")</f>
        <v>Intersection</v>
      </c>
      <c r="Y3821" t="s">
        <v>58</v>
      </c>
      <c r="Z3821" t="str">
        <f t="shared" si="86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862"/>
        <v>40909</v>
      </c>
      <c r="D3822" s="4">
        <f t="shared" si="863"/>
        <v>0.45901639344262296</v>
      </c>
      <c r="E3822" s="3">
        <f t="shared" si="864"/>
        <v>2012</v>
      </c>
      <c r="F3822" s="3">
        <f t="shared" si="865"/>
        <v>6</v>
      </c>
      <c r="G3822" s="3">
        <f t="shared" si="866"/>
        <v>17</v>
      </c>
      <c r="H3822" s="3">
        <f t="shared" si="867"/>
        <v>13</v>
      </c>
      <c r="I3822" s="3">
        <f t="shared" si="868"/>
        <v>34</v>
      </c>
      <c r="J3822" s="3">
        <f t="shared" si="86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870"/>
        <v>YES</v>
      </c>
      <c r="Q3822" t="str">
        <f t="shared" si="871"/>
        <v>NO</v>
      </c>
      <c r="R3822" t="str">
        <f t="shared" si="872"/>
        <v>NO</v>
      </c>
      <c r="S3822">
        <v>456</v>
      </c>
      <c r="T3822" t="s">
        <v>142</v>
      </c>
      <c r="U3822" t="str">
        <f t="shared" si="859"/>
        <v>Huron Ave</v>
      </c>
      <c r="W3822" t="str">
        <f t="shared" si="860"/>
        <v/>
      </c>
      <c r="X3822" t="str">
        <f>IF(ISBLANK(S3822),"Intersection","Non-Intersection")</f>
        <v>Non-Intersection</v>
      </c>
      <c r="Y3822" t="s">
        <v>4647</v>
      </c>
      <c r="Z3822" t="str">
        <f t="shared" si="86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862"/>
        <v>40909</v>
      </c>
      <c r="D3823" s="4">
        <f t="shared" si="863"/>
        <v>0.45901639344262296</v>
      </c>
      <c r="E3823" s="3">
        <f t="shared" si="864"/>
        <v>2012</v>
      </c>
      <c r="F3823" s="3">
        <f t="shared" si="865"/>
        <v>6</v>
      </c>
      <c r="G3823" s="3">
        <f t="shared" si="866"/>
        <v>17</v>
      </c>
      <c r="H3823" s="3">
        <f t="shared" si="867"/>
        <v>20</v>
      </c>
      <c r="I3823" s="3">
        <f t="shared" si="868"/>
        <v>0</v>
      </c>
      <c r="J3823" s="3">
        <f t="shared" si="86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870"/>
        <v>YES</v>
      </c>
      <c r="Q3823" t="str">
        <f t="shared" si="871"/>
        <v>NO</v>
      </c>
      <c r="R3823" t="str">
        <f t="shared" si="872"/>
        <v>NO</v>
      </c>
      <c r="S3823">
        <v>222</v>
      </c>
      <c r="T3823" t="s">
        <v>101</v>
      </c>
      <c r="U3823" t="str">
        <f t="shared" si="859"/>
        <v>Columbia St</v>
      </c>
      <c r="W3823" t="str">
        <f t="shared" si="860"/>
        <v/>
      </c>
      <c r="X3823" t="str">
        <f>IF(ISBLANK(S3823),"Intersection","Non-Intersection")</f>
        <v>Non-Intersection</v>
      </c>
      <c r="Y3823" t="s">
        <v>4649</v>
      </c>
      <c r="Z3823" t="str">
        <f t="shared" si="86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862"/>
        <v>40909</v>
      </c>
      <c r="D3824" s="4">
        <f t="shared" si="863"/>
        <v>0.46174863387978143</v>
      </c>
      <c r="E3824" s="3">
        <f t="shared" si="864"/>
        <v>2012</v>
      </c>
      <c r="F3824" s="3">
        <f t="shared" si="865"/>
        <v>6</v>
      </c>
      <c r="G3824" s="3">
        <f t="shared" si="866"/>
        <v>18</v>
      </c>
      <c r="H3824" s="3">
        <f t="shared" si="867"/>
        <v>9</v>
      </c>
      <c r="I3824" s="3">
        <f t="shared" si="868"/>
        <v>0</v>
      </c>
      <c r="J3824" s="3">
        <f t="shared" si="86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870"/>
        <v>YES</v>
      </c>
      <c r="Q3824" t="str">
        <f t="shared" si="871"/>
        <v>NO</v>
      </c>
      <c r="R3824" t="str">
        <f t="shared" si="872"/>
        <v>NO</v>
      </c>
      <c r="T3824" t="s">
        <v>184</v>
      </c>
      <c r="U3824" t="str">
        <f t="shared" si="859"/>
        <v>Upton St</v>
      </c>
      <c r="V3824" t="s">
        <v>178</v>
      </c>
      <c r="W3824" t="str">
        <f t="shared" si="860"/>
        <v>Pleasant St</v>
      </c>
      <c r="X3824" t="str">
        <f>IF(ISBLANK(S3824),"Intersection","Non-Intersection")</f>
        <v>Intersection</v>
      </c>
      <c r="Y3824" t="s">
        <v>4651</v>
      </c>
      <c r="Z3824" t="str">
        <f t="shared" si="86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862"/>
        <v>40909</v>
      </c>
      <c r="D3825" s="4">
        <f t="shared" si="863"/>
        <v>0.46174863387978143</v>
      </c>
      <c r="E3825" s="3">
        <f t="shared" si="864"/>
        <v>2012</v>
      </c>
      <c r="F3825" s="3">
        <f t="shared" si="865"/>
        <v>6</v>
      </c>
      <c r="G3825" s="3">
        <f t="shared" si="866"/>
        <v>18</v>
      </c>
      <c r="H3825" s="3">
        <f t="shared" si="867"/>
        <v>15</v>
      </c>
      <c r="I3825" s="3">
        <f t="shared" si="868"/>
        <v>36</v>
      </c>
      <c r="J3825" s="3">
        <f t="shared" si="86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870"/>
        <v>YES</v>
      </c>
      <c r="Q3825" t="str">
        <f t="shared" si="871"/>
        <v>NO</v>
      </c>
      <c r="R3825" t="str">
        <f t="shared" si="872"/>
        <v>NO</v>
      </c>
      <c r="S3825">
        <v>491</v>
      </c>
      <c r="T3825" t="s">
        <v>105</v>
      </c>
      <c r="U3825" t="str">
        <f t="shared" si="859"/>
        <v>Broadway</v>
      </c>
      <c r="W3825" t="str">
        <f t="shared" si="860"/>
        <v/>
      </c>
      <c r="X3825" t="str">
        <f>IF(ISBLANK(S3825),"Intersection","Non-Intersection")</f>
        <v>Non-Intersection</v>
      </c>
      <c r="Y3825" t="s">
        <v>1078</v>
      </c>
      <c r="Z3825" t="str">
        <f t="shared" si="86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862"/>
        <v>40909</v>
      </c>
      <c r="D3826" s="4">
        <f t="shared" si="863"/>
        <v>0.46174863387978143</v>
      </c>
      <c r="E3826" s="3">
        <f t="shared" si="864"/>
        <v>2012</v>
      </c>
      <c r="F3826" s="3">
        <f t="shared" si="865"/>
        <v>6</v>
      </c>
      <c r="G3826" s="3">
        <f t="shared" si="866"/>
        <v>18</v>
      </c>
      <c r="H3826" s="3">
        <f t="shared" si="867"/>
        <v>18</v>
      </c>
      <c r="I3826" s="3">
        <f t="shared" si="868"/>
        <v>49</v>
      </c>
      <c r="J3826" s="3">
        <f t="shared" si="86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870"/>
        <v>YES</v>
      </c>
      <c r="Q3826" t="str">
        <f t="shared" si="871"/>
        <v>YES</v>
      </c>
      <c r="R3826" t="str">
        <f t="shared" si="872"/>
        <v>NO</v>
      </c>
      <c r="T3826" t="s">
        <v>105</v>
      </c>
      <c r="U3826" t="str">
        <f t="shared" si="859"/>
        <v>Broadway</v>
      </c>
      <c r="V3826" t="s">
        <v>79</v>
      </c>
      <c r="W3826" t="str">
        <f t="shared" si="860"/>
        <v>Ames St</v>
      </c>
      <c r="X3826" t="str">
        <f>IF(ISBLANK(S3826),"Intersection","Non-Intersection")</f>
        <v>Intersection</v>
      </c>
      <c r="Y3826" t="s">
        <v>1346</v>
      </c>
      <c r="Z3826" t="str">
        <f t="shared" si="86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862"/>
        <v>40909</v>
      </c>
      <c r="D3827" s="4">
        <f t="shared" si="863"/>
        <v>0.46448087431693991</v>
      </c>
      <c r="E3827" s="3">
        <f t="shared" si="864"/>
        <v>2012</v>
      </c>
      <c r="F3827" s="3">
        <f t="shared" si="865"/>
        <v>6</v>
      </c>
      <c r="G3827" s="3">
        <f t="shared" si="866"/>
        <v>19</v>
      </c>
      <c r="H3827" s="3">
        <f t="shared" si="867"/>
        <v>9</v>
      </c>
      <c r="I3827" s="3">
        <f t="shared" si="868"/>
        <v>59</v>
      </c>
      <c r="J3827" s="3">
        <f t="shared" si="86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870"/>
        <v>YES</v>
      </c>
      <c r="Q3827" t="str">
        <f t="shared" si="871"/>
        <v>NO</v>
      </c>
      <c r="R3827" t="str">
        <f t="shared" si="872"/>
        <v>NO</v>
      </c>
      <c r="S3827">
        <v>29</v>
      </c>
      <c r="T3827" t="s">
        <v>335</v>
      </c>
      <c r="U3827" t="str">
        <f t="shared" si="859"/>
        <v>Ware St</v>
      </c>
      <c r="W3827" t="str">
        <f t="shared" si="860"/>
        <v/>
      </c>
      <c r="X3827" t="str">
        <f>IF(ISBLANK(S3827),"Intersection","Non-Intersection")</f>
        <v>Non-Intersection</v>
      </c>
      <c r="Y3827" t="s">
        <v>4653</v>
      </c>
      <c r="Z3827" t="str">
        <f t="shared" si="86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862"/>
        <v>40909</v>
      </c>
      <c r="D3828" s="4">
        <f t="shared" si="863"/>
        <v>0.46448087431693991</v>
      </c>
      <c r="E3828" s="3">
        <f t="shared" si="864"/>
        <v>2012</v>
      </c>
      <c r="F3828" s="3">
        <f t="shared" si="865"/>
        <v>6</v>
      </c>
      <c r="G3828" s="3">
        <f t="shared" si="866"/>
        <v>19</v>
      </c>
      <c r="H3828" s="3">
        <f t="shared" si="867"/>
        <v>9</v>
      </c>
      <c r="I3828" s="3">
        <f t="shared" si="868"/>
        <v>59</v>
      </c>
      <c r="J3828" s="3">
        <f t="shared" si="86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870"/>
        <v>YES</v>
      </c>
      <c r="Q3828" t="str">
        <f t="shared" si="871"/>
        <v>NO</v>
      </c>
      <c r="R3828" t="str">
        <f t="shared" si="872"/>
        <v>NO</v>
      </c>
      <c r="S3828">
        <v>36</v>
      </c>
      <c r="T3828" t="s">
        <v>1006</v>
      </c>
      <c r="U3828" t="str">
        <f t="shared" si="859"/>
        <v>Irving St</v>
      </c>
      <c r="W3828" t="str">
        <f t="shared" si="860"/>
        <v/>
      </c>
      <c r="X3828" t="str">
        <f>IF(ISBLANK(S3828),"Intersection","Non-Intersection")</f>
        <v>Non-Intersection</v>
      </c>
      <c r="Y3828" t="s">
        <v>4655</v>
      </c>
      <c r="Z3828" t="str">
        <f t="shared" si="86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862"/>
        <v>40909</v>
      </c>
      <c r="D3829" s="4">
        <f t="shared" si="863"/>
        <v>0.46448087431693991</v>
      </c>
      <c r="E3829" s="3">
        <f t="shared" si="864"/>
        <v>2012</v>
      </c>
      <c r="F3829" s="3">
        <f t="shared" si="865"/>
        <v>6</v>
      </c>
      <c r="G3829" s="3">
        <f t="shared" si="866"/>
        <v>19</v>
      </c>
      <c r="H3829" s="3">
        <f t="shared" si="867"/>
        <v>22</v>
      </c>
      <c r="I3829" s="3">
        <f t="shared" si="868"/>
        <v>34</v>
      </c>
      <c r="J3829" s="3">
        <f t="shared" si="86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870"/>
        <v>YES</v>
      </c>
      <c r="Q3829" t="str">
        <f t="shared" si="871"/>
        <v>NO</v>
      </c>
      <c r="R3829" t="str">
        <f t="shared" si="872"/>
        <v>NO</v>
      </c>
      <c r="T3829" t="s">
        <v>587</v>
      </c>
      <c r="U3829" t="str">
        <f t="shared" si="859"/>
        <v>Webster Ave</v>
      </c>
      <c r="V3829" t="s">
        <v>2344</v>
      </c>
      <c r="W3829" t="str">
        <f t="shared" si="860"/>
        <v>Bristol St</v>
      </c>
      <c r="X3829" t="str">
        <f>IF(ISBLANK(S3829),"Intersection","Non-Intersection")</f>
        <v>Intersection</v>
      </c>
      <c r="Y3829" t="s">
        <v>2345</v>
      </c>
      <c r="Z3829" t="str">
        <f t="shared" si="86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862"/>
        <v>40909</v>
      </c>
      <c r="D3830" s="4">
        <f t="shared" si="863"/>
        <v>0.46721311475409838</v>
      </c>
      <c r="E3830" s="3">
        <f t="shared" si="864"/>
        <v>2012</v>
      </c>
      <c r="F3830" s="3">
        <f t="shared" si="865"/>
        <v>6</v>
      </c>
      <c r="G3830" s="3">
        <f t="shared" si="866"/>
        <v>20</v>
      </c>
      <c r="H3830" s="3">
        <f t="shared" si="867"/>
        <v>12</v>
      </c>
      <c r="I3830" s="3">
        <f t="shared" si="868"/>
        <v>49</v>
      </c>
      <c r="J3830" s="3">
        <f t="shared" si="86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870"/>
        <v>YES</v>
      </c>
      <c r="Q3830" t="str">
        <f t="shared" si="871"/>
        <v>NO</v>
      </c>
      <c r="R3830" t="str">
        <f t="shared" si="872"/>
        <v>NO</v>
      </c>
      <c r="T3830" t="s">
        <v>198</v>
      </c>
      <c r="U3830" t="str">
        <f t="shared" si="859"/>
        <v>Mount Auburn St</v>
      </c>
      <c r="V3830" t="s">
        <v>325</v>
      </c>
      <c r="W3830" t="str">
        <f t="shared" si="860"/>
        <v>Eliot St</v>
      </c>
      <c r="X3830" t="str">
        <f>IF(ISBLANK(S3830),"Intersection","Non-Intersection")</f>
        <v>Intersection</v>
      </c>
      <c r="Y3830" t="s">
        <v>2041</v>
      </c>
      <c r="Z3830" t="str">
        <f t="shared" si="86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862"/>
        <v>40909</v>
      </c>
      <c r="D3831" s="4">
        <f t="shared" si="863"/>
        <v>0.46721311475409838</v>
      </c>
      <c r="E3831" s="3">
        <f t="shared" si="864"/>
        <v>2012</v>
      </c>
      <c r="F3831" s="3">
        <f t="shared" si="865"/>
        <v>6</v>
      </c>
      <c r="G3831" s="3">
        <f t="shared" si="866"/>
        <v>20</v>
      </c>
      <c r="H3831" s="3">
        <f t="shared" si="867"/>
        <v>17</v>
      </c>
      <c r="I3831" s="3">
        <f t="shared" si="868"/>
        <v>41</v>
      </c>
      <c r="J3831" s="3">
        <f t="shared" si="86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870"/>
        <v>YES</v>
      </c>
      <c r="Q3831" t="str">
        <f t="shared" si="871"/>
        <v>YES</v>
      </c>
      <c r="R3831" t="str">
        <f t="shared" si="872"/>
        <v>NO</v>
      </c>
      <c r="T3831" t="s">
        <v>14</v>
      </c>
      <c r="U3831" t="str">
        <f t="shared" si="859"/>
        <v>Massachusetts Ave</v>
      </c>
      <c r="V3831" t="s">
        <v>192</v>
      </c>
      <c r="W3831" t="str">
        <f t="shared" si="860"/>
        <v>Hancock St</v>
      </c>
      <c r="X3831" t="str">
        <f>IF(ISBLANK(S3831),"Intersection","Non-Intersection")</f>
        <v>Intersection</v>
      </c>
      <c r="Y3831" t="s">
        <v>193</v>
      </c>
      <c r="Z3831" t="str">
        <f t="shared" si="86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862"/>
        <v>40909</v>
      </c>
      <c r="D3832" s="4">
        <f t="shared" si="863"/>
        <v>0.46721311475409838</v>
      </c>
      <c r="E3832" s="3">
        <f t="shared" si="864"/>
        <v>2012</v>
      </c>
      <c r="F3832" s="3">
        <f t="shared" si="865"/>
        <v>6</v>
      </c>
      <c r="G3832" s="3">
        <f t="shared" si="866"/>
        <v>20</v>
      </c>
      <c r="H3832" s="3">
        <f t="shared" si="867"/>
        <v>17</v>
      </c>
      <c r="I3832" s="3">
        <f t="shared" si="868"/>
        <v>0</v>
      </c>
      <c r="J3832" s="3">
        <f t="shared" si="86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870"/>
        <v>YES</v>
      </c>
      <c r="Q3832" t="str">
        <f t="shared" si="871"/>
        <v>NO</v>
      </c>
      <c r="R3832" t="str">
        <f t="shared" si="872"/>
        <v>NO</v>
      </c>
      <c r="S3832">
        <v>91</v>
      </c>
      <c r="T3832" t="s">
        <v>195</v>
      </c>
      <c r="U3832" t="str">
        <f t="shared" si="859"/>
        <v>Sidney St</v>
      </c>
      <c r="W3832" t="str">
        <f t="shared" si="860"/>
        <v/>
      </c>
      <c r="X3832" t="str">
        <f>IF(ISBLANK(S3832),"Intersection","Non-Intersection")</f>
        <v>Non-Intersection</v>
      </c>
      <c r="Y3832" t="s">
        <v>613</v>
      </c>
      <c r="Z3832" t="str">
        <f t="shared" si="86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862"/>
        <v>40909</v>
      </c>
      <c r="D3833" s="4">
        <f t="shared" si="863"/>
        <v>0.46721311475409838</v>
      </c>
      <c r="E3833" s="3">
        <f t="shared" si="864"/>
        <v>2012</v>
      </c>
      <c r="F3833" s="3">
        <f t="shared" si="865"/>
        <v>6</v>
      </c>
      <c r="G3833" s="3">
        <f t="shared" si="866"/>
        <v>20</v>
      </c>
      <c r="H3833" s="3">
        <f t="shared" si="867"/>
        <v>14</v>
      </c>
      <c r="I3833" s="3">
        <f t="shared" si="868"/>
        <v>48</v>
      </c>
      <c r="J3833" s="3">
        <f t="shared" si="86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870"/>
        <v>YES</v>
      </c>
      <c r="Q3833" t="str">
        <f t="shared" si="871"/>
        <v>NO</v>
      </c>
      <c r="R3833" t="str">
        <f t="shared" si="872"/>
        <v>NO</v>
      </c>
      <c r="T3833" t="s">
        <v>32</v>
      </c>
      <c r="U3833" t="str">
        <f t="shared" si="859"/>
        <v>Main St</v>
      </c>
      <c r="V3833" t="s">
        <v>202</v>
      </c>
      <c r="W3833" t="str">
        <f t="shared" si="860"/>
        <v>Vassar St</v>
      </c>
      <c r="X3833" t="str">
        <f>IF(ISBLANK(S3833),"Intersection","Non-Intersection")</f>
        <v>Intersection</v>
      </c>
      <c r="Y3833" t="s">
        <v>772</v>
      </c>
      <c r="Z3833" t="str">
        <f t="shared" si="86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862"/>
        <v>40909</v>
      </c>
      <c r="D3834" s="4">
        <f t="shared" si="863"/>
        <v>0.46994535519125685</v>
      </c>
      <c r="E3834" s="3">
        <f t="shared" si="864"/>
        <v>2012</v>
      </c>
      <c r="F3834" s="3">
        <f t="shared" si="865"/>
        <v>6</v>
      </c>
      <c r="G3834" s="3">
        <f t="shared" si="866"/>
        <v>21</v>
      </c>
      <c r="H3834" s="3">
        <f t="shared" si="867"/>
        <v>9</v>
      </c>
      <c r="I3834" s="3">
        <f t="shared" si="868"/>
        <v>0</v>
      </c>
      <c r="J3834" s="3">
        <f t="shared" si="86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870"/>
        <v>YES</v>
      </c>
      <c r="Q3834" t="str">
        <f t="shared" si="871"/>
        <v>NO</v>
      </c>
      <c r="R3834" t="str">
        <f t="shared" si="872"/>
        <v>NO</v>
      </c>
      <c r="T3834" t="s">
        <v>1615</v>
      </c>
      <c r="U3834" t="str">
        <f t="shared" si="859"/>
        <v>Kendall Sq</v>
      </c>
      <c r="W3834" t="str">
        <f t="shared" si="860"/>
        <v/>
      </c>
      <c r="X3834" t="str">
        <f>IF(ISBLANK(S3834),"Intersection","Non-Intersection")</f>
        <v>Intersection</v>
      </c>
      <c r="Y3834" t="s">
        <v>4657</v>
      </c>
      <c r="Z3834" t="str">
        <f t="shared" si="86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862"/>
        <v>40909</v>
      </c>
      <c r="D3835" s="4">
        <f t="shared" si="863"/>
        <v>0.46994535519125685</v>
      </c>
      <c r="E3835" s="3">
        <f t="shared" si="864"/>
        <v>2012</v>
      </c>
      <c r="F3835" s="3">
        <f t="shared" si="865"/>
        <v>6</v>
      </c>
      <c r="G3835" s="3">
        <f t="shared" si="866"/>
        <v>21</v>
      </c>
      <c r="H3835" s="3">
        <f t="shared" si="867"/>
        <v>14</v>
      </c>
      <c r="I3835" s="3">
        <f t="shared" si="868"/>
        <v>0</v>
      </c>
      <c r="J3835" s="3">
        <f t="shared" si="86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870"/>
        <v>YES</v>
      </c>
      <c r="Q3835" t="str">
        <f t="shared" si="871"/>
        <v>NO</v>
      </c>
      <c r="R3835" t="str">
        <f t="shared" si="872"/>
        <v>NO</v>
      </c>
      <c r="S3835">
        <v>247</v>
      </c>
      <c r="T3835" t="s">
        <v>116</v>
      </c>
      <c r="U3835" t="str">
        <f t="shared" si="859"/>
        <v>Chestnut St</v>
      </c>
      <c r="V3835" t="s">
        <v>178</v>
      </c>
      <c r="W3835" t="str">
        <f t="shared" si="860"/>
        <v>Pleasant St</v>
      </c>
      <c r="X3835" t="str">
        <f>IF(ISBLANK(S3835),"Intersection","Non-Intersection")</f>
        <v>Non-Intersection</v>
      </c>
      <c r="Y3835" t="s">
        <v>4658</v>
      </c>
      <c r="Z3835" t="str">
        <f t="shared" si="86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862"/>
        <v>40909</v>
      </c>
      <c r="D3836" s="4">
        <f t="shared" si="863"/>
        <v>0.46994535519125685</v>
      </c>
      <c r="E3836" s="3">
        <f t="shared" si="864"/>
        <v>2012</v>
      </c>
      <c r="F3836" s="3">
        <f t="shared" si="865"/>
        <v>6</v>
      </c>
      <c r="G3836" s="3">
        <f t="shared" si="866"/>
        <v>21</v>
      </c>
      <c r="H3836" s="3">
        <f t="shared" si="867"/>
        <v>15</v>
      </c>
      <c r="I3836" s="3">
        <f t="shared" si="868"/>
        <v>2</v>
      </c>
      <c r="J3836" s="3">
        <f t="shared" si="86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870"/>
        <v>YES</v>
      </c>
      <c r="Q3836" t="str">
        <f t="shared" si="871"/>
        <v>NO</v>
      </c>
      <c r="R3836" t="str">
        <f t="shared" si="872"/>
        <v>NO</v>
      </c>
      <c r="T3836" t="s">
        <v>61</v>
      </c>
      <c r="U3836" t="str">
        <f t="shared" si="859"/>
        <v>First St</v>
      </c>
      <c r="V3836" t="s">
        <v>698</v>
      </c>
      <c r="W3836" t="str">
        <f t="shared" si="860"/>
        <v>Thorndike St</v>
      </c>
      <c r="X3836" t="str">
        <f>IF(ISBLANK(S3836),"Intersection","Non-Intersection")</f>
        <v>Intersection</v>
      </c>
      <c r="Y3836" t="s">
        <v>4660</v>
      </c>
      <c r="Z3836" t="str">
        <f t="shared" si="86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862"/>
        <v>40909</v>
      </c>
      <c r="D3837" s="4">
        <f t="shared" si="863"/>
        <v>0.47267759562841533</v>
      </c>
      <c r="E3837" s="3">
        <f t="shared" si="864"/>
        <v>2012</v>
      </c>
      <c r="F3837" s="3">
        <f t="shared" si="865"/>
        <v>6</v>
      </c>
      <c r="G3837" s="3">
        <f t="shared" si="866"/>
        <v>22</v>
      </c>
      <c r="H3837" s="3">
        <f t="shared" si="867"/>
        <v>15</v>
      </c>
      <c r="I3837" s="3">
        <f t="shared" si="868"/>
        <v>0</v>
      </c>
      <c r="J3837" s="3">
        <f t="shared" si="86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870"/>
        <v>YES</v>
      </c>
      <c r="Q3837" t="str">
        <f t="shared" si="871"/>
        <v>NO</v>
      </c>
      <c r="R3837" t="str">
        <f t="shared" si="872"/>
        <v>NO</v>
      </c>
      <c r="S3837">
        <v>152</v>
      </c>
      <c r="T3837" t="s">
        <v>41</v>
      </c>
      <c r="U3837" t="str">
        <f t="shared" si="859"/>
        <v>River St</v>
      </c>
      <c r="W3837" t="str">
        <f t="shared" si="860"/>
        <v/>
      </c>
      <c r="X3837" t="str">
        <f>IF(ISBLANK(S3837),"Intersection","Non-Intersection")</f>
        <v>Non-Intersection</v>
      </c>
      <c r="Y3837" t="s">
        <v>4661</v>
      </c>
      <c r="Z3837" t="str">
        <f t="shared" si="86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862"/>
        <v>40909</v>
      </c>
      <c r="D3838" s="4">
        <f t="shared" si="863"/>
        <v>0.47267759562841533</v>
      </c>
      <c r="E3838" s="3">
        <f t="shared" si="864"/>
        <v>2012</v>
      </c>
      <c r="F3838" s="3">
        <f t="shared" si="865"/>
        <v>6</v>
      </c>
      <c r="G3838" s="3">
        <f t="shared" si="866"/>
        <v>22</v>
      </c>
      <c r="H3838" s="3">
        <f t="shared" si="867"/>
        <v>15</v>
      </c>
      <c r="I3838" s="3">
        <f t="shared" si="868"/>
        <v>40</v>
      </c>
      <c r="J3838" s="3">
        <f t="shared" si="86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870"/>
        <v>YES</v>
      </c>
      <c r="Q3838" t="str">
        <f t="shared" si="871"/>
        <v>YES</v>
      </c>
      <c r="R3838" t="str">
        <f t="shared" si="872"/>
        <v>NO</v>
      </c>
      <c r="T3838" t="s">
        <v>14</v>
      </c>
      <c r="U3838" t="str">
        <f t="shared" si="859"/>
        <v>Massachusetts Ave</v>
      </c>
      <c r="V3838" t="s">
        <v>57</v>
      </c>
      <c r="W3838" t="str">
        <f t="shared" si="860"/>
        <v>Everett St</v>
      </c>
      <c r="X3838" t="str">
        <f>IF(ISBLANK(S3838),"Intersection","Non-Intersection")</f>
        <v>Intersection</v>
      </c>
      <c r="Y3838" t="s">
        <v>58</v>
      </c>
      <c r="Z3838" t="str">
        <f t="shared" si="86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862"/>
        <v>40909</v>
      </c>
      <c r="D3839" s="4">
        <f t="shared" si="863"/>
        <v>0.47267759562841533</v>
      </c>
      <c r="E3839" s="3">
        <f t="shared" si="864"/>
        <v>2012</v>
      </c>
      <c r="F3839" s="3">
        <f t="shared" si="865"/>
        <v>6</v>
      </c>
      <c r="G3839" s="3">
        <f t="shared" si="866"/>
        <v>22</v>
      </c>
      <c r="H3839" s="3">
        <f t="shared" si="867"/>
        <v>15</v>
      </c>
      <c r="I3839" s="3">
        <f t="shared" si="868"/>
        <v>59</v>
      </c>
      <c r="J3839" s="3">
        <f t="shared" si="86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870"/>
        <v>YES</v>
      </c>
      <c r="Q3839" t="str">
        <f t="shared" si="871"/>
        <v>NO</v>
      </c>
      <c r="R3839" t="str">
        <f t="shared" si="872"/>
        <v>NO</v>
      </c>
      <c r="S3839">
        <v>222</v>
      </c>
      <c r="T3839" t="s">
        <v>170</v>
      </c>
      <c r="U3839" t="str">
        <f t="shared" si="859"/>
        <v>Alewife Brook Pky</v>
      </c>
      <c r="W3839" t="str">
        <f t="shared" si="860"/>
        <v/>
      </c>
      <c r="X3839" t="str">
        <f>IF(ISBLANK(S3839),"Intersection","Non-Intersection")</f>
        <v>Non-Intersection</v>
      </c>
      <c r="Y3839" t="s">
        <v>4663</v>
      </c>
      <c r="Z3839" t="str">
        <f t="shared" si="86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862"/>
        <v>40909</v>
      </c>
      <c r="D3840" s="4">
        <f t="shared" si="863"/>
        <v>0.47267759562841533</v>
      </c>
      <c r="E3840" s="3">
        <f t="shared" si="864"/>
        <v>2012</v>
      </c>
      <c r="F3840" s="3">
        <f t="shared" si="865"/>
        <v>6</v>
      </c>
      <c r="G3840" s="3">
        <f t="shared" si="866"/>
        <v>22</v>
      </c>
      <c r="H3840" s="3">
        <f t="shared" si="867"/>
        <v>18</v>
      </c>
      <c r="I3840" s="3">
        <f t="shared" si="868"/>
        <v>20</v>
      </c>
      <c r="J3840" s="3">
        <f t="shared" si="86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870"/>
        <v>YES</v>
      </c>
      <c r="Q3840" t="str">
        <f t="shared" si="871"/>
        <v>NO</v>
      </c>
      <c r="R3840" t="str">
        <f t="shared" si="872"/>
        <v>NO</v>
      </c>
      <c r="T3840" t="s">
        <v>14</v>
      </c>
      <c r="U3840" t="str">
        <f t="shared" si="859"/>
        <v>Massachusetts Ave</v>
      </c>
      <c r="V3840" t="s">
        <v>15</v>
      </c>
      <c r="W3840" t="str">
        <f t="shared" si="860"/>
        <v>Rindge Ave</v>
      </c>
      <c r="X3840" t="str">
        <f>IF(ISBLANK(S3840),"Intersection","Non-Intersection")</f>
        <v>Intersection</v>
      </c>
      <c r="Y3840" t="s">
        <v>16</v>
      </c>
      <c r="Z3840" t="str">
        <f t="shared" si="86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862"/>
        <v>40909</v>
      </c>
      <c r="D3841" s="4">
        <f t="shared" si="863"/>
        <v>0.47540983606557374</v>
      </c>
      <c r="E3841" s="3">
        <f t="shared" si="864"/>
        <v>2012</v>
      </c>
      <c r="F3841" s="3">
        <f t="shared" si="865"/>
        <v>6</v>
      </c>
      <c r="G3841" s="3">
        <f t="shared" si="866"/>
        <v>23</v>
      </c>
      <c r="H3841" s="3">
        <f t="shared" si="867"/>
        <v>15</v>
      </c>
      <c r="I3841" s="3">
        <f t="shared" si="868"/>
        <v>0</v>
      </c>
      <c r="J3841" s="3">
        <f t="shared" si="86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870"/>
        <v>YES</v>
      </c>
      <c r="Q3841" t="str">
        <f t="shared" si="871"/>
        <v>NO</v>
      </c>
      <c r="R3841" t="str">
        <f t="shared" si="872"/>
        <v>NO</v>
      </c>
      <c r="S3841">
        <v>121</v>
      </c>
      <c r="T3841" t="s">
        <v>216</v>
      </c>
      <c r="U3841" t="str">
        <f t="shared" si="859"/>
        <v>Washington Ave</v>
      </c>
      <c r="W3841" t="str">
        <f t="shared" si="860"/>
        <v/>
      </c>
      <c r="X3841" t="str">
        <f>IF(ISBLANK(S3841),"Intersection","Non-Intersection")</f>
        <v>Non-Intersection</v>
      </c>
      <c r="Y3841" t="s">
        <v>741</v>
      </c>
      <c r="Z3841" t="str">
        <f t="shared" si="86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862"/>
        <v>40909</v>
      </c>
      <c r="D3842" s="4">
        <f t="shared" si="863"/>
        <v>0.47540983606557374</v>
      </c>
      <c r="E3842" s="3">
        <f t="shared" si="864"/>
        <v>2012</v>
      </c>
      <c r="F3842" s="3">
        <f t="shared" si="865"/>
        <v>6</v>
      </c>
      <c r="G3842" s="3">
        <f t="shared" si="866"/>
        <v>23</v>
      </c>
      <c r="H3842" s="3">
        <f t="shared" si="867"/>
        <v>15</v>
      </c>
      <c r="I3842" s="3">
        <f t="shared" si="868"/>
        <v>20</v>
      </c>
      <c r="J3842" s="3">
        <f t="shared" si="86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870"/>
        <v>YES</v>
      </c>
      <c r="Q3842" t="str">
        <f t="shared" si="871"/>
        <v>NO</v>
      </c>
      <c r="R3842" t="str">
        <f t="shared" si="872"/>
        <v>NO</v>
      </c>
      <c r="T3842" t="s">
        <v>1991</v>
      </c>
      <c r="U3842" t="str">
        <f t="shared" si="859"/>
        <v>Jackson Pl</v>
      </c>
      <c r="V3842" t="s">
        <v>15</v>
      </c>
      <c r="W3842" t="str">
        <f t="shared" si="860"/>
        <v>Rindge Ave</v>
      </c>
      <c r="X3842" t="str">
        <f>IF(ISBLANK(S3842),"Intersection","Non-Intersection")</f>
        <v>Intersection</v>
      </c>
      <c r="Y3842" t="s">
        <v>4336</v>
      </c>
      <c r="Z3842" t="str">
        <f t="shared" si="86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862"/>
        <v>40909</v>
      </c>
      <c r="D3843" s="4">
        <f t="shared" si="863"/>
        <v>0.47540983606557374</v>
      </c>
      <c r="E3843" s="3">
        <f t="shared" si="864"/>
        <v>2012</v>
      </c>
      <c r="F3843" s="3">
        <f t="shared" si="865"/>
        <v>6</v>
      </c>
      <c r="G3843" s="3">
        <f t="shared" si="866"/>
        <v>23</v>
      </c>
      <c r="H3843" s="3">
        <f t="shared" si="867"/>
        <v>18</v>
      </c>
      <c r="I3843" s="3">
        <f t="shared" si="868"/>
        <v>4</v>
      </c>
      <c r="J3843" s="3">
        <f t="shared" si="86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870"/>
        <v>YES</v>
      </c>
      <c r="Q3843" t="str">
        <f t="shared" si="871"/>
        <v>NO</v>
      </c>
      <c r="R3843" t="str">
        <f t="shared" si="872"/>
        <v>NO</v>
      </c>
      <c r="S3843">
        <v>705</v>
      </c>
      <c r="T3843" t="s">
        <v>198</v>
      </c>
      <c r="U3843" t="str">
        <f t="shared" ref="U3843:U3906" si="873">TRIM(PROPER(T3843))</f>
        <v>Mount Auburn St</v>
      </c>
      <c r="W3843" t="str">
        <f t="shared" ref="W3843:W3906" si="874">TRIM(PROPER(V3843))</f>
        <v/>
      </c>
      <c r="X3843" t="str">
        <f>IF(ISBLANK(S3843),"Intersection","Non-Intersection")</f>
        <v>Non-Intersection</v>
      </c>
      <c r="Y3843" t="s">
        <v>4665</v>
      </c>
      <c r="Z3843" t="str">
        <f t="shared" ref="Z3843:Z3906" si="875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862"/>
        <v>40909</v>
      </c>
      <c r="D3844" s="4">
        <f t="shared" si="863"/>
        <v>0.47540983606557374</v>
      </c>
      <c r="E3844" s="3">
        <f t="shared" si="864"/>
        <v>2012</v>
      </c>
      <c r="F3844" s="3">
        <f t="shared" si="865"/>
        <v>6</v>
      </c>
      <c r="G3844" s="3">
        <f t="shared" si="866"/>
        <v>23</v>
      </c>
      <c r="H3844" s="3">
        <f t="shared" si="867"/>
        <v>15</v>
      </c>
      <c r="I3844" s="3">
        <f t="shared" si="868"/>
        <v>59</v>
      </c>
      <c r="J3844" s="3">
        <f t="shared" si="86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870"/>
        <v>YES</v>
      </c>
      <c r="Q3844" t="str">
        <f t="shared" si="871"/>
        <v>NO</v>
      </c>
      <c r="R3844" t="str">
        <f t="shared" si="872"/>
        <v>NO</v>
      </c>
      <c r="S3844">
        <v>35</v>
      </c>
      <c r="T3844" t="s">
        <v>1755</v>
      </c>
      <c r="U3844" t="str">
        <f t="shared" si="873"/>
        <v>West St</v>
      </c>
      <c r="W3844" t="str">
        <f t="shared" si="874"/>
        <v/>
      </c>
      <c r="X3844" t="str">
        <f>IF(ISBLANK(S3844),"Intersection","Non-Intersection")</f>
        <v>Non-Intersection</v>
      </c>
      <c r="Y3844" t="s">
        <v>4667</v>
      </c>
      <c r="Z3844" t="str">
        <f t="shared" si="875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862"/>
        <v>40909</v>
      </c>
      <c r="D3845" s="4">
        <f t="shared" si="863"/>
        <v>0.47540983606557374</v>
      </c>
      <c r="E3845" s="3">
        <f t="shared" si="864"/>
        <v>2012</v>
      </c>
      <c r="F3845" s="3">
        <f t="shared" si="865"/>
        <v>6</v>
      </c>
      <c r="G3845" s="3">
        <f t="shared" si="866"/>
        <v>23</v>
      </c>
      <c r="H3845" s="3">
        <f t="shared" si="867"/>
        <v>23</v>
      </c>
      <c r="I3845" s="3">
        <f t="shared" si="868"/>
        <v>19</v>
      </c>
      <c r="J3845" s="3">
        <f t="shared" si="86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870"/>
        <v>YES</v>
      </c>
      <c r="Q3845" t="str">
        <f t="shared" si="871"/>
        <v>NO</v>
      </c>
      <c r="R3845" t="str">
        <f t="shared" si="872"/>
        <v>NO</v>
      </c>
      <c r="S3845">
        <v>22</v>
      </c>
      <c r="T3845" t="s">
        <v>325</v>
      </c>
      <c r="U3845" t="str">
        <f t="shared" si="873"/>
        <v>Eliot St</v>
      </c>
      <c r="W3845" t="str">
        <f t="shared" si="874"/>
        <v/>
      </c>
      <c r="X3845" t="str">
        <f>IF(ISBLANK(S3845),"Intersection","Non-Intersection")</f>
        <v>Non-Intersection</v>
      </c>
      <c r="Y3845" t="s">
        <v>1076</v>
      </c>
      <c r="Z3845" t="str">
        <f t="shared" si="875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862"/>
        <v>40909</v>
      </c>
      <c r="D3846" s="4">
        <f t="shared" si="863"/>
        <v>0.47814207650273222</v>
      </c>
      <c r="E3846" s="3">
        <f t="shared" si="864"/>
        <v>2012</v>
      </c>
      <c r="F3846" s="3">
        <f t="shared" si="865"/>
        <v>6</v>
      </c>
      <c r="G3846" s="3">
        <f t="shared" si="866"/>
        <v>24</v>
      </c>
      <c r="H3846" s="3">
        <f t="shared" si="867"/>
        <v>13</v>
      </c>
      <c r="I3846" s="3">
        <f t="shared" si="868"/>
        <v>15</v>
      </c>
      <c r="J3846" s="3">
        <f t="shared" si="86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870"/>
        <v>YES</v>
      </c>
      <c r="Q3846" t="str">
        <f t="shared" si="871"/>
        <v>NO</v>
      </c>
      <c r="R3846" t="str">
        <f t="shared" si="872"/>
        <v>NO</v>
      </c>
      <c r="T3846" t="s">
        <v>14</v>
      </c>
      <c r="U3846" t="str">
        <f t="shared" si="873"/>
        <v>Massachusetts Ave</v>
      </c>
      <c r="V3846" t="s">
        <v>202</v>
      </c>
      <c r="W3846" t="str">
        <f t="shared" si="874"/>
        <v>Vassar St</v>
      </c>
      <c r="X3846" t="str">
        <f>IF(ISBLANK(S3846),"Intersection","Non-Intersection")</f>
        <v>Intersection</v>
      </c>
      <c r="Y3846" t="s">
        <v>361</v>
      </c>
      <c r="Z3846" t="str">
        <f t="shared" si="875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862"/>
        <v>40909</v>
      </c>
      <c r="D3847" s="4">
        <f t="shared" si="863"/>
        <v>0.47814207650273222</v>
      </c>
      <c r="E3847" s="3">
        <f t="shared" si="864"/>
        <v>2012</v>
      </c>
      <c r="F3847" s="3">
        <f t="shared" si="865"/>
        <v>6</v>
      </c>
      <c r="G3847" s="3">
        <f t="shared" si="866"/>
        <v>24</v>
      </c>
      <c r="H3847" s="3">
        <f t="shared" si="867"/>
        <v>13</v>
      </c>
      <c r="I3847" s="3">
        <f t="shared" si="868"/>
        <v>51</v>
      </c>
      <c r="J3847" s="3">
        <f t="shared" si="86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870"/>
        <v>YES</v>
      </c>
      <c r="Q3847" t="str">
        <f t="shared" si="871"/>
        <v>NO</v>
      </c>
      <c r="R3847" t="str">
        <f t="shared" si="872"/>
        <v>NO</v>
      </c>
      <c r="S3847">
        <v>84</v>
      </c>
      <c r="T3847" t="s">
        <v>14</v>
      </c>
      <c r="U3847" t="str">
        <f t="shared" si="873"/>
        <v>Massachusetts Ave</v>
      </c>
      <c r="W3847" t="str">
        <f t="shared" si="874"/>
        <v/>
      </c>
      <c r="X3847" t="str">
        <f>IF(ISBLANK(S3847),"Intersection","Non-Intersection")</f>
        <v>Non-Intersection</v>
      </c>
      <c r="Y3847" t="s">
        <v>888</v>
      </c>
      <c r="Z3847" t="str">
        <f t="shared" si="875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862"/>
        <v>40909</v>
      </c>
      <c r="D3848" s="4">
        <f t="shared" si="863"/>
        <v>0.47814207650273222</v>
      </c>
      <c r="E3848" s="3">
        <f t="shared" si="864"/>
        <v>2012</v>
      </c>
      <c r="F3848" s="3">
        <f t="shared" si="865"/>
        <v>6</v>
      </c>
      <c r="G3848" s="3">
        <f t="shared" si="866"/>
        <v>24</v>
      </c>
      <c r="H3848" s="3">
        <f t="shared" si="867"/>
        <v>14</v>
      </c>
      <c r="I3848" s="3">
        <f t="shared" si="868"/>
        <v>0</v>
      </c>
      <c r="J3848" s="3">
        <f t="shared" si="86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870"/>
        <v>YES</v>
      </c>
      <c r="Q3848" t="str">
        <f t="shared" si="871"/>
        <v>NO</v>
      </c>
      <c r="R3848" t="str">
        <f t="shared" si="872"/>
        <v>NO</v>
      </c>
      <c r="S3848">
        <v>321</v>
      </c>
      <c r="T3848" t="s">
        <v>105</v>
      </c>
      <c r="U3848" t="str">
        <f t="shared" si="873"/>
        <v>Broadway</v>
      </c>
      <c r="W3848" t="str">
        <f t="shared" si="874"/>
        <v/>
      </c>
      <c r="X3848" t="str">
        <f>IF(ISBLANK(S3848),"Intersection","Non-Intersection")</f>
        <v>Non-Intersection</v>
      </c>
      <c r="Y3848" t="s">
        <v>1901</v>
      </c>
      <c r="Z3848" t="str">
        <f t="shared" si="875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862"/>
        <v>40909</v>
      </c>
      <c r="D3849" s="4">
        <f t="shared" si="863"/>
        <v>0.48087431693989069</v>
      </c>
      <c r="E3849" s="3">
        <f t="shared" si="864"/>
        <v>2012</v>
      </c>
      <c r="F3849" s="3">
        <f t="shared" si="865"/>
        <v>6</v>
      </c>
      <c r="G3849" s="3">
        <f t="shared" si="866"/>
        <v>25</v>
      </c>
      <c r="H3849" s="3">
        <f t="shared" si="867"/>
        <v>18</v>
      </c>
      <c r="I3849" s="3">
        <f t="shared" si="868"/>
        <v>40</v>
      </c>
      <c r="J3849" s="3">
        <f t="shared" si="86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870"/>
        <v>YES</v>
      </c>
      <c r="Q3849" t="str">
        <f t="shared" si="871"/>
        <v>NO</v>
      </c>
      <c r="R3849" t="str">
        <f t="shared" si="872"/>
        <v>NO</v>
      </c>
      <c r="S3849">
        <v>312</v>
      </c>
      <c r="T3849" t="s">
        <v>186</v>
      </c>
      <c r="U3849" t="str">
        <f t="shared" si="873"/>
        <v>Concord Ave</v>
      </c>
      <c r="W3849" t="str">
        <f t="shared" si="874"/>
        <v/>
      </c>
      <c r="X3849" t="str">
        <f>IF(ISBLANK(S3849),"Intersection","Non-Intersection")</f>
        <v>Non-Intersection</v>
      </c>
      <c r="Y3849" t="s">
        <v>4671</v>
      </c>
      <c r="Z3849" t="str">
        <f t="shared" si="875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862"/>
        <v>40909</v>
      </c>
      <c r="D3850" s="4">
        <f t="shared" si="863"/>
        <v>0.48360655737704916</v>
      </c>
      <c r="E3850" s="3">
        <f t="shared" si="864"/>
        <v>2012</v>
      </c>
      <c r="F3850" s="3">
        <f t="shared" si="865"/>
        <v>6</v>
      </c>
      <c r="G3850" s="3">
        <f t="shared" si="866"/>
        <v>26</v>
      </c>
      <c r="H3850" s="3">
        <f t="shared" si="867"/>
        <v>12</v>
      </c>
      <c r="I3850" s="3">
        <f t="shared" si="868"/>
        <v>30</v>
      </c>
      <c r="J3850" s="3">
        <f t="shared" si="86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870"/>
        <v>YES</v>
      </c>
      <c r="Q3850" t="str">
        <f t="shared" si="871"/>
        <v>NO</v>
      </c>
      <c r="R3850" t="str">
        <f t="shared" si="872"/>
        <v>NO</v>
      </c>
      <c r="S3850">
        <v>135</v>
      </c>
      <c r="T3850" t="s">
        <v>101</v>
      </c>
      <c r="U3850" t="str">
        <f t="shared" si="873"/>
        <v>Columbia St</v>
      </c>
      <c r="W3850" t="str">
        <f t="shared" si="874"/>
        <v/>
      </c>
      <c r="X3850" t="str">
        <f>IF(ISBLANK(S3850),"Intersection","Non-Intersection")</f>
        <v>Non-Intersection</v>
      </c>
      <c r="Y3850" t="s">
        <v>4673</v>
      </c>
      <c r="Z3850" t="str">
        <f t="shared" si="875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876">EOMONTH(B3851,MONTH(B3851)*-1)+1</f>
        <v>40909</v>
      </c>
      <c r="D3851" s="4">
        <f t="shared" ref="D3851:D3911" si="877">YEARFRAC(C3851,B3851,1)</f>
        <v>0.48360655737704916</v>
      </c>
      <c r="E3851" s="3">
        <f t="shared" ref="E3851:E3911" si="878">YEAR(B3851)</f>
        <v>2012</v>
      </c>
      <c r="F3851" s="3">
        <f t="shared" ref="F3851:F3911" si="879">MONTH(B3851)</f>
        <v>6</v>
      </c>
      <c r="G3851" s="3">
        <f t="shared" ref="G3851:G3911" si="880">DAY(B3851)</f>
        <v>26</v>
      </c>
      <c r="H3851" s="3">
        <f t="shared" ref="H3851:H3911" si="881">HOUR(B3851)</f>
        <v>11</v>
      </c>
      <c r="I3851" s="3">
        <f t="shared" ref="I3851:I3911" si="882">MINUTE(B3851)</f>
        <v>20</v>
      </c>
      <c r="J3851" s="3">
        <f t="shared" ref="J3851:J3911" si="883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884">IF(OR(N3851="Auto",O3851="Auto"),"YES",IF(OR(N3851="Taxi",O3851="Taxi"),"YES",IF(OR(N3851="Van",O3851="Van"),"YES",IF(OR(N3851="Truck",O3851="Truck"),"YES","NO"))))</f>
        <v>YES</v>
      </c>
      <c r="Q3851" t="str">
        <f t="shared" ref="Q3851:Q3911" si="885">IF(OR(N3851="Bicycle",O3851="Bicycle"),"YES","NO")</f>
        <v>YES</v>
      </c>
      <c r="R3851" t="str">
        <f t="shared" ref="R3851:R3911" si="886">IF(OR(N3851="Pedestrian",O3851="Pedestrian"),"YES","NO")</f>
        <v>NO</v>
      </c>
      <c r="T3851" t="s">
        <v>14</v>
      </c>
      <c r="U3851" t="str">
        <f t="shared" si="873"/>
        <v>Massachusetts Ave</v>
      </c>
      <c r="V3851" t="s">
        <v>354</v>
      </c>
      <c r="W3851" t="str">
        <f t="shared" si="874"/>
        <v>Linnaean St</v>
      </c>
      <c r="X3851" t="str">
        <f>IF(ISBLANK(S3851),"Intersection","Non-Intersection")</f>
        <v>Intersection</v>
      </c>
      <c r="Y3851" t="s">
        <v>1234</v>
      </c>
      <c r="Z3851" t="str">
        <f t="shared" si="875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876"/>
        <v>40909</v>
      </c>
      <c r="D3852" s="4">
        <f t="shared" si="877"/>
        <v>0.48360655737704916</v>
      </c>
      <c r="E3852" s="3">
        <f t="shared" si="878"/>
        <v>2012</v>
      </c>
      <c r="F3852" s="3">
        <f t="shared" si="879"/>
        <v>6</v>
      </c>
      <c r="G3852" s="3">
        <f t="shared" si="880"/>
        <v>26</v>
      </c>
      <c r="H3852" s="3">
        <f t="shared" si="881"/>
        <v>16</v>
      </c>
      <c r="I3852" s="3">
        <f t="shared" si="882"/>
        <v>15</v>
      </c>
      <c r="J3852" s="3">
        <f t="shared" si="883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884"/>
        <v>YES</v>
      </c>
      <c r="Q3852" t="str">
        <f t="shared" si="885"/>
        <v>NO</v>
      </c>
      <c r="R3852" t="str">
        <f t="shared" si="886"/>
        <v>NO</v>
      </c>
      <c r="S3852">
        <v>381</v>
      </c>
      <c r="T3852" t="s">
        <v>745</v>
      </c>
      <c r="U3852" t="str">
        <f t="shared" si="873"/>
        <v>Norfolk St</v>
      </c>
      <c r="W3852" t="str">
        <f t="shared" si="874"/>
        <v/>
      </c>
      <c r="X3852" t="str">
        <f>IF(ISBLANK(S3852),"Intersection","Non-Intersection")</f>
        <v>Non-Intersection</v>
      </c>
      <c r="Y3852" t="s">
        <v>4675</v>
      </c>
      <c r="Z3852" t="str">
        <f t="shared" si="875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876"/>
        <v>40909</v>
      </c>
      <c r="D3853" s="4">
        <f t="shared" si="877"/>
        <v>0.48633879781420764</v>
      </c>
      <c r="E3853" s="3">
        <f t="shared" si="878"/>
        <v>2012</v>
      </c>
      <c r="F3853" s="3">
        <f t="shared" si="879"/>
        <v>6</v>
      </c>
      <c r="G3853" s="3">
        <f t="shared" si="880"/>
        <v>27</v>
      </c>
      <c r="H3853" s="3">
        <f t="shared" si="881"/>
        <v>21</v>
      </c>
      <c r="I3853" s="3">
        <f t="shared" si="882"/>
        <v>0</v>
      </c>
      <c r="J3853" s="3">
        <f t="shared" si="883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884"/>
        <v>YES</v>
      </c>
      <c r="Q3853" t="str">
        <f t="shared" si="885"/>
        <v>NO</v>
      </c>
      <c r="R3853" t="str">
        <f t="shared" si="886"/>
        <v>NO</v>
      </c>
      <c r="T3853" t="s">
        <v>105</v>
      </c>
      <c r="U3853" t="str">
        <f t="shared" si="873"/>
        <v>Broadway</v>
      </c>
      <c r="V3853" t="s">
        <v>74</v>
      </c>
      <c r="W3853" t="str">
        <f t="shared" si="874"/>
        <v>Hampshire St</v>
      </c>
      <c r="X3853" t="str">
        <f>IF(ISBLANK(S3853),"Intersection","Non-Intersection")</f>
        <v>Intersection</v>
      </c>
      <c r="Y3853" t="s">
        <v>878</v>
      </c>
      <c r="Z3853" t="str">
        <f t="shared" si="875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876"/>
        <v>40909</v>
      </c>
      <c r="D3854" s="4">
        <f t="shared" si="877"/>
        <v>0.48633879781420764</v>
      </c>
      <c r="E3854" s="3">
        <f t="shared" si="878"/>
        <v>2012</v>
      </c>
      <c r="F3854" s="3">
        <f t="shared" si="879"/>
        <v>6</v>
      </c>
      <c r="G3854" s="3">
        <f t="shared" si="880"/>
        <v>27</v>
      </c>
      <c r="H3854" s="3">
        <f t="shared" si="881"/>
        <v>1</v>
      </c>
      <c r="I3854" s="3">
        <f t="shared" si="882"/>
        <v>12</v>
      </c>
      <c r="J3854" s="3">
        <f t="shared" si="883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884"/>
        <v>YES</v>
      </c>
      <c r="Q3854" t="str">
        <f t="shared" si="885"/>
        <v>NO</v>
      </c>
      <c r="R3854" t="str">
        <f t="shared" si="886"/>
        <v>NO</v>
      </c>
      <c r="S3854">
        <v>67</v>
      </c>
      <c r="T3854" t="s">
        <v>213</v>
      </c>
      <c r="U3854" t="str">
        <f t="shared" si="873"/>
        <v>Washburn Ave</v>
      </c>
      <c r="W3854" t="str">
        <f t="shared" si="874"/>
        <v/>
      </c>
      <c r="X3854" t="str">
        <f>IF(ISBLANK(S3854),"Intersection","Non-Intersection")</f>
        <v>Non-Intersection</v>
      </c>
      <c r="Y3854" t="s">
        <v>4677</v>
      </c>
      <c r="Z3854" t="str">
        <f t="shared" si="875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876"/>
        <v>40909</v>
      </c>
      <c r="D3855" s="4">
        <f t="shared" si="877"/>
        <v>0.48633879781420764</v>
      </c>
      <c r="E3855" s="3">
        <f t="shared" si="878"/>
        <v>2012</v>
      </c>
      <c r="F3855" s="3">
        <f t="shared" si="879"/>
        <v>6</v>
      </c>
      <c r="G3855" s="3">
        <f t="shared" si="880"/>
        <v>27</v>
      </c>
      <c r="H3855" s="3">
        <f t="shared" si="881"/>
        <v>6</v>
      </c>
      <c r="I3855" s="3">
        <f t="shared" si="882"/>
        <v>55</v>
      </c>
      <c r="J3855" s="3">
        <f t="shared" si="883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884"/>
        <v>YES</v>
      </c>
      <c r="Q3855" t="str">
        <f t="shared" si="885"/>
        <v>NO</v>
      </c>
      <c r="R3855" t="str">
        <f t="shared" si="886"/>
        <v>NO</v>
      </c>
      <c r="S3855">
        <v>340</v>
      </c>
      <c r="T3855" t="s">
        <v>15</v>
      </c>
      <c r="U3855" t="str">
        <f t="shared" si="873"/>
        <v>Rindge Ave</v>
      </c>
      <c r="W3855" t="str">
        <f t="shared" si="874"/>
        <v/>
      </c>
      <c r="X3855" t="str">
        <f>IF(ISBLANK(S3855),"Intersection","Non-Intersection")</f>
        <v>Non-Intersection</v>
      </c>
      <c r="Y3855" t="s">
        <v>4679</v>
      </c>
      <c r="Z3855" t="str">
        <f t="shared" si="875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876"/>
        <v>40909</v>
      </c>
      <c r="D3856" s="4">
        <f t="shared" si="877"/>
        <v>0.48633879781420764</v>
      </c>
      <c r="E3856" s="3">
        <f t="shared" si="878"/>
        <v>2012</v>
      </c>
      <c r="F3856" s="3">
        <f t="shared" si="879"/>
        <v>6</v>
      </c>
      <c r="G3856" s="3">
        <f t="shared" si="880"/>
        <v>27</v>
      </c>
      <c r="H3856" s="3">
        <f t="shared" si="881"/>
        <v>7</v>
      </c>
      <c r="I3856" s="3">
        <f t="shared" si="882"/>
        <v>15</v>
      </c>
      <c r="J3856" s="3">
        <f t="shared" si="883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884"/>
        <v>YES</v>
      </c>
      <c r="Q3856" t="str">
        <f t="shared" si="885"/>
        <v>NO</v>
      </c>
      <c r="R3856" t="str">
        <f t="shared" si="886"/>
        <v>NO</v>
      </c>
      <c r="S3856">
        <v>10</v>
      </c>
      <c r="T3856" t="s">
        <v>50</v>
      </c>
      <c r="U3856" t="str">
        <f t="shared" si="873"/>
        <v>Belmont St</v>
      </c>
      <c r="W3856" t="str">
        <f t="shared" si="874"/>
        <v/>
      </c>
      <c r="X3856" t="str">
        <f>IF(ISBLANK(S3856),"Intersection","Non-Intersection")</f>
        <v>Non-Intersection</v>
      </c>
      <c r="Y3856" t="s">
        <v>4681</v>
      </c>
      <c r="Z3856" t="str">
        <f t="shared" si="875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876"/>
        <v>40909</v>
      </c>
      <c r="D3857" s="4">
        <f t="shared" si="877"/>
        <v>0.48633879781420764</v>
      </c>
      <c r="E3857" s="3">
        <f t="shared" si="878"/>
        <v>2012</v>
      </c>
      <c r="F3857" s="3">
        <f t="shared" si="879"/>
        <v>6</v>
      </c>
      <c r="G3857" s="3">
        <f t="shared" si="880"/>
        <v>27</v>
      </c>
      <c r="H3857" s="3">
        <f t="shared" si="881"/>
        <v>7</v>
      </c>
      <c r="I3857" s="3">
        <f t="shared" si="882"/>
        <v>50</v>
      </c>
      <c r="J3857" s="3">
        <f t="shared" si="883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884"/>
        <v>YES</v>
      </c>
      <c r="Q3857" t="str">
        <f t="shared" si="885"/>
        <v>NO</v>
      </c>
      <c r="R3857" t="str">
        <f t="shared" si="886"/>
        <v>YES</v>
      </c>
      <c r="T3857" t="s">
        <v>14</v>
      </c>
      <c r="U3857" t="str">
        <f t="shared" si="873"/>
        <v>Massachusetts Ave</v>
      </c>
      <c r="V3857" t="s">
        <v>213</v>
      </c>
      <c r="W3857" t="str">
        <f t="shared" si="874"/>
        <v>Washburn Ave</v>
      </c>
      <c r="X3857" t="str">
        <f>IF(ISBLANK(S3857),"Intersection","Non-Intersection")</f>
        <v>Intersection</v>
      </c>
      <c r="Y3857" t="s">
        <v>214</v>
      </c>
      <c r="Z3857" t="str">
        <f t="shared" si="875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876"/>
        <v>40909</v>
      </c>
      <c r="D3858" s="4">
        <f t="shared" si="877"/>
        <v>0.48633879781420764</v>
      </c>
      <c r="E3858" s="3">
        <f t="shared" si="878"/>
        <v>2012</v>
      </c>
      <c r="F3858" s="3">
        <f t="shared" si="879"/>
        <v>6</v>
      </c>
      <c r="G3858" s="3">
        <f t="shared" si="880"/>
        <v>27</v>
      </c>
      <c r="H3858" s="3">
        <f t="shared" si="881"/>
        <v>7</v>
      </c>
      <c r="I3858" s="3">
        <f t="shared" si="882"/>
        <v>54</v>
      </c>
      <c r="J3858" s="3">
        <f t="shared" si="883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884"/>
        <v>YES</v>
      </c>
      <c r="Q3858" t="str">
        <f t="shared" si="885"/>
        <v>NO</v>
      </c>
      <c r="R3858" t="str">
        <f t="shared" si="886"/>
        <v>NO</v>
      </c>
      <c r="T3858" t="s">
        <v>1272</v>
      </c>
      <c r="U3858" t="str">
        <f t="shared" si="873"/>
        <v>Forest St</v>
      </c>
      <c r="V3858" t="s">
        <v>14</v>
      </c>
      <c r="W3858" t="str">
        <f t="shared" si="874"/>
        <v>Massachusetts Ave</v>
      </c>
      <c r="X3858" t="str">
        <f>IF(ISBLANK(S3858),"Intersection","Non-Intersection")</f>
        <v>Intersection</v>
      </c>
      <c r="Y3858" t="s">
        <v>4683</v>
      </c>
      <c r="Z3858" t="str">
        <f t="shared" si="875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876"/>
        <v>40909</v>
      </c>
      <c r="D3859" s="4">
        <f t="shared" si="877"/>
        <v>0.48907103825136611</v>
      </c>
      <c r="E3859" s="3">
        <f t="shared" si="878"/>
        <v>2012</v>
      </c>
      <c r="F3859" s="3">
        <f t="shared" si="879"/>
        <v>6</v>
      </c>
      <c r="G3859" s="3">
        <f t="shared" si="880"/>
        <v>28</v>
      </c>
      <c r="H3859" s="3">
        <f t="shared" si="881"/>
        <v>9</v>
      </c>
      <c r="I3859" s="3">
        <f t="shared" si="882"/>
        <v>30</v>
      </c>
      <c r="J3859" s="3">
        <f t="shared" si="883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884"/>
        <v>YES</v>
      </c>
      <c r="Q3859" t="str">
        <f t="shared" si="885"/>
        <v>NO</v>
      </c>
      <c r="R3859" t="str">
        <f t="shared" si="886"/>
        <v>NO</v>
      </c>
      <c r="T3859" t="s">
        <v>2686</v>
      </c>
      <c r="U3859" t="str">
        <f t="shared" si="873"/>
        <v>Bolton St</v>
      </c>
      <c r="V3859" t="s">
        <v>45</v>
      </c>
      <c r="W3859" t="str">
        <f t="shared" si="874"/>
        <v>Sherman St</v>
      </c>
      <c r="X3859" t="str">
        <f>IF(ISBLANK(S3859),"Intersection","Non-Intersection")</f>
        <v>Intersection</v>
      </c>
      <c r="Y3859" t="s">
        <v>4684</v>
      </c>
      <c r="Z3859" t="str">
        <f t="shared" si="875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876"/>
        <v>40909</v>
      </c>
      <c r="D3860" s="4">
        <f t="shared" si="877"/>
        <v>0.48907103825136611</v>
      </c>
      <c r="E3860" s="3">
        <f t="shared" si="878"/>
        <v>2012</v>
      </c>
      <c r="F3860" s="3">
        <f t="shared" si="879"/>
        <v>6</v>
      </c>
      <c r="G3860" s="3">
        <f t="shared" si="880"/>
        <v>28</v>
      </c>
      <c r="H3860" s="3">
        <f t="shared" si="881"/>
        <v>14</v>
      </c>
      <c r="I3860" s="3">
        <f t="shared" si="882"/>
        <v>0</v>
      </c>
      <c r="J3860" s="3">
        <f t="shared" si="883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884"/>
        <v>YES</v>
      </c>
      <c r="Q3860" t="str">
        <f t="shared" si="885"/>
        <v>NO</v>
      </c>
      <c r="R3860" t="str">
        <f t="shared" si="886"/>
        <v>NO</v>
      </c>
      <c r="T3860" t="s">
        <v>178</v>
      </c>
      <c r="U3860" t="str">
        <f t="shared" si="873"/>
        <v>Pleasant St</v>
      </c>
      <c r="V3860" t="s">
        <v>3376</v>
      </c>
      <c r="W3860" t="str">
        <f t="shared" si="874"/>
        <v>Chalk St</v>
      </c>
      <c r="X3860" t="str">
        <f>IF(ISBLANK(S3860),"Intersection","Non-Intersection")</f>
        <v>Intersection</v>
      </c>
      <c r="Y3860" t="s">
        <v>4686</v>
      </c>
      <c r="Z3860" t="str">
        <f t="shared" si="875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876"/>
        <v>40909</v>
      </c>
      <c r="D3861" s="4">
        <f t="shared" si="877"/>
        <v>0.48907103825136611</v>
      </c>
      <c r="E3861" s="3">
        <f t="shared" si="878"/>
        <v>2012</v>
      </c>
      <c r="F3861" s="3">
        <f t="shared" si="879"/>
        <v>6</v>
      </c>
      <c r="G3861" s="3">
        <f t="shared" si="880"/>
        <v>28</v>
      </c>
      <c r="H3861" s="3">
        <f t="shared" si="881"/>
        <v>15</v>
      </c>
      <c r="I3861" s="3">
        <f t="shared" si="882"/>
        <v>4</v>
      </c>
      <c r="J3861" s="3">
        <f t="shared" si="883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884"/>
        <v>YES</v>
      </c>
      <c r="Q3861" t="str">
        <f t="shared" si="885"/>
        <v>YES</v>
      </c>
      <c r="R3861" t="str">
        <f t="shared" si="886"/>
        <v>NO</v>
      </c>
      <c r="T3861" t="s">
        <v>14</v>
      </c>
      <c r="U3861" t="str">
        <f t="shared" si="873"/>
        <v>Massachusetts Ave</v>
      </c>
      <c r="V3861" t="s">
        <v>178</v>
      </c>
      <c r="W3861" t="str">
        <f t="shared" si="874"/>
        <v>Pleasant St</v>
      </c>
      <c r="X3861" t="str">
        <f>IF(ISBLANK(S3861),"Intersection","Non-Intersection")</f>
        <v>Intersection</v>
      </c>
      <c r="Y3861" t="s">
        <v>1866</v>
      </c>
      <c r="Z3861" t="str">
        <f t="shared" si="875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876"/>
        <v>40909</v>
      </c>
      <c r="D3862" s="4">
        <f t="shared" si="877"/>
        <v>0.48907103825136611</v>
      </c>
      <c r="E3862" s="3">
        <f t="shared" si="878"/>
        <v>2012</v>
      </c>
      <c r="F3862" s="3">
        <f t="shared" si="879"/>
        <v>6</v>
      </c>
      <c r="G3862" s="3">
        <f t="shared" si="880"/>
        <v>28</v>
      </c>
      <c r="H3862" s="3">
        <f t="shared" si="881"/>
        <v>17</v>
      </c>
      <c r="I3862" s="3">
        <f t="shared" si="882"/>
        <v>12</v>
      </c>
      <c r="J3862" s="3">
        <f t="shared" si="883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884"/>
        <v>YES</v>
      </c>
      <c r="Q3862" t="str">
        <f t="shared" si="885"/>
        <v>NO</v>
      </c>
      <c r="R3862" t="str">
        <f t="shared" si="886"/>
        <v>NO</v>
      </c>
      <c r="S3862">
        <v>2067</v>
      </c>
      <c r="T3862" t="s">
        <v>14</v>
      </c>
      <c r="U3862" t="str">
        <f t="shared" si="873"/>
        <v>Massachusetts Ave</v>
      </c>
      <c r="W3862" t="str">
        <f t="shared" si="874"/>
        <v/>
      </c>
      <c r="X3862" t="str">
        <f>IF(ISBLANK(S3862),"Intersection","Non-Intersection")</f>
        <v>Non-Intersection</v>
      </c>
      <c r="Y3862" t="s">
        <v>1507</v>
      </c>
      <c r="Z3862" t="str">
        <f t="shared" si="875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876"/>
        <v>40909</v>
      </c>
      <c r="D3863" s="4">
        <f t="shared" si="877"/>
        <v>0.48907103825136611</v>
      </c>
      <c r="E3863" s="3">
        <f t="shared" si="878"/>
        <v>2012</v>
      </c>
      <c r="F3863" s="3">
        <f t="shared" si="879"/>
        <v>6</v>
      </c>
      <c r="G3863" s="3">
        <f t="shared" si="880"/>
        <v>28</v>
      </c>
      <c r="H3863" s="3">
        <f t="shared" si="881"/>
        <v>18</v>
      </c>
      <c r="I3863" s="3">
        <f t="shared" si="882"/>
        <v>0</v>
      </c>
      <c r="J3863" s="3">
        <f t="shared" si="883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884"/>
        <v>YES</v>
      </c>
      <c r="Q3863" t="str">
        <f t="shared" si="885"/>
        <v>NO</v>
      </c>
      <c r="R3863" t="str">
        <f t="shared" si="886"/>
        <v>NO</v>
      </c>
      <c r="T3863" t="s">
        <v>14</v>
      </c>
      <c r="U3863" t="str">
        <f t="shared" si="873"/>
        <v>Massachusetts Ave</v>
      </c>
      <c r="V3863" t="s">
        <v>202</v>
      </c>
      <c r="W3863" t="str">
        <f t="shared" si="874"/>
        <v>Vassar St</v>
      </c>
      <c r="X3863" t="str">
        <f>IF(ISBLANK(S3863),"Intersection","Non-Intersection")</f>
        <v>Intersection</v>
      </c>
      <c r="Y3863" t="s">
        <v>361</v>
      </c>
      <c r="Z3863" t="str">
        <f t="shared" si="875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876"/>
        <v>40909</v>
      </c>
      <c r="D3864" s="4">
        <f t="shared" si="877"/>
        <v>0.48907103825136611</v>
      </c>
      <c r="E3864" s="3">
        <f t="shared" si="878"/>
        <v>2012</v>
      </c>
      <c r="F3864" s="3">
        <f t="shared" si="879"/>
        <v>6</v>
      </c>
      <c r="G3864" s="3">
        <f t="shared" si="880"/>
        <v>28</v>
      </c>
      <c r="H3864" s="3">
        <f t="shared" si="881"/>
        <v>20</v>
      </c>
      <c r="I3864" s="3">
        <f t="shared" si="882"/>
        <v>0</v>
      </c>
      <c r="J3864" s="3">
        <f t="shared" si="883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884"/>
        <v>YES</v>
      </c>
      <c r="Q3864" t="str">
        <f t="shared" si="885"/>
        <v>NO</v>
      </c>
      <c r="R3864" t="str">
        <f t="shared" si="886"/>
        <v>NO</v>
      </c>
      <c r="T3864" t="s">
        <v>958</v>
      </c>
      <c r="U3864" t="str">
        <f t="shared" si="873"/>
        <v>Pacific St</v>
      </c>
      <c r="V3864" t="s">
        <v>249</v>
      </c>
      <c r="W3864" t="str">
        <f t="shared" si="874"/>
        <v>Landsdowne St</v>
      </c>
      <c r="X3864" t="str">
        <f>IF(ISBLANK(S3864),"Intersection","Non-Intersection")</f>
        <v>Intersection</v>
      </c>
      <c r="Y3864" t="s">
        <v>2699</v>
      </c>
      <c r="Z3864" t="str">
        <f t="shared" si="875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876"/>
        <v>40909</v>
      </c>
      <c r="D3865" s="4">
        <f t="shared" si="877"/>
        <v>0.48907103825136611</v>
      </c>
      <c r="E3865" s="3">
        <f t="shared" si="878"/>
        <v>2012</v>
      </c>
      <c r="F3865" s="3">
        <f t="shared" si="879"/>
        <v>6</v>
      </c>
      <c r="G3865" s="3">
        <f t="shared" si="880"/>
        <v>28</v>
      </c>
      <c r="H3865" s="3">
        <f t="shared" si="881"/>
        <v>15</v>
      </c>
      <c r="I3865" s="3">
        <f t="shared" si="882"/>
        <v>0</v>
      </c>
      <c r="J3865" s="3">
        <f t="shared" si="883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884"/>
        <v>YES</v>
      </c>
      <c r="Q3865" t="str">
        <f t="shared" si="885"/>
        <v>NO</v>
      </c>
      <c r="R3865" t="str">
        <f t="shared" si="886"/>
        <v>NO</v>
      </c>
      <c r="S3865">
        <v>2245</v>
      </c>
      <c r="T3865" t="s">
        <v>14</v>
      </c>
      <c r="U3865" t="str">
        <f t="shared" si="873"/>
        <v>Massachusetts Ave</v>
      </c>
      <c r="W3865" t="str">
        <f t="shared" si="874"/>
        <v/>
      </c>
      <c r="X3865" t="str">
        <f>IF(ISBLANK(S3865),"Intersection","Non-Intersection")</f>
        <v>Non-Intersection</v>
      </c>
      <c r="Y3865" t="s">
        <v>1580</v>
      </c>
      <c r="Z3865" t="str">
        <f t="shared" si="875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876"/>
        <v>40909</v>
      </c>
      <c r="D3866" s="4">
        <f t="shared" si="877"/>
        <v>0.49180327868852458</v>
      </c>
      <c r="E3866" s="3">
        <f t="shared" si="878"/>
        <v>2012</v>
      </c>
      <c r="F3866" s="3">
        <f t="shared" si="879"/>
        <v>6</v>
      </c>
      <c r="G3866" s="3">
        <f t="shared" si="880"/>
        <v>29</v>
      </c>
      <c r="H3866" s="3">
        <f t="shared" si="881"/>
        <v>20</v>
      </c>
      <c r="I3866" s="3">
        <f t="shared" si="882"/>
        <v>49</v>
      </c>
      <c r="J3866" s="3">
        <f t="shared" si="883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884"/>
        <v>YES</v>
      </c>
      <c r="Q3866" t="str">
        <f t="shared" si="885"/>
        <v>YES</v>
      </c>
      <c r="R3866" t="str">
        <f t="shared" si="886"/>
        <v>NO</v>
      </c>
      <c r="S3866">
        <v>14</v>
      </c>
      <c r="T3866" t="s">
        <v>634</v>
      </c>
      <c r="U3866" t="str">
        <f t="shared" si="873"/>
        <v>Chauncy St</v>
      </c>
      <c r="W3866" t="str">
        <f t="shared" si="874"/>
        <v/>
      </c>
      <c r="X3866" t="str">
        <f>IF(ISBLANK(S3866),"Intersection","Non-Intersection")</f>
        <v>Non-Intersection</v>
      </c>
      <c r="Y3866" t="s">
        <v>4688</v>
      </c>
      <c r="Z3866" t="str">
        <f t="shared" si="875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876"/>
        <v>40909</v>
      </c>
      <c r="D3867" s="4">
        <f t="shared" si="877"/>
        <v>0.49180327868852458</v>
      </c>
      <c r="E3867" s="3">
        <f t="shared" si="878"/>
        <v>2012</v>
      </c>
      <c r="F3867" s="3">
        <f t="shared" si="879"/>
        <v>6</v>
      </c>
      <c r="G3867" s="3">
        <f t="shared" si="880"/>
        <v>29</v>
      </c>
      <c r="H3867" s="3">
        <f t="shared" si="881"/>
        <v>19</v>
      </c>
      <c r="I3867" s="3">
        <f t="shared" si="882"/>
        <v>19</v>
      </c>
      <c r="J3867" s="3">
        <f t="shared" si="883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884"/>
        <v>YES</v>
      </c>
      <c r="Q3867" t="str">
        <f t="shared" si="885"/>
        <v>NO</v>
      </c>
      <c r="R3867" t="str">
        <f t="shared" si="886"/>
        <v>NO</v>
      </c>
      <c r="S3867">
        <v>748</v>
      </c>
      <c r="T3867" t="s">
        <v>203</v>
      </c>
      <c r="U3867" t="str">
        <f t="shared" si="873"/>
        <v>Memorial Dr</v>
      </c>
      <c r="W3867" t="str">
        <f t="shared" si="874"/>
        <v/>
      </c>
      <c r="X3867" t="str">
        <f>IF(ISBLANK(S3867),"Intersection","Non-Intersection")</f>
        <v>Non-Intersection</v>
      </c>
      <c r="Y3867" t="s">
        <v>1731</v>
      </c>
      <c r="Z3867" t="str">
        <f t="shared" si="875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876"/>
        <v>40909</v>
      </c>
      <c r="D3868" s="4">
        <f t="shared" si="877"/>
        <v>0.49180327868852458</v>
      </c>
      <c r="E3868" s="3">
        <f t="shared" si="878"/>
        <v>2012</v>
      </c>
      <c r="F3868" s="3">
        <f t="shared" si="879"/>
        <v>6</v>
      </c>
      <c r="G3868" s="3">
        <f t="shared" si="880"/>
        <v>29</v>
      </c>
      <c r="H3868" s="3">
        <f t="shared" si="881"/>
        <v>13</v>
      </c>
      <c r="I3868" s="3">
        <f t="shared" si="882"/>
        <v>50</v>
      </c>
      <c r="J3868" s="3">
        <f t="shared" si="883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884"/>
        <v>YES</v>
      </c>
      <c r="Q3868" t="str">
        <f t="shared" si="885"/>
        <v>NO</v>
      </c>
      <c r="R3868" t="str">
        <f t="shared" si="886"/>
        <v>NO</v>
      </c>
      <c r="T3868" t="s">
        <v>195</v>
      </c>
      <c r="U3868" t="str">
        <f t="shared" si="873"/>
        <v>Sidney St</v>
      </c>
      <c r="V3868" t="s">
        <v>958</v>
      </c>
      <c r="W3868" t="str">
        <f t="shared" si="874"/>
        <v>Pacific St</v>
      </c>
      <c r="X3868" t="str">
        <f>IF(ISBLANK(S3868),"Intersection","Non-Intersection")</f>
        <v>Intersection</v>
      </c>
      <c r="Y3868" t="s">
        <v>1415</v>
      </c>
      <c r="Z3868" t="str">
        <f t="shared" si="875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876"/>
        <v>40909</v>
      </c>
      <c r="D3869" s="4">
        <f t="shared" si="877"/>
        <v>0.49180327868852458</v>
      </c>
      <c r="E3869" s="3">
        <f t="shared" si="878"/>
        <v>2012</v>
      </c>
      <c r="F3869" s="3">
        <f t="shared" si="879"/>
        <v>6</v>
      </c>
      <c r="G3869" s="3">
        <f t="shared" si="880"/>
        <v>29</v>
      </c>
      <c r="H3869" s="3">
        <f t="shared" si="881"/>
        <v>18</v>
      </c>
      <c r="I3869" s="3">
        <f t="shared" si="882"/>
        <v>30</v>
      </c>
      <c r="J3869" s="3">
        <f t="shared" si="883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884"/>
        <v>YES</v>
      </c>
      <c r="Q3869" t="str">
        <f t="shared" si="885"/>
        <v>NO</v>
      </c>
      <c r="R3869" t="str">
        <f t="shared" si="886"/>
        <v>NO</v>
      </c>
      <c r="T3869" t="s">
        <v>14</v>
      </c>
      <c r="U3869" t="str">
        <f t="shared" si="873"/>
        <v>Massachusetts Ave</v>
      </c>
      <c r="V3869" t="s">
        <v>342</v>
      </c>
      <c r="W3869" t="str">
        <f t="shared" si="874"/>
        <v>Prospect St</v>
      </c>
      <c r="X3869" t="str">
        <f>IF(ISBLANK(S3869),"Intersection","Non-Intersection")</f>
        <v>Intersection</v>
      </c>
      <c r="Y3869" t="s">
        <v>2590</v>
      </c>
      <c r="Z3869" t="str">
        <f t="shared" si="875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876"/>
        <v>40909</v>
      </c>
      <c r="D3870" s="4">
        <f t="shared" si="877"/>
        <v>0.49180327868852458</v>
      </c>
      <c r="E3870" s="3">
        <f t="shared" si="878"/>
        <v>2012</v>
      </c>
      <c r="F3870" s="3">
        <f t="shared" si="879"/>
        <v>6</v>
      </c>
      <c r="G3870" s="3">
        <f t="shared" si="880"/>
        <v>29</v>
      </c>
      <c r="H3870" s="3">
        <f t="shared" si="881"/>
        <v>17</v>
      </c>
      <c r="I3870" s="3">
        <f t="shared" si="882"/>
        <v>45</v>
      </c>
      <c r="J3870" s="3">
        <f t="shared" si="883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884"/>
        <v>YES</v>
      </c>
      <c r="Q3870" t="str">
        <f t="shared" si="885"/>
        <v>YES</v>
      </c>
      <c r="R3870" t="str">
        <f t="shared" si="886"/>
        <v>NO</v>
      </c>
      <c r="S3870">
        <v>26</v>
      </c>
      <c r="T3870" t="s">
        <v>185</v>
      </c>
      <c r="U3870" t="str">
        <f t="shared" si="873"/>
        <v>Garden St</v>
      </c>
      <c r="W3870" t="str">
        <f t="shared" si="874"/>
        <v/>
      </c>
      <c r="X3870" t="str">
        <f>IF(ISBLANK(S3870),"Intersection","Non-Intersection")</f>
        <v>Non-Intersection</v>
      </c>
      <c r="Y3870" t="s">
        <v>4690</v>
      </c>
      <c r="Z3870" t="str">
        <f t="shared" si="875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876"/>
        <v>40909</v>
      </c>
      <c r="D3871" s="4">
        <f t="shared" si="877"/>
        <v>0.49180327868852458</v>
      </c>
      <c r="E3871" s="3">
        <f t="shared" si="878"/>
        <v>2012</v>
      </c>
      <c r="F3871" s="3">
        <f t="shared" si="879"/>
        <v>6</v>
      </c>
      <c r="G3871" s="3">
        <f t="shared" si="880"/>
        <v>29</v>
      </c>
      <c r="H3871" s="3">
        <f t="shared" si="881"/>
        <v>13</v>
      </c>
      <c r="I3871" s="3">
        <f t="shared" si="882"/>
        <v>9</v>
      </c>
      <c r="J3871" s="3">
        <f t="shared" si="883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884"/>
        <v>YES</v>
      </c>
      <c r="Q3871" t="str">
        <f t="shared" si="885"/>
        <v>NO</v>
      </c>
      <c r="R3871" t="str">
        <f t="shared" si="886"/>
        <v>NO</v>
      </c>
      <c r="S3871">
        <v>189</v>
      </c>
      <c r="T3871" t="s">
        <v>19</v>
      </c>
      <c r="U3871" t="str">
        <f t="shared" si="873"/>
        <v>Cambridge St</v>
      </c>
      <c r="W3871" t="str">
        <f t="shared" si="874"/>
        <v/>
      </c>
      <c r="X3871" t="str">
        <f>IF(ISBLANK(S3871),"Intersection","Non-Intersection")</f>
        <v>Non-Intersection</v>
      </c>
      <c r="Y3871" t="s">
        <v>1942</v>
      </c>
      <c r="Z3871" t="str">
        <f t="shared" si="875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876"/>
        <v>40909</v>
      </c>
      <c r="D3872" s="4">
        <f t="shared" si="877"/>
        <v>0.49180327868852458</v>
      </c>
      <c r="E3872" s="3">
        <f t="shared" si="878"/>
        <v>2012</v>
      </c>
      <c r="F3872" s="3">
        <f t="shared" si="879"/>
        <v>6</v>
      </c>
      <c r="G3872" s="3">
        <f t="shared" si="880"/>
        <v>29</v>
      </c>
      <c r="H3872" s="3">
        <f t="shared" si="881"/>
        <v>14</v>
      </c>
      <c r="I3872" s="3">
        <f t="shared" si="882"/>
        <v>45</v>
      </c>
      <c r="J3872" s="3">
        <f t="shared" si="883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884"/>
        <v>YES</v>
      </c>
      <c r="Q3872" t="str">
        <f t="shared" si="885"/>
        <v>NO</v>
      </c>
      <c r="R3872" t="str">
        <f t="shared" si="886"/>
        <v>NO</v>
      </c>
      <c r="T3872" t="s">
        <v>142</v>
      </c>
      <c r="U3872" t="str">
        <f t="shared" si="873"/>
        <v>Huron Ave</v>
      </c>
      <c r="V3872" t="s">
        <v>464</v>
      </c>
      <c r="W3872" t="str">
        <f t="shared" si="874"/>
        <v>Aberdeen Way</v>
      </c>
      <c r="X3872" t="str">
        <f>IF(ISBLANK(S3872),"Intersection","Non-Intersection")</f>
        <v>Intersection</v>
      </c>
      <c r="Y3872" t="s">
        <v>2397</v>
      </c>
      <c r="Z3872" t="str">
        <f t="shared" si="875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876"/>
        <v>40909</v>
      </c>
      <c r="D3873" s="4">
        <f t="shared" si="877"/>
        <v>0.49180327868852458</v>
      </c>
      <c r="E3873" s="3">
        <f t="shared" si="878"/>
        <v>2012</v>
      </c>
      <c r="F3873" s="3">
        <f t="shared" si="879"/>
        <v>6</v>
      </c>
      <c r="G3873" s="3">
        <f t="shared" si="880"/>
        <v>29</v>
      </c>
      <c r="H3873" s="3">
        <f t="shared" si="881"/>
        <v>12</v>
      </c>
      <c r="I3873" s="3">
        <f t="shared" si="882"/>
        <v>43</v>
      </c>
      <c r="J3873" s="3">
        <f t="shared" si="883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884"/>
        <v>YES</v>
      </c>
      <c r="Q3873" t="str">
        <f t="shared" si="885"/>
        <v>NO</v>
      </c>
      <c r="R3873" t="str">
        <f t="shared" si="886"/>
        <v>NO</v>
      </c>
      <c r="S3873">
        <v>1</v>
      </c>
      <c r="T3873" t="s">
        <v>1991</v>
      </c>
      <c r="U3873" t="str">
        <f t="shared" si="873"/>
        <v>Jackson Pl</v>
      </c>
      <c r="W3873" t="str">
        <f t="shared" si="874"/>
        <v/>
      </c>
      <c r="X3873" t="str">
        <f>IF(ISBLANK(S3873),"Intersection","Non-Intersection")</f>
        <v>Non-Intersection</v>
      </c>
      <c r="Y3873" t="s">
        <v>4692</v>
      </c>
      <c r="Z3873" t="str">
        <f t="shared" si="875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876"/>
        <v>40909</v>
      </c>
      <c r="D3874" s="4">
        <f t="shared" si="877"/>
        <v>0.49453551912568305</v>
      </c>
      <c r="E3874" s="3">
        <f t="shared" si="878"/>
        <v>2012</v>
      </c>
      <c r="F3874" s="3">
        <f t="shared" si="879"/>
        <v>6</v>
      </c>
      <c r="G3874" s="3">
        <f t="shared" si="880"/>
        <v>30</v>
      </c>
      <c r="H3874" s="3">
        <f t="shared" si="881"/>
        <v>3</v>
      </c>
      <c r="I3874" s="3">
        <f t="shared" si="882"/>
        <v>0</v>
      </c>
      <c r="J3874" s="3">
        <f t="shared" si="883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884"/>
        <v>YES</v>
      </c>
      <c r="Q3874" t="str">
        <f t="shared" si="885"/>
        <v>NO</v>
      </c>
      <c r="R3874" t="str">
        <f t="shared" si="886"/>
        <v>NO</v>
      </c>
      <c r="S3874" t="s">
        <v>4694</v>
      </c>
      <c r="T3874" t="s">
        <v>170</v>
      </c>
      <c r="U3874" t="str">
        <f t="shared" si="873"/>
        <v>Alewife Brook Pky</v>
      </c>
      <c r="W3874" t="str">
        <f t="shared" si="874"/>
        <v/>
      </c>
      <c r="X3874" t="str">
        <f>IF(ISBLANK(S3874),"Intersection","Non-Intersection")</f>
        <v>Non-Intersection</v>
      </c>
      <c r="Y3874" t="s">
        <v>4695</v>
      </c>
      <c r="Z3874" t="str">
        <f t="shared" si="875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876"/>
        <v>40909</v>
      </c>
      <c r="D3875" s="4">
        <f t="shared" si="877"/>
        <v>0.49453551912568305</v>
      </c>
      <c r="E3875" s="3">
        <f t="shared" si="878"/>
        <v>2012</v>
      </c>
      <c r="F3875" s="3">
        <f t="shared" si="879"/>
        <v>6</v>
      </c>
      <c r="G3875" s="3">
        <f t="shared" si="880"/>
        <v>30</v>
      </c>
      <c r="H3875" s="3">
        <f t="shared" si="881"/>
        <v>16</v>
      </c>
      <c r="I3875" s="3">
        <f t="shared" si="882"/>
        <v>43</v>
      </c>
      <c r="J3875" s="3">
        <f t="shared" si="883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884"/>
        <v>YES</v>
      </c>
      <c r="Q3875" t="str">
        <f t="shared" si="885"/>
        <v>NO</v>
      </c>
      <c r="R3875" t="str">
        <f t="shared" si="886"/>
        <v>NO</v>
      </c>
      <c r="S3875">
        <v>46</v>
      </c>
      <c r="T3875" t="s">
        <v>50</v>
      </c>
      <c r="U3875" t="str">
        <f t="shared" si="873"/>
        <v>Belmont St</v>
      </c>
      <c r="W3875" t="str">
        <f t="shared" si="874"/>
        <v/>
      </c>
      <c r="X3875" t="str">
        <f>IF(ISBLANK(S3875),"Intersection","Non-Intersection")</f>
        <v>Non-Intersection</v>
      </c>
      <c r="Y3875" t="s">
        <v>4697</v>
      </c>
      <c r="Z3875" t="str">
        <f t="shared" si="875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876"/>
        <v>40909</v>
      </c>
      <c r="D3876" s="4">
        <f t="shared" si="877"/>
        <v>0.49726775956284153</v>
      </c>
      <c r="E3876" s="3">
        <f t="shared" si="878"/>
        <v>2012</v>
      </c>
      <c r="F3876" s="3">
        <f t="shared" si="879"/>
        <v>7</v>
      </c>
      <c r="G3876" s="3">
        <f t="shared" si="880"/>
        <v>1</v>
      </c>
      <c r="H3876" s="3">
        <f t="shared" si="881"/>
        <v>12</v>
      </c>
      <c r="I3876" s="3">
        <f t="shared" si="882"/>
        <v>59</v>
      </c>
      <c r="J3876" s="3">
        <f t="shared" si="883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884"/>
        <v>YES</v>
      </c>
      <c r="Q3876" t="str">
        <f t="shared" si="885"/>
        <v>NO</v>
      </c>
      <c r="R3876" t="str">
        <f t="shared" si="886"/>
        <v>NO</v>
      </c>
      <c r="S3876">
        <v>888</v>
      </c>
      <c r="T3876" t="s">
        <v>14</v>
      </c>
      <c r="U3876" t="str">
        <f t="shared" si="873"/>
        <v>Massachusetts Ave</v>
      </c>
      <c r="W3876" t="str">
        <f t="shared" si="874"/>
        <v/>
      </c>
      <c r="X3876" t="str">
        <f>IF(ISBLANK(S3876),"Intersection","Non-Intersection")</f>
        <v>Non-Intersection</v>
      </c>
      <c r="Y3876" t="s">
        <v>4699</v>
      </c>
      <c r="Z3876" t="str">
        <f t="shared" si="875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876"/>
        <v>40909</v>
      </c>
      <c r="D3877" s="4">
        <f t="shared" si="877"/>
        <v>0.5</v>
      </c>
      <c r="E3877" s="3">
        <f t="shared" si="878"/>
        <v>2012</v>
      </c>
      <c r="F3877" s="3">
        <f t="shared" si="879"/>
        <v>7</v>
      </c>
      <c r="G3877" s="3">
        <f t="shared" si="880"/>
        <v>2</v>
      </c>
      <c r="H3877" s="3">
        <f t="shared" si="881"/>
        <v>17</v>
      </c>
      <c r="I3877" s="3">
        <f t="shared" si="882"/>
        <v>0</v>
      </c>
      <c r="J3877" s="3">
        <f t="shared" si="883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884"/>
        <v>YES</v>
      </c>
      <c r="Q3877" t="str">
        <f t="shared" si="885"/>
        <v>NO</v>
      </c>
      <c r="R3877" t="str">
        <f t="shared" si="886"/>
        <v>NO</v>
      </c>
      <c r="T3877" t="s">
        <v>2012</v>
      </c>
      <c r="U3877" t="str">
        <f t="shared" si="873"/>
        <v>Mellen St</v>
      </c>
      <c r="W3877" t="str">
        <f t="shared" si="874"/>
        <v/>
      </c>
      <c r="X3877" t="str">
        <f>IF(ISBLANK(S3877),"Intersection","Non-Intersection")</f>
        <v>Intersection</v>
      </c>
      <c r="Y3877" t="s">
        <v>4701</v>
      </c>
      <c r="Z3877" t="str">
        <f t="shared" si="875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876"/>
        <v>40909</v>
      </c>
      <c r="D3878" s="4">
        <f t="shared" si="877"/>
        <v>0.5</v>
      </c>
      <c r="E3878" s="3">
        <f t="shared" si="878"/>
        <v>2012</v>
      </c>
      <c r="F3878" s="3">
        <f t="shared" si="879"/>
        <v>7</v>
      </c>
      <c r="G3878" s="3">
        <f t="shared" si="880"/>
        <v>2</v>
      </c>
      <c r="H3878" s="3">
        <f t="shared" si="881"/>
        <v>7</v>
      </c>
      <c r="I3878" s="3">
        <f t="shared" si="882"/>
        <v>30</v>
      </c>
      <c r="J3878" s="3">
        <f t="shared" si="883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884"/>
        <v>YES</v>
      </c>
      <c r="Q3878" t="str">
        <f t="shared" si="885"/>
        <v>NO</v>
      </c>
      <c r="R3878" t="str">
        <f t="shared" si="886"/>
        <v>NO</v>
      </c>
      <c r="T3878" t="s">
        <v>203</v>
      </c>
      <c r="U3878" t="str">
        <f t="shared" si="873"/>
        <v>Memorial Dr</v>
      </c>
      <c r="V3878" t="s">
        <v>37</v>
      </c>
      <c r="W3878" t="str">
        <f t="shared" si="874"/>
        <v>Magazine St</v>
      </c>
      <c r="X3878" t="str">
        <f>IF(ISBLANK(S3878),"Intersection","Non-Intersection")</f>
        <v>Intersection</v>
      </c>
      <c r="Y3878" t="s">
        <v>4702</v>
      </c>
      <c r="Z3878" t="str">
        <f t="shared" si="875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876"/>
        <v>40909</v>
      </c>
      <c r="D3879" s="4">
        <f t="shared" si="877"/>
        <v>0.5</v>
      </c>
      <c r="E3879" s="3">
        <f t="shared" si="878"/>
        <v>2012</v>
      </c>
      <c r="F3879" s="3">
        <f t="shared" si="879"/>
        <v>7</v>
      </c>
      <c r="G3879" s="3">
        <f t="shared" si="880"/>
        <v>2</v>
      </c>
      <c r="H3879" s="3">
        <f t="shared" si="881"/>
        <v>8</v>
      </c>
      <c r="I3879" s="3">
        <f t="shared" si="882"/>
        <v>7</v>
      </c>
      <c r="J3879" s="3">
        <f t="shared" si="883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884"/>
        <v>YES</v>
      </c>
      <c r="Q3879" t="str">
        <f t="shared" si="885"/>
        <v>NO</v>
      </c>
      <c r="R3879" t="str">
        <f t="shared" si="886"/>
        <v>YES</v>
      </c>
      <c r="S3879">
        <v>157</v>
      </c>
      <c r="T3879" t="s">
        <v>252</v>
      </c>
      <c r="U3879" t="str">
        <f t="shared" si="873"/>
        <v>Walden St</v>
      </c>
      <c r="W3879" t="str">
        <f t="shared" si="874"/>
        <v/>
      </c>
      <c r="X3879" t="str">
        <f>IF(ISBLANK(S3879),"Intersection","Non-Intersection")</f>
        <v>Non-Intersection</v>
      </c>
      <c r="Y3879" t="s">
        <v>4703</v>
      </c>
      <c r="Z3879" t="str">
        <f t="shared" si="875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876"/>
        <v>40909</v>
      </c>
      <c r="D3880" s="4">
        <f t="shared" si="877"/>
        <v>0.5</v>
      </c>
      <c r="E3880" s="3">
        <f t="shared" si="878"/>
        <v>2012</v>
      </c>
      <c r="F3880" s="3">
        <f t="shared" si="879"/>
        <v>7</v>
      </c>
      <c r="G3880" s="3">
        <f t="shared" si="880"/>
        <v>2</v>
      </c>
      <c r="H3880" s="3">
        <f t="shared" si="881"/>
        <v>2</v>
      </c>
      <c r="I3880" s="3">
        <f t="shared" si="882"/>
        <v>29</v>
      </c>
      <c r="J3880" s="3">
        <f t="shared" si="883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884"/>
        <v>YES</v>
      </c>
      <c r="Q3880" t="str">
        <f t="shared" si="885"/>
        <v>NO</v>
      </c>
      <c r="R3880" t="str">
        <f t="shared" si="886"/>
        <v>NO</v>
      </c>
      <c r="T3880" t="s">
        <v>41</v>
      </c>
      <c r="U3880" t="str">
        <f t="shared" si="873"/>
        <v>River St</v>
      </c>
      <c r="V3880" t="s">
        <v>203</v>
      </c>
      <c r="W3880" t="str">
        <f t="shared" si="874"/>
        <v>Memorial Dr</v>
      </c>
      <c r="X3880" t="str">
        <f>IF(ISBLANK(S3880),"Intersection","Non-Intersection")</f>
        <v>Intersection</v>
      </c>
      <c r="Y3880" t="s">
        <v>3110</v>
      </c>
      <c r="Z3880" t="str">
        <f t="shared" si="875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876"/>
        <v>40909</v>
      </c>
      <c r="D3881" s="4">
        <f t="shared" si="877"/>
        <v>0.5</v>
      </c>
      <c r="E3881" s="3">
        <f t="shared" si="878"/>
        <v>2012</v>
      </c>
      <c r="F3881" s="3">
        <f t="shared" si="879"/>
        <v>7</v>
      </c>
      <c r="G3881" s="3">
        <f t="shared" si="880"/>
        <v>2</v>
      </c>
      <c r="H3881" s="3">
        <f t="shared" si="881"/>
        <v>13</v>
      </c>
      <c r="I3881" s="3">
        <f t="shared" si="882"/>
        <v>30</v>
      </c>
      <c r="J3881" s="3">
        <f t="shared" si="883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884"/>
        <v>YES</v>
      </c>
      <c r="Q3881" t="str">
        <f t="shared" si="885"/>
        <v>NO</v>
      </c>
      <c r="R3881" t="str">
        <f t="shared" si="886"/>
        <v>NO</v>
      </c>
      <c r="T3881" t="s">
        <v>146</v>
      </c>
      <c r="U3881" t="str">
        <f t="shared" si="873"/>
        <v>Spring St</v>
      </c>
      <c r="V3881" t="s">
        <v>260</v>
      </c>
      <c r="W3881" t="str">
        <f t="shared" si="874"/>
        <v>Third St</v>
      </c>
      <c r="X3881" t="str">
        <f>IF(ISBLANK(S3881),"Intersection","Non-Intersection")</f>
        <v>Intersection</v>
      </c>
      <c r="Y3881" t="s">
        <v>1331</v>
      </c>
      <c r="Z3881" t="str">
        <f t="shared" si="875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876"/>
        <v>40909</v>
      </c>
      <c r="D3882" s="4">
        <f t="shared" si="877"/>
        <v>0.50273224043715847</v>
      </c>
      <c r="E3882" s="3">
        <f t="shared" si="878"/>
        <v>2012</v>
      </c>
      <c r="F3882" s="3">
        <f t="shared" si="879"/>
        <v>7</v>
      </c>
      <c r="G3882" s="3">
        <f t="shared" si="880"/>
        <v>3</v>
      </c>
      <c r="H3882" s="3">
        <f t="shared" si="881"/>
        <v>8</v>
      </c>
      <c r="I3882" s="3">
        <f t="shared" si="882"/>
        <v>0</v>
      </c>
      <c r="J3882" s="3">
        <f t="shared" si="883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884"/>
        <v>YES</v>
      </c>
      <c r="Q3882" t="str">
        <f t="shared" si="885"/>
        <v>YES</v>
      </c>
      <c r="R3882" t="str">
        <f t="shared" si="886"/>
        <v>NO</v>
      </c>
      <c r="T3882" t="s">
        <v>19</v>
      </c>
      <c r="U3882" t="str">
        <f t="shared" si="873"/>
        <v>Cambridge St</v>
      </c>
      <c r="V3882" t="s">
        <v>224</v>
      </c>
      <c r="W3882" t="str">
        <f t="shared" si="874"/>
        <v>Sumner Rd</v>
      </c>
      <c r="X3882" t="str">
        <f>IF(ISBLANK(S3882),"Intersection","Non-Intersection")</f>
        <v>Intersection</v>
      </c>
      <c r="Y3882" t="s">
        <v>1169</v>
      </c>
      <c r="Z3882" t="str">
        <f t="shared" si="875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876"/>
        <v>40909</v>
      </c>
      <c r="D3883" s="4">
        <f t="shared" si="877"/>
        <v>0.50273224043715847</v>
      </c>
      <c r="E3883" s="3">
        <f t="shared" si="878"/>
        <v>2012</v>
      </c>
      <c r="F3883" s="3">
        <f t="shared" si="879"/>
        <v>7</v>
      </c>
      <c r="G3883" s="3">
        <f t="shared" si="880"/>
        <v>3</v>
      </c>
      <c r="H3883" s="3">
        <f t="shared" si="881"/>
        <v>15</v>
      </c>
      <c r="I3883" s="3">
        <f t="shared" si="882"/>
        <v>0</v>
      </c>
      <c r="J3883" s="3">
        <f t="shared" si="883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884"/>
        <v>YES</v>
      </c>
      <c r="Q3883" t="str">
        <f t="shared" si="885"/>
        <v>YES</v>
      </c>
      <c r="R3883" t="str">
        <f t="shared" si="886"/>
        <v>NO</v>
      </c>
      <c r="S3883">
        <v>5</v>
      </c>
      <c r="T3883" t="s">
        <v>229</v>
      </c>
      <c r="U3883" t="str">
        <f t="shared" si="873"/>
        <v>Dewolfe St</v>
      </c>
      <c r="W3883" t="str">
        <f t="shared" si="874"/>
        <v/>
      </c>
      <c r="X3883" t="str">
        <f>IF(ISBLANK(S3883),"Intersection","Non-Intersection")</f>
        <v>Non-Intersection</v>
      </c>
      <c r="Y3883" t="s">
        <v>4706</v>
      </c>
      <c r="Z3883" t="str">
        <f t="shared" si="875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876"/>
        <v>40909</v>
      </c>
      <c r="D3884" s="4">
        <f t="shared" si="877"/>
        <v>0.50273224043715847</v>
      </c>
      <c r="E3884" s="3">
        <f t="shared" si="878"/>
        <v>2012</v>
      </c>
      <c r="F3884" s="3">
        <f t="shared" si="879"/>
        <v>7</v>
      </c>
      <c r="G3884" s="3">
        <f t="shared" si="880"/>
        <v>3</v>
      </c>
      <c r="H3884" s="3">
        <f t="shared" si="881"/>
        <v>18</v>
      </c>
      <c r="I3884" s="3">
        <f t="shared" si="882"/>
        <v>0</v>
      </c>
      <c r="J3884" s="3">
        <f t="shared" si="883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884"/>
        <v>YES</v>
      </c>
      <c r="Q3884" t="str">
        <f t="shared" si="885"/>
        <v>NO</v>
      </c>
      <c r="R3884" t="str">
        <f t="shared" si="886"/>
        <v>NO</v>
      </c>
      <c r="S3884">
        <v>432</v>
      </c>
      <c r="T3884" t="s">
        <v>105</v>
      </c>
      <c r="U3884" t="str">
        <f t="shared" si="873"/>
        <v>Broadway</v>
      </c>
      <c r="W3884" t="str">
        <f t="shared" si="874"/>
        <v/>
      </c>
      <c r="X3884" t="str">
        <f>IF(ISBLANK(S3884),"Intersection","Non-Intersection")</f>
        <v>Non-Intersection</v>
      </c>
      <c r="Y3884" t="s">
        <v>4708</v>
      </c>
      <c r="Z3884" t="str">
        <f t="shared" si="875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876"/>
        <v>40909</v>
      </c>
      <c r="D3885" s="4">
        <f t="shared" si="877"/>
        <v>0.50273224043715847</v>
      </c>
      <c r="E3885" s="3">
        <f t="shared" si="878"/>
        <v>2012</v>
      </c>
      <c r="F3885" s="3">
        <f t="shared" si="879"/>
        <v>7</v>
      </c>
      <c r="G3885" s="3">
        <f t="shared" si="880"/>
        <v>3</v>
      </c>
      <c r="H3885" s="3">
        <f t="shared" si="881"/>
        <v>18</v>
      </c>
      <c r="I3885" s="3">
        <f t="shared" si="882"/>
        <v>4</v>
      </c>
      <c r="J3885" s="3">
        <f t="shared" si="883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884"/>
        <v>YES</v>
      </c>
      <c r="Q3885" t="str">
        <f t="shared" si="885"/>
        <v>YES</v>
      </c>
      <c r="R3885" t="str">
        <f t="shared" si="886"/>
        <v>NO</v>
      </c>
      <c r="T3885" t="s">
        <v>101</v>
      </c>
      <c r="U3885" t="str">
        <f t="shared" si="873"/>
        <v>Columbia St</v>
      </c>
      <c r="V3885" t="s">
        <v>105</v>
      </c>
      <c r="W3885" t="str">
        <f t="shared" si="874"/>
        <v>Broadway</v>
      </c>
      <c r="X3885" t="str">
        <f>IF(ISBLANK(S3885),"Intersection","Non-Intersection")</f>
        <v>Intersection</v>
      </c>
      <c r="Y3885" t="s">
        <v>2632</v>
      </c>
      <c r="Z3885" t="str">
        <f t="shared" si="875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876"/>
        <v>40909</v>
      </c>
      <c r="D3886" s="4">
        <f t="shared" si="877"/>
        <v>0.50273224043715847</v>
      </c>
      <c r="E3886" s="3">
        <f t="shared" si="878"/>
        <v>2012</v>
      </c>
      <c r="F3886" s="3">
        <f t="shared" si="879"/>
        <v>7</v>
      </c>
      <c r="G3886" s="3">
        <f t="shared" si="880"/>
        <v>3</v>
      </c>
      <c r="H3886" s="3">
        <f t="shared" si="881"/>
        <v>7</v>
      </c>
      <c r="I3886" s="3">
        <f t="shared" si="882"/>
        <v>32</v>
      </c>
      <c r="J3886" s="3">
        <f t="shared" si="883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884"/>
        <v>YES</v>
      </c>
      <c r="Q3886" t="str">
        <f t="shared" si="885"/>
        <v>NO</v>
      </c>
      <c r="R3886" t="str">
        <f t="shared" si="886"/>
        <v>NO</v>
      </c>
      <c r="T3886" t="s">
        <v>19</v>
      </c>
      <c r="U3886" t="str">
        <f t="shared" si="873"/>
        <v>Cambridge St</v>
      </c>
      <c r="V3886" t="s">
        <v>2820</v>
      </c>
      <c r="W3886" t="str">
        <f t="shared" si="874"/>
        <v>Hunting St</v>
      </c>
      <c r="X3886" t="str">
        <f>IF(ISBLANK(S3886),"Intersection","Non-Intersection")</f>
        <v>Intersection</v>
      </c>
      <c r="Y3886" t="s">
        <v>3582</v>
      </c>
      <c r="Z3886" t="str">
        <f t="shared" si="875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876"/>
        <v>40909</v>
      </c>
      <c r="D3887" s="4">
        <f t="shared" si="877"/>
        <v>0.50273224043715847</v>
      </c>
      <c r="E3887" s="3">
        <f t="shared" si="878"/>
        <v>2012</v>
      </c>
      <c r="F3887" s="3">
        <f t="shared" si="879"/>
        <v>7</v>
      </c>
      <c r="G3887" s="3">
        <f t="shared" si="880"/>
        <v>3</v>
      </c>
      <c r="H3887" s="3">
        <f t="shared" si="881"/>
        <v>12</v>
      </c>
      <c r="I3887" s="3">
        <f t="shared" si="882"/>
        <v>20</v>
      </c>
      <c r="J3887" s="3">
        <f t="shared" si="883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884"/>
        <v>YES</v>
      </c>
      <c r="Q3887" t="str">
        <f t="shared" si="885"/>
        <v>NO</v>
      </c>
      <c r="R3887" t="str">
        <f t="shared" si="886"/>
        <v>NO</v>
      </c>
      <c r="T3887" t="s">
        <v>186</v>
      </c>
      <c r="U3887" t="str">
        <f t="shared" si="873"/>
        <v>Concord Ave</v>
      </c>
      <c r="V3887" t="s">
        <v>1065</v>
      </c>
      <c r="W3887" t="str">
        <f t="shared" si="874"/>
        <v>Fern St</v>
      </c>
      <c r="X3887" t="str">
        <f>IF(ISBLANK(S3887),"Intersection","Non-Intersection")</f>
        <v>Intersection</v>
      </c>
      <c r="Y3887" t="s">
        <v>1066</v>
      </c>
      <c r="Z3887" t="str">
        <f t="shared" si="875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876"/>
        <v>40909</v>
      </c>
      <c r="D3888" s="4">
        <f t="shared" si="877"/>
        <v>0.50546448087431695</v>
      </c>
      <c r="E3888" s="3">
        <f t="shared" si="878"/>
        <v>2012</v>
      </c>
      <c r="F3888" s="3">
        <f t="shared" si="879"/>
        <v>7</v>
      </c>
      <c r="G3888" s="3">
        <f t="shared" si="880"/>
        <v>4</v>
      </c>
      <c r="H3888" s="3">
        <f t="shared" si="881"/>
        <v>8</v>
      </c>
      <c r="I3888" s="3">
        <f t="shared" si="882"/>
        <v>39</v>
      </c>
      <c r="J3888" s="3">
        <f t="shared" si="883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884"/>
        <v>YES</v>
      </c>
      <c r="Q3888" t="str">
        <f t="shared" si="885"/>
        <v>NO</v>
      </c>
      <c r="R3888" t="str">
        <f t="shared" si="886"/>
        <v>NO</v>
      </c>
      <c r="T3888" t="s">
        <v>453</v>
      </c>
      <c r="U3888" t="str">
        <f t="shared" si="873"/>
        <v>Brookline St</v>
      </c>
      <c r="V3888" t="s">
        <v>332</v>
      </c>
      <c r="W3888" t="str">
        <f t="shared" si="874"/>
        <v>Allston St</v>
      </c>
      <c r="X3888" t="str">
        <f>IF(ISBLANK(S3888),"Intersection","Non-Intersection")</f>
        <v>Intersection</v>
      </c>
      <c r="Y3888" t="s">
        <v>1629</v>
      </c>
      <c r="Z3888" t="str">
        <f t="shared" si="875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876"/>
        <v>40909</v>
      </c>
      <c r="D3889" s="4">
        <f t="shared" si="877"/>
        <v>0.50819672131147542</v>
      </c>
      <c r="E3889" s="3">
        <f t="shared" si="878"/>
        <v>2012</v>
      </c>
      <c r="F3889" s="3">
        <f t="shared" si="879"/>
        <v>7</v>
      </c>
      <c r="G3889" s="3">
        <f t="shared" si="880"/>
        <v>5</v>
      </c>
      <c r="H3889" s="3">
        <f t="shared" si="881"/>
        <v>8</v>
      </c>
      <c r="I3889" s="3">
        <f t="shared" si="882"/>
        <v>39</v>
      </c>
      <c r="J3889" s="3">
        <f t="shared" si="883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884"/>
        <v>YES</v>
      </c>
      <c r="Q3889" t="str">
        <f t="shared" si="885"/>
        <v>NO</v>
      </c>
      <c r="R3889" t="str">
        <f t="shared" si="886"/>
        <v>NO</v>
      </c>
      <c r="T3889" t="s">
        <v>195</v>
      </c>
      <c r="U3889" t="str">
        <f t="shared" si="873"/>
        <v>Sidney St</v>
      </c>
      <c r="W3889" t="str">
        <f t="shared" si="874"/>
        <v/>
      </c>
      <c r="X3889" t="str">
        <f>IF(ISBLANK(S3889),"Intersection","Non-Intersection")</f>
        <v>Intersection</v>
      </c>
      <c r="Y3889" t="s">
        <v>4710</v>
      </c>
      <c r="Z3889" t="str">
        <f t="shared" si="875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876"/>
        <v>40909</v>
      </c>
      <c r="D3890" s="4">
        <f t="shared" si="877"/>
        <v>0.50819672131147542</v>
      </c>
      <c r="E3890" s="3">
        <f t="shared" si="878"/>
        <v>2012</v>
      </c>
      <c r="F3890" s="3">
        <f t="shared" si="879"/>
        <v>7</v>
      </c>
      <c r="G3890" s="3">
        <f t="shared" si="880"/>
        <v>5</v>
      </c>
      <c r="H3890" s="3">
        <f t="shared" si="881"/>
        <v>13</v>
      </c>
      <c r="I3890" s="3">
        <f t="shared" si="882"/>
        <v>54</v>
      </c>
      <c r="J3890" s="3">
        <f t="shared" si="883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884"/>
        <v>YES</v>
      </c>
      <c r="Q3890" t="str">
        <f t="shared" si="885"/>
        <v>NO</v>
      </c>
      <c r="R3890" t="str">
        <f t="shared" si="886"/>
        <v>NO</v>
      </c>
      <c r="T3890" t="s">
        <v>19</v>
      </c>
      <c r="U3890" t="str">
        <f t="shared" si="873"/>
        <v>Cambridge St</v>
      </c>
      <c r="V3890" t="s">
        <v>101</v>
      </c>
      <c r="W3890" t="str">
        <f t="shared" si="874"/>
        <v>Columbia St</v>
      </c>
      <c r="X3890" t="str">
        <f>IF(ISBLANK(S3890),"Intersection","Non-Intersection")</f>
        <v>Intersection</v>
      </c>
      <c r="Y3890" t="s">
        <v>438</v>
      </c>
      <c r="Z3890" t="str">
        <f t="shared" si="875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876"/>
        <v>40909</v>
      </c>
      <c r="D3891" s="4">
        <f t="shared" si="877"/>
        <v>0.50819672131147542</v>
      </c>
      <c r="E3891" s="3">
        <f t="shared" si="878"/>
        <v>2012</v>
      </c>
      <c r="F3891" s="3">
        <f t="shared" si="879"/>
        <v>7</v>
      </c>
      <c r="G3891" s="3">
        <f t="shared" si="880"/>
        <v>5</v>
      </c>
      <c r="H3891" s="3">
        <f t="shared" si="881"/>
        <v>12</v>
      </c>
      <c r="I3891" s="3">
        <f t="shared" si="882"/>
        <v>59</v>
      </c>
      <c r="J3891" s="3">
        <f t="shared" si="883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884"/>
        <v>YES</v>
      </c>
      <c r="Q3891" t="str">
        <f t="shared" si="885"/>
        <v>NO</v>
      </c>
      <c r="R3891" t="str">
        <f t="shared" si="886"/>
        <v>NO</v>
      </c>
      <c r="T3891" t="s">
        <v>268</v>
      </c>
      <c r="U3891" t="str">
        <f t="shared" si="873"/>
        <v>White St</v>
      </c>
      <c r="V3891" t="s">
        <v>269</v>
      </c>
      <c r="W3891" t="str">
        <f t="shared" si="874"/>
        <v>Porter Sq</v>
      </c>
      <c r="X3891" t="str">
        <f>IF(ISBLANK(S3891),"Intersection","Non-Intersection")</f>
        <v>Intersection</v>
      </c>
      <c r="Y3891" t="s">
        <v>4711</v>
      </c>
      <c r="Z3891" t="str">
        <f t="shared" si="875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876"/>
        <v>40909</v>
      </c>
      <c r="D3892" s="4">
        <f t="shared" si="877"/>
        <v>0.50819672131147542</v>
      </c>
      <c r="E3892" s="3">
        <f t="shared" si="878"/>
        <v>2012</v>
      </c>
      <c r="F3892" s="3">
        <f t="shared" si="879"/>
        <v>7</v>
      </c>
      <c r="G3892" s="3">
        <f t="shared" si="880"/>
        <v>5</v>
      </c>
      <c r="H3892" s="3">
        <f t="shared" si="881"/>
        <v>13</v>
      </c>
      <c r="I3892" s="3">
        <f t="shared" si="882"/>
        <v>22</v>
      </c>
      <c r="J3892" s="3">
        <f t="shared" si="883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884"/>
        <v>YES</v>
      </c>
      <c r="Q3892" t="str">
        <f t="shared" si="885"/>
        <v>NO</v>
      </c>
      <c r="R3892" t="str">
        <f t="shared" si="886"/>
        <v>NO</v>
      </c>
      <c r="T3892" t="s">
        <v>198</v>
      </c>
      <c r="U3892" t="str">
        <f t="shared" si="873"/>
        <v>Mount Auburn St</v>
      </c>
      <c r="V3892" t="s">
        <v>2683</v>
      </c>
      <c r="W3892" t="str">
        <f t="shared" si="874"/>
        <v>Channing St</v>
      </c>
      <c r="X3892" t="str">
        <f>IF(ISBLANK(S3892),"Intersection","Non-Intersection")</f>
        <v>Intersection</v>
      </c>
      <c r="Y3892" t="s">
        <v>4713</v>
      </c>
      <c r="Z3892" t="str">
        <f t="shared" si="875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876"/>
        <v>40909</v>
      </c>
      <c r="D3893" s="4">
        <f t="shared" si="877"/>
        <v>0.50819672131147542</v>
      </c>
      <c r="E3893" s="3">
        <f t="shared" si="878"/>
        <v>2012</v>
      </c>
      <c r="F3893" s="3">
        <f t="shared" si="879"/>
        <v>7</v>
      </c>
      <c r="G3893" s="3">
        <f t="shared" si="880"/>
        <v>5</v>
      </c>
      <c r="H3893" s="3">
        <f t="shared" si="881"/>
        <v>14</v>
      </c>
      <c r="I3893" s="3">
        <f t="shared" si="882"/>
        <v>26</v>
      </c>
      <c r="J3893" s="3">
        <f t="shared" si="883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884"/>
        <v>YES</v>
      </c>
      <c r="Q3893" t="str">
        <f t="shared" si="885"/>
        <v>NO</v>
      </c>
      <c r="R3893" t="str">
        <f t="shared" si="886"/>
        <v>NO</v>
      </c>
      <c r="S3893">
        <v>118</v>
      </c>
      <c r="T3893" t="s">
        <v>745</v>
      </c>
      <c r="U3893" t="str">
        <f t="shared" si="873"/>
        <v>Norfolk St</v>
      </c>
      <c r="W3893" t="str">
        <f t="shared" si="874"/>
        <v/>
      </c>
      <c r="X3893" t="str">
        <f>IF(ISBLANK(S3893),"Intersection","Non-Intersection")</f>
        <v>Non-Intersection</v>
      </c>
      <c r="Y3893" t="s">
        <v>4715</v>
      </c>
      <c r="Z3893" t="str">
        <f t="shared" si="875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876"/>
        <v>40909</v>
      </c>
      <c r="D3894" s="4">
        <f t="shared" si="877"/>
        <v>0.51092896174863389</v>
      </c>
      <c r="E3894" s="3">
        <f t="shared" si="878"/>
        <v>2012</v>
      </c>
      <c r="F3894" s="3">
        <f t="shared" si="879"/>
        <v>7</v>
      </c>
      <c r="G3894" s="3">
        <f t="shared" si="880"/>
        <v>6</v>
      </c>
      <c r="H3894" s="3">
        <f t="shared" si="881"/>
        <v>18</v>
      </c>
      <c r="I3894" s="3">
        <f t="shared" si="882"/>
        <v>40</v>
      </c>
      <c r="J3894" s="3">
        <f t="shared" si="883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884"/>
        <v>YES</v>
      </c>
      <c r="Q3894" t="str">
        <f t="shared" si="885"/>
        <v>NO</v>
      </c>
      <c r="R3894" t="str">
        <f t="shared" si="886"/>
        <v>NO</v>
      </c>
      <c r="T3894" t="s">
        <v>260</v>
      </c>
      <c r="U3894" t="str">
        <f t="shared" si="873"/>
        <v>Third St</v>
      </c>
      <c r="V3894" t="s">
        <v>19</v>
      </c>
      <c r="W3894" t="str">
        <f t="shared" si="874"/>
        <v>Cambridge St</v>
      </c>
      <c r="X3894" t="str">
        <f>IF(ISBLANK(S3894),"Intersection","Non-Intersection")</f>
        <v>Intersection</v>
      </c>
      <c r="Y3894" t="s">
        <v>2227</v>
      </c>
      <c r="Z3894" t="str">
        <f t="shared" si="875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876"/>
        <v>40909</v>
      </c>
      <c r="D3895" s="4">
        <f t="shared" si="877"/>
        <v>0.51366120218579236</v>
      </c>
      <c r="E3895" s="3">
        <f t="shared" si="878"/>
        <v>2012</v>
      </c>
      <c r="F3895" s="3">
        <f t="shared" si="879"/>
        <v>7</v>
      </c>
      <c r="G3895" s="3">
        <f t="shared" si="880"/>
        <v>7</v>
      </c>
      <c r="H3895" s="3">
        <f t="shared" si="881"/>
        <v>7</v>
      </c>
      <c r="I3895" s="3">
        <f t="shared" si="882"/>
        <v>57</v>
      </c>
      <c r="J3895" s="3">
        <f t="shared" si="883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884"/>
        <v>YES</v>
      </c>
      <c r="Q3895" t="str">
        <f t="shared" si="885"/>
        <v>NO</v>
      </c>
      <c r="R3895" t="str">
        <f t="shared" si="886"/>
        <v>YES</v>
      </c>
      <c r="T3895" t="s">
        <v>14</v>
      </c>
      <c r="U3895" t="str">
        <f t="shared" si="873"/>
        <v>Massachusetts Ave</v>
      </c>
      <c r="V3895" t="s">
        <v>977</v>
      </c>
      <c r="W3895" t="str">
        <f t="shared" si="874"/>
        <v>Russell St</v>
      </c>
      <c r="X3895" t="str">
        <f>IF(ISBLANK(S3895),"Intersection","Non-Intersection")</f>
        <v>Intersection</v>
      </c>
      <c r="Y3895" t="s">
        <v>978</v>
      </c>
      <c r="Z3895" t="str">
        <f t="shared" si="875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876"/>
        <v>40909</v>
      </c>
      <c r="D3896" s="4">
        <f t="shared" si="877"/>
        <v>0.51366120218579236</v>
      </c>
      <c r="E3896" s="3">
        <f t="shared" si="878"/>
        <v>2012</v>
      </c>
      <c r="F3896" s="3">
        <f t="shared" si="879"/>
        <v>7</v>
      </c>
      <c r="G3896" s="3">
        <f t="shared" si="880"/>
        <v>7</v>
      </c>
      <c r="H3896" s="3">
        <f t="shared" si="881"/>
        <v>14</v>
      </c>
      <c r="I3896" s="3">
        <f t="shared" si="882"/>
        <v>10</v>
      </c>
      <c r="J3896" s="3">
        <f t="shared" si="883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884"/>
        <v>YES</v>
      </c>
      <c r="Q3896" t="str">
        <f t="shared" si="885"/>
        <v>NO</v>
      </c>
      <c r="R3896" t="str">
        <f t="shared" si="886"/>
        <v>NO</v>
      </c>
      <c r="T3896" t="s">
        <v>198</v>
      </c>
      <c r="U3896" t="str">
        <f t="shared" si="873"/>
        <v>Mount Auburn St</v>
      </c>
      <c r="V3896" t="s">
        <v>935</v>
      </c>
      <c r="W3896" t="str">
        <f t="shared" si="874"/>
        <v>Hawthorne St</v>
      </c>
      <c r="X3896" t="str">
        <f>IF(ISBLANK(S3896),"Intersection","Non-Intersection")</f>
        <v>Intersection</v>
      </c>
      <c r="Y3896" t="s">
        <v>1887</v>
      </c>
      <c r="Z3896" t="str">
        <f t="shared" si="875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876"/>
        <v>40909</v>
      </c>
      <c r="D3897" s="4">
        <f t="shared" si="877"/>
        <v>0.51639344262295084</v>
      </c>
      <c r="E3897" s="3">
        <f t="shared" si="878"/>
        <v>2012</v>
      </c>
      <c r="F3897" s="3">
        <f t="shared" si="879"/>
        <v>7</v>
      </c>
      <c r="G3897" s="3">
        <f t="shared" si="880"/>
        <v>8</v>
      </c>
      <c r="H3897" s="3">
        <f t="shared" si="881"/>
        <v>19</v>
      </c>
      <c r="I3897" s="3">
        <f t="shared" si="882"/>
        <v>30</v>
      </c>
      <c r="J3897" s="3">
        <f t="shared" si="883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884"/>
        <v>YES</v>
      </c>
      <c r="Q3897" t="str">
        <f t="shared" si="885"/>
        <v>NO</v>
      </c>
      <c r="R3897" t="str">
        <f t="shared" si="886"/>
        <v>NO</v>
      </c>
      <c r="T3897" t="s">
        <v>805</v>
      </c>
      <c r="U3897" t="str">
        <f t="shared" si="873"/>
        <v>Trowbridge St</v>
      </c>
      <c r="V3897" t="s">
        <v>133</v>
      </c>
      <c r="W3897" t="str">
        <f t="shared" si="874"/>
        <v>Harvard St</v>
      </c>
      <c r="X3897" t="str">
        <f>IF(ISBLANK(S3897),"Intersection","Non-Intersection")</f>
        <v>Intersection</v>
      </c>
      <c r="Y3897" t="s">
        <v>1699</v>
      </c>
      <c r="Z3897" t="str">
        <f t="shared" si="875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876"/>
        <v>40909</v>
      </c>
      <c r="D3898" s="4">
        <f t="shared" si="877"/>
        <v>0.51912568306010931</v>
      </c>
      <c r="E3898" s="3">
        <f t="shared" si="878"/>
        <v>2012</v>
      </c>
      <c r="F3898" s="3">
        <f t="shared" si="879"/>
        <v>7</v>
      </c>
      <c r="G3898" s="3">
        <f t="shared" si="880"/>
        <v>9</v>
      </c>
      <c r="H3898" s="3">
        <f t="shared" si="881"/>
        <v>8</v>
      </c>
      <c r="I3898" s="3">
        <f t="shared" si="882"/>
        <v>29</v>
      </c>
      <c r="J3898" s="3">
        <f t="shared" si="883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884"/>
        <v>YES</v>
      </c>
      <c r="Q3898" t="str">
        <f t="shared" si="885"/>
        <v>NO</v>
      </c>
      <c r="R3898" t="str">
        <f t="shared" si="886"/>
        <v>NO</v>
      </c>
      <c r="T3898" t="s">
        <v>185</v>
      </c>
      <c r="U3898" t="str">
        <f t="shared" si="873"/>
        <v>Garden St</v>
      </c>
      <c r="V3898" t="s">
        <v>186</v>
      </c>
      <c r="W3898" t="str">
        <f t="shared" si="874"/>
        <v>Concord Ave</v>
      </c>
      <c r="X3898" t="str">
        <f>IF(ISBLANK(S3898),"Intersection","Non-Intersection")</f>
        <v>Intersection</v>
      </c>
      <c r="Y3898" t="s">
        <v>187</v>
      </c>
      <c r="Z3898" t="str">
        <f t="shared" si="875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876"/>
        <v>40909</v>
      </c>
      <c r="D3899" s="4">
        <f t="shared" si="877"/>
        <v>0.51912568306010931</v>
      </c>
      <c r="E3899" s="3">
        <f t="shared" si="878"/>
        <v>2012</v>
      </c>
      <c r="F3899" s="3">
        <f t="shared" si="879"/>
        <v>7</v>
      </c>
      <c r="G3899" s="3">
        <f t="shared" si="880"/>
        <v>9</v>
      </c>
      <c r="H3899" s="3">
        <f t="shared" si="881"/>
        <v>15</v>
      </c>
      <c r="I3899" s="3">
        <f t="shared" si="882"/>
        <v>11</v>
      </c>
      <c r="J3899" s="3">
        <f t="shared" si="883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884"/>
        <v>YES</v>
      </c>
      <c r="Q3899" t="str">
        <f t="shared" si="885"/>
        <v>NO</v>
      </c>
      <c r="R3899" t="str">
        <f t="shared" si="886"/>
        <v>NO</v>
      </c>
      <c r="S3899">
        <v>725</v>
      </c>
      <c r="T3899" t="s">
        <v>186</v>
      </c>
      <c r="U3899" t="str">
        <f t="shared" si="873"/>
        <v>Concord Ave</v>
      </c>
      <c r="W3899" t="str">
        <f t="shared" si="874"/>
        <v/>
      </c>
      <c r="X3899" t="str">
        <f>IF(ISBLANK(S3899),"Intersection","Non-Intersection")</f>
        <v>Non-Intersection</v>
      </c>
      <c r="Y3899" t="s">
        <v>617</v>
      </c>
      <c r="Z3899" t="str">
        <f t="shared" si="875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876"/>
        <v>40909</v>
      </c>
      <c r="D3900" s="4">
        <f t="shared" si="877"/>
        <v>0.51912568306010931</v>
      </c>
      <c r="E3900" s="3">
        <f t="shared" si="878"/>
        <v>2012</v>
      </c>
      <c r="F3900" s="3">
        <f t="shared" si="879"/>
        <v>7</v>
      </c>
      <c r="G3900" s="3">
        <f t="shared" si="880"/>
        <v>9</v>
      </c>
      <c r="H3900" s="3">
        <f t="shared" si="881"/>
        <v>15</v>
      </c>
      <c r="I3900" s="3">
        <f t="shared" si="882"/>
        <v>4</v>
      </c>
      <c r="J3900" s="3">
        <f t="shared" si="883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884"/>
        <v>YES</v>
      </c>
      <c r="Q3900" t="str">
        <f t="shared" si="885"/>
        <v>NO</v>
      </c>
      <c r="R3900" t="str">
        <f t="shared" si="886"/>
        <v>NO</v>
      </c>
      <c r="S3900">
        <v>205</v>
      </c>
      <c r="T3900" t="s">
        <v>365</v>
      </c>
      <c r="U3900" t="str">
        <f t="shared" si="873"/>
        <v>Hurley St</v>
      </c>
      <c r="W3900" t="str">
        <f t="shared" si="874"/>
        <v/>
      </c>
      <c r="X3900" t="str">
        <f>IF(ISBLANK(S3900),"Intersection","Non-Intersection")</f>
        <v>Non-Intersection</v>
      </c>
      <c r="Y3900" t="s">
        <v>4717</v>
      </c>
      <c r="Z3900" t="str">
        <f t="shared" si="875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876"/>
        <v>40909</v>
      </c>
      <c r="D3901" s="4">
        <f t="shared" si="877"/>
        <v>0.51912568306010931</v>
      </c>
      <c r="E3901" s="3">
        <f t="shared" si="878"/>
        <v>2012</v>
      </c>
      <c r="F3901" s="3">
        <f t="shared" si="879"/>
        <v>7</v>
      </c>
      <c r="G3901" s="3">
        <f t="shared" si="880"/>
        <v>9</v>
      </c>
      <c r="H3901" s="3">
        <f t="shared" si="881"/>
        <v>12</v>
      </c>
      <c r="I3901" s="3">
        <f t="shared" si="882"/>
        <v>59</v>
      </c>
      <c r="J3901" s="3">
        <f t="shared" si="883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884"/>
        <v>YES</v>
      </c>
      <c r="Q3901" t="str">
        <f t="shared" si="885"/>
        <v>NO</v>
      </c>
      <c r="R3901" t="str">
        <f t="shared" si="886"/>
        <v>NO</v>
      </c>
      <c r="S3901">
        <v>725</v>
      </c>
      <c r="T3901" t="s">
        <v>186</v>
      </c>
      <c r="U3901" t="str">
        <f t="shared" si="873"/>
        <v>Concord Ave</v>
      </c>
      <c r="W3901" t="str">
        <f t="shared" si="874"/>
        <v/>
      </c>
      <c r="X3901" t="str">
        <f>IF(ISBLANK(S3901),"Intersection","Non-Intersection")</f>
        <v>Non-Intersection</v>
      </c>
      <c r="Y3901" t="s">
        <v>617</v>
      </c>
      <c r="Z3901" t="str">
        <f t="shared" si="875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876"/>
        <v>40909</v>
      </c>
      <c r="D3902" s="4">
        <f t="shared" si="877"/>
        <v>0.51912568306010931</v>
      </c>
      <c r="E3902" s="3">
        <f t="shared" si="878"/>
        <v>2012</v>
      </c>
      <c r="F3902" s="3">
        <f t="shared" si="879"/>
        <v>7</v>
      </c>
      <c r="G3902" s="3">
        <f t="shared" si="880"/>
        <v>9</v>
      </c>
      <c r="H3902" s="3">
        <f t="shared" si="881"/>
        <v>8</v>
      </c>
      <c r="I3902" s="3">
        <f t="shared" si="882"/>
        <v>45</v>
      </c>
      <c r="J3902" s="3">
        <f t="shared" si="883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884"/>
        <v>YES</v>
      </c>
      <c r="Q3902" t="str">
        <f t="shared" si="885"/>
        <v>NO</v>
      </c>
      <c r="R3902" t="str">
        <f t="shared" si="886"/>
        <v>NO</v>
      </c>
      <c r="T3902" t="s">
        <v>15</v>
      </c>
      <c r="U3902" t="str">
        <f t="shared" si="873"/>
        <v>Rindge Ave</v>
      </c>
      <c r="V3902" t="s">
        <v>4506</v>
      </c>
      <c r="W3902" t="str">
        <f t="shared" si="874"/>
        <v>Haskell St</v>
      </c>
      <c r="X3902" t="str">
        <f>IF(ISBLANK(S3902),"Intersection","Non-Intersection")</f>
        <v>Intersection</v>
      </c>
      <c r="Y3902" t="s">
        <v>4719</v>
      </c>
      <c r="Z3902" t="str">
        <f t="shared" si="875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876"/>
        <v>40909</v>
      </c>
      <c r="D3903" s="4">
        <f t="shared" si="877"/>
        <v>0.51912568306010931</v>
      </c>
      <c r="E3903" s="3">
        <f t="shared" si="878"/>
        <v>2012</v>
      </c>
      <c r="F3903" s="3">
        <f t="shared" si="879"/>
        <v>7</v>
      </c>
      <c r="G3903" s="3">
        <f t="shared" si="880"/>
        <v>9</v>
      </c>
      <c r="H3903" s="3">
        <f t="shared" si="881"/>
        <v>22</v>
      </c>
      <c r="I3903" s="3">
        <f t="shared" si="882"/>
        <v>15</v>
      </c>
      <c r="J3903" s="3">
        <f t="shared" si="883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884"/>
        <v>YES</v>
      </c>
      <c r="Q3903" t="str">
        <f t="shared" si="885"/>
        <v>NO</v>
      </c>
      <c r="R3903" t="str">
        <f t="shared" si="886"/>
        <v>NO</v>
      </c>
      <c r="S3903">
        <v>1</v>
      </c>
      <c r="T3903" t="s">
        <v>268</v>
      </c>
      <c r="U3903" t="str">
        <f t="shared" si="873"/>
        <v>White St</v>
      </c>
      <c r="W3903" t="str">
        <f t="shared" si="874"/>
        <v/>
      </c>
      <c r="X3903" t="str">
        <f>IF(ISBLANK(S3903),"Intersection","Non-Intersection")</f>
        <v>Non-Intersection</v>
      </c>
      <c r="Y3903" t="s">
        <v>272</v>
      </c>
      <c r="Z3903" t="str">
        <f t="shared" si="875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876"/>
        <v>40909</v>
      </c>
      <c r="D3904" s="4">
        <f t="shared" si="877"/>
        <v>0.51912568306010931</v>
      </c>
      <c r="E3904" s="3">
        <f t="shared" si="878"/>
        <v>2012</v>
      </c>
      <c r="F3904" s="3">
        <f t="shared" si="879"/>
        <v>7</v>
      </c>
      <c r="G3904" s="3">
        <f t="shared" si="880"/>
        <v>9</v>
      </c>
      <c r="H3904" s="3">
        <f t="shared" si="881"/>
        <v>10</v>
      </c>
      <c r="I3904" s="3">
        <f t="shared" si="882"/>
        <v>40</v>
      </c>
      <c r="J3904" s="3">
        <f t="shared" si="883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884"/>
        <v>YES</v>
      </c>
      <c r="Q3904" t="str">
        <f t="shared" si="885"/>
        <v>NO</v>
      </c>
      <c r="R3904" t="str">
        <f t="shared" si="886"/>
        <v>NO</v>
      </c>
      <c r="S3904">
        <v>640</v>
      </c>
      <c r="T3904" t="s">
        <v>186</v>
      </c>
      <c r="U3904" t="str">
        <f t="shared" si="873"/>
        <v>Concord Ave</v>
      </c>
      <c r="W3904" t="str">
        <f t="shared" si="874"/>
        <v/>
      </c>
      <c r="X3904" t="str">
        <f>IF(ISBLANK(S3904),"Intersection","Non-Intersection")</f>
        <v>Non-Intersection</v>
      </c>
      <c r="Y3904" t="s">
        <v>3838</v>
      </c>
      <c r="Z3904" t="str">
        <f t="shared" si="875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876"/>
        <v>40909</v>
      </c>
      <c r="D3905" s="4">
        <f t="shared" si="877"/>
        <v>0.51912568306010931</v>
      </c>
      <c r="E3905" s="3">
        <f t="shared" si="878"/>
        <v>2012</v>
      </c>
      <c r="F3905" s="3">
        <f t="shared" si="879"/>
        <v>7</v>
      </c>
      <c r="G3905" s="3">
        <f t="shared" si="880"/>
        <v>9</v>
      </c>
      <c r="H3905" s="3">
        <f t="shared" si="881"/>
        <v>9</v>
      </c>
      <c r="I3905" s="3">
        <f t="shared" si="882"/>
        <v>55</v>
      </c>
      <c r="J3905" s="3">
        <f t="shared" si="883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884"/>
        <v>YES</v>
      </c>
      <c r="Q3905" t="str">
        <f t="shared" si="885"/>
        <v>NO</v>
      </c>
      <c r="R3905" t="str">
        <f t="shared" si="886"/>
        <v>NO</v>
      </c>
      <c r="U3905" t="str">
        <f t="shared" si="873"/>
        <v/>
      </c>
      <c r="W3905" t="str">
        <f t="shared" si="874"/>
        <v/>
      </c>
      <c r="X3905" t="str">
        <f>IF(ISBLANK(S3905),"Intersection","Non-Intersection")</f>
        <v>Intersection</v>
      </c>
      <c r="Y3905" t="s">
        <v>717</v>
      </c>
      <c r="Z3905" t="str">
        <f t="shared" si="875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876"/>
        <v>40909</v>
      </c>
      <c r="D3906" s="4">
        <f t="shared" si="877"/>
        <v>0.52185792349726778</v>
      </c>
      <c r="E3906" s="3">
        <f t="shared" si="878"/>
        <v>2012</v>
      </c>
      <c r="F3906" s="3">
        <f t="shared" si="879"/>
        <v>7</v>
      </c>
      <c r="G3906" s="3">
        <f t="shared" si="880"/>
        <v>10</v>
      </c>
      <c r="H3906" s="3">
        <f t="shared" si="881"/>
        <v>7</v>
      </c>
      <c r="I3906" s="3">
        <f t="shared" si="882"/>
        <v>50</v>
      </c>
      <c r="J3906" s="3">
        <f t="shared" si="883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884"/>
        <v>YES</v>
      </c>
      <c r="Q3906" t="str">
        <f t="shared" si="885"/>
        <v>YES</v>
      </c>
      <c r="R3906" t="str">
        <f t="shared" si="886"/>
        <v>NO</v>
      </c>
      <c r="T3906" t="s">
        <v>32</v>
      </c>
      <c r="U3906" t="str">
        <f t="shared" si="873"/>
        <v>Main St</v>
      </c>
      <c r="V3906" t="s">
        <v>796</v>
      </c>
      <c r="W3906" t="str">
        <f t="shared" si="874"/>
        <v>Portland St</v>
      </c>
      <c r="X3906" t="str">
        <f>IF(ISBLANK(S3906),"Intersection","Non-Intersection")</f>
        <v>Intersection</v>
      </c>
      <c r="Y3906" t="s">
        <v>932</v>
      </c>
      <c r="Z3906" t="str">
        <f t="shared" si="875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876"/>
        <v>40909</v>
      </c>
      <c r="D3907" s="4">
        <f t="shared" si="877"/>
        <v>0.52185792349726778</v>
      </c>
      <c r="E3907" s="3">
        <f t="shared" si="878"/>
        <v>2012</v>
      </c>
      <c r="F3907" s="3">
        <f t="shared" si="879"/>
        <v>7</v>
      </c>
      <c r="G3907" s="3">
        <f t="shared" si="880"/>
        <v>10</v>
      </c>
      <c r="H3907" s="3">
        <f t="shared" si="881"/>
        <v>16</v>
      </c>
      <c r="I3907" s="3">
        <f t="shared" si="882"/>
        <v>30</v>
      </c>
      <c r="J3907" s="3">
        <f t="shared" si="883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884"/>
        <v>YES</v>
      </c>
      <c r="Q3907" t="str">
        <f t="shared" si="885"/>
        <v>NO</v>
      </c>
      <c r="R3907" t="str">
        <f t="shared" si="886"/>
        <v>NO</v>
      </c>
      <c r="T3907" t="s">
        <v>556</v>
      </c>
      <c r="U3907" t="str">
        <f t="shared" ref="U3907:U3970" si="887">TRIM(PROPER(T3907))</f>
        <v>Bent St</v>
      </c>
      <c r="V3907" t="s">
        <v>993</v>
      </c>
      <c r="W3907" t="str">
        <f t="shared" ref="W3907:W3970" si="888">TRIM(PROPER(V3907))</f>
        <v>Fifth St</v>
      </c>
      <c r="X3907" t="str">
        <f>IF(ISBLANK(S3907),"Intersection","Non-Intersection")</f>
        <v>Intersection</v>
      </c>
      <c r="Y3907" t="s">
        <v>4721</v>
      </c>
      <c r="Z3907" t="str">
        <f t="shared" ref="Z3907:Z3970" si="889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876"/>
        <v>40909</v>
      </c>
      <c r="D3908" s="4">
        <f t="shared" si="877"/>
        <v>0.52185792349726778</v>
      </c>
      <c r="E3908" s="3">
        <f t="shared" si="878"/>
        <v>2012</v>
      </c>
      <c r="F3908" s="3">
        <f t="shared" si="879"/>
        <v>7</v>
      </c>
      <c r="G3908" s="3">
        <f t="shared" si="880"/>
        <v>10</v>
      </c>
      <c r="H3908" s="3">
        <f t="shared" si="881"/>
        <v>11</v>
      </c>
      <c r="I3908" s="3">
        <f t="shared" si="882"/>
        <v>19</v>
      </c>
      <c r="J3908" s="3">
        <f t="shared" si="883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884"/>
        <v>YES</v>
      </c>
      <c r="Q3908" t="str">
        <f t="shared" si="885"/>
        <v>NO</v>
      </c>
      <c r="R3908" t="str">
        <f t="shared" si="886"/>
        <v>NO</v>
      </c>
      <c r="T3908" t="s">
        <v>238</v>
      </c>
      <c r="U3908" t="str">
        <f t="shared" si="887"/>
        <v>Kirkland St</v>
      </c>
      <c r="V3908" t="s">
        <v>224</v>
      </c>
      <c r="W3908" t="str">
        <f t="shared" si="888"/>
        <v>Sumner Rd</v>
      </c>
      <c r="X3908" t="str">
        <f>IF(ISBLANK(S3908),"Intersection","Non-Intersection")</f>
        <v>Intersection</v>
      </c>
      <c r="Y3908" t="s">
        <v>3905</v>
      </c>
      <c r="Z3908" t="str">
        <f t="shared" si="889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876"/>
        <v>40909</v>
      </c>
      <c r="D3909" s="4">
        <f t="shared" si="877"/>
        <v>0.52459016393442626</v>
      </c>
      <c r="E3909" s="3">
        <f t="shared" si="878"/>
        <v>2012</v>
      </c>
      <c r="F3909" s="3">
        <f t="shared" si="879"/>
        <v>7</v>
      </c>
      <c r="G3909" s="3">
        <f t="shared" si="880"/>
        <v>11</v>
      </c>
      <c r="H3909" s="3">
        <f t="shared" si="881"/>
        <v>7</v>
      </c>
      <c r="I3909" s="3">
        <f t="shared" si="882"/>
        <v>6</v>
      </c>
      <c r="J3909" s="3">
        <f t="shared" si="883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884"/>
        <v>NO</v>
      </c>
      <c r="Q3909" t="str">
        <f t="shared" si="885"/>
        <v>YES</v>
      </c>
      <c r="R3909" t="str">
        <f t="shared" si="886"/>
        <v>NO</v>
      </c>
      <c r="T3909" t="s">
        <v>14</v>
      </c>
      <c r="U3909" t="str">
        <f t="shared" si="887"/>
        <v>Massachusetts Ave</v>
      </c>
      <c r="V3909" t="s">
        <v>1275</v>
      </c>
      <c r="W3909" t="str">
        <f t="shared" si="888"/>
        <v>Richard Ave</v>
      </c>
      <c r="X3909" t="str">
        <f>IF(ISBLANK(S3909),"Intersection","Non-Intersection")</f>
        <v>Intersection</v>
      </c>
      <c r="Y3909" t="s">
        <v>2495</v>
      </c>
      <c r="Z3909" t="str">
        <f t="shared" si="889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876"/>
        <v>40909</v>
      </c>
      <c r="D3910" s="4">
        <f t="shared" si="877"/>
        <v>0.52459016393442626</v>
      </c>
      <c r="E3910" s="3">
        <f t="shared" si="878"/>
        <v>2012</v>
      </c>
      <c r="F3910" s="3">
        <f t="shared" si="879"/>
        <v>7</v>
      </c>
      <c r="G3910" s="3">
        <f t="shared" si="880"/>
        <v>11</v>
      </c>
      <c r="H3910" s="3">
        <f t="shared" si="881"/>
        <v>14</v>
      </c>
      <c r="I3910" s="3">
        <f t="shared" si="882"/>
        <v>0</v>
      </c>
      <c r="J3910" s="3">
        <f t="shared" si="883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884"/>
        <v>YES</v>
      </c>
      <c r="Q3910" t="str">
        <f t="shared" si="885"/>
        <v>YES</v>
      </c>
      <c r="R3910" t="str">
        <f t="shared" si="886"/>
        <v>NO</v>
      </c>
      <c r="T3910" t="s">
        <v>19</v>
      </c>
      <c r="U3910" t="str">
        <f t="shared" si="887"/>
        <v>Cambridge St</v>
      </c>
      <c r="V3910" t="s">
        <v>134</v>
      </c>
      <c r="W3910" t="str">
        <f t="shared" si="888"/>
        <v>Quincy St</v>
      </c>
      <c r="X3910" t="str">
        <f>IF(ISBLANK(S3910),"Intersection","Non-Intersection")</f>
        <v>Intersection</v>
      </c>
      <c r="Y3910" t="s">
        <v>150</v>
      </c>
      <c r="Z3910" t="str">
        <f t="shared" si="889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876"/>
        <v>40909</v>
      </c>
      <c r="D3911" s="4">
        <f t="shared" si="877"/>
        <v>0.52459016393442626</v>
      </c>
      <c r="E3911" s="3">
        <f t="shared" si="878"/>
        <v>2012</v>
      </c>
      <c r="F3911" s="3">
        <f t="shared" si="879"/>
        <v>7</v>
      </c>
      <c r="G3911" s="3">
        <f t="shared" si="880"/>
        <v>11</v>
      </c>
      <c r="H3911" s="3">
        <f t="shared" si="881"/>
        <v>6</v>
      </c>
      <c r="I3911" s="3">
        <f t="shared" si="882"/>
        <v>0</v>
      </c>
      <c r="J3911" s="3">
        <f t="shared" si="883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884"/>
        <v>YES</v>
      </c>
      <c r="Q3911" t="str">
        <f t="shared" si="885"/>
        <v>NO</v>
      </c>
      <c r="R3911" t="str">
        <f t="shared" si="886"/>
        <v>NO</v>
      </c>
      <c r="T3911" t="s">
        <v>61</v>
      </c>
      <c r="U3911" t="str">
        <f t="shared" si="887"/>
        <v>First St</v>
      </c>
      <c r="V3911" t="s">
        <v>698</v>
      </c>
      <c r="W3911" t="str">
        <f t="shared" si="888"/>
        <v>Thorndike St</v>
      </c>
      <c r="X3911" t="str">
        <f>IF(ISBLANK(S3911),"Intersection","Non-Intersection")</f>
        <v>Intersection</v>
      </c>
      <c r="Y3911" t="s">
        <v>4660</v>
      </c>
      <c r="Z3911" t="str">
        <f t="shared" si="889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890">EOMONTH(B3912,MONTH(B3912)*-1)+1</f>
        <v>40909</v>
      </c>
      <c r="D3912" s="4">
        <f t="shared" ref="D3912:D3972" si="891">YEARFRAC(C3912,B3912,1)</f>
        <v>0.52459016393442626</v>
      </c>
      <c r="E3912" s="3">
        <f t="shared" ref="E3912:E3972" si="892">YEAR(B3912)</f>
        <v>2012</v>
      </c>
      <c r="F3912" s="3">
        <f t="shared" ref="F3912:F3972" si="893">MONTH(B3912)</f>
        <v>7</v>
      </c>
      <c r="G3912" s="3">
        <f t="shared" ref="G3912:G3972" si="894">DAY(B3912)</f>
        <v>11</v>
      </c>
      <c r="H3912" s="3">
        <f t="shared" ref="H3912:H3972" si="895">HOUR(B3912)</f>
        <v>9</v>
      </c>
      <c r="I3912" s="3">
        <f t="shared" ref="I3912:I3972" si="896">MINUTE(B3912)</f>
        <v>20</v>
      </c>
      <c r="J3912" s="3">
        <f t="shared" ref="J3912:J3972" si="897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898">IF(OR(N3912="Auto",O3912="Auto"),"YES",IF(OR(N3912="Taxi",O3912="Taxi"),"YES",IF(OR(N3912="Van",O3912="Van"),"YES",IF(OR(N3912="Truck",O3912="Truck"),"YES","NO"))))</f>
        <v>YES</v>
      </c>
      <c r="Q3912" t="str">
        <f t="shared" ref="Q3912:Q3972" si="899">IF(OR(N3912="Bicycle",O3912="Bicycle"),"YES","NO")</f>
        <v>NO</v>
      </c>
      <c r="R3912" t="str">
        <f t="shared" ref="R3912:R3972" si="900">IF(OR(N3912="Pedestrian",O3912="Pedestrian"),"YES","NO")</f>
        <v>NO</v>
      </c>
      <c r="T3912" t="s">
        <v>326</v>
      </c>
      <c r="U3912" t="str">
        <f t="shared" si="887"/>
        <v>Jfk St</v>
      </c>
      <c r="V3912" t="s">
        <v>199</v>
      </c>
      <c r="W3912" t="str">
        <f t="shared" si="888"/>
        <v>Brattle St</v>
      </c>
      <c r="X3912" t="str">
        <f>IF(ISBLANK(S3912),"Intersection","Non-Intersection")</f>
        <v>Intersection</v>
      </c>
      <c r="Y3912" t="s">
        <v>681</v>
      </c>
      <c r="Z3912" t="str">
        <f t="shared" si="889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890"/>
        <v>40909</v>
      </c>
      <c r="D3913" s="4">
        <f t="shared" si="891"/>
        <v>0.52459016393442626</v>
      </c>
      <c r="E3913" s="3">
        <f t="shared" si="892"/>
        <v>2012</v>
      </c>
      <c r="F3913" s="3">
        <f t="shared" si="893"/>
        <v>7</v>
      </c>
      <c r="G3913" s="3">
        <f t="shared" si="894"/>
        <v>11</v>
      </c>
      <c r="H3913" s="3">
        <f t="shared" si="895"/>
        <v>15</v>
      </c>
      <c r="I3913" s="3">
        <f t="shared" si="896"/>
        <v>59</v>
      </c>
      <c r="J3913" s="3">
        <f t="shared" si="897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898"/>
        <v>YES</v>
      </c>
      <c r="Q3913" t="str">
        <f t="shared" si="899"/>
        <v>NO</v>
      </c>
      <c r="R3913" t="str">
        <f t="shared" si="900"/>
        <v>NO</v>
      </c>
      <c r="T3913" t="s">
        <v>186</v>
      </c>
      <c r="U3913" t="str">
        <f t="shared" si="887"/>
        <v>Concord Ave</v>
      </c>
      <c r="V3913" t="s">
        <v>4405</v>
      </c>
      <c r="W3913" t="str">
        <f t="shared" si="888"/>
        <v>Madison Ave</v>
      </c>
      <c r="X3913" t="str">
        <f>IF(ISBLANK(S3913),"Intersection","Non-Intersection")</f>
        <v>Intersection</v>
      </c>
      <c r="Y3913" t="s">
        <v>4723</v>
      </c>
      <c r="Z3913" t="str">
        <f t="shared" si="889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890"/>
        <v>40909</v>
      </c>
      <c r="D3914" s="4">
        <f t="shared" si="891"/>
        <v>0.52732240437158473</v>
      </c>
      <c r="E3914" s="3">
        <f t="shared" si="892"/>
        <v>2012</v>
      </c>
      <c r="F3914" s="3">
        <f t="shared" si="893"/>
        <v>7</v>
      </c>
      <c r="G3914" s="3">
        <f t="shared" si="894"/>
        <v>12</v>
      </c>
      <c r="H3914" s="3">
        <f t="shared" si="895"/>
        <v>9</v>
      </c>
      <c r="I3914" s="3">
        <f t="shared" si="896"/>
        <v>0</v>
      </c>
      <c r="J3914" s="3">
        <f t="shared" si="897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898"/>
        <v>YES</v>
      </c>
      <c r="Q3914" t="str">
        <f t="shared" si="899"/>
        <v>NO</v>
      </c>
      <c r="R3914" t="str">
        <f t="shared" si="900"/>
        <v>NO</v>
      </c>
      <c r="T3914" t="s">
        <v>1752</v>
      </c>
      <c r="U3914" t="str">
        <f t="shared" si="887"/>
        <v>Cambridgepark Dr</v>
      </c>
      <c r="V3914" t="s">
        <v>4725</v>
      </c>
      <c r="W3914" t="str">
        <f t="shared" si="888"/>
        <v>Acorn Park</v>
      </c>
      <c r="X3914" t="str">
        <f>IF(ISBLANK(S3914),"Intersection","Non-Intersection")</f>
        <v>Intersection</v>
      </c>
      <c r="Y3914" t="s">
        <v>4726</v>
      </c>
      <c r="Z3914" t="str">
        <f t="shared" si="889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890"/>
        <v>40909</v>
      </c>
      <c r="D3915" s="4">
        <f t="shared" si="891"/>
        <v>0.52732240437158473</v>
      </c>
      <c r="E3915" s="3">
        <f t="shared" si="892"/>
        <v>2012</v>
      </c>
      <c r="F3915" s="3">
        <f t="shared" si="893"/>
        <v>7</v>
      </c>
      <c r="G3915" s="3">
        <f t="shared" si="894"/>
        <v>12</v>
      </c>
      <c r="H3915" s="3">
        <f t="shared" si="895"/>
        <v>11</v>
      </c>
      <c r="I3915" s="3">
        <f t="shared" si="896"/>
        <v>0</v>
      </c>
      <c r="J3915" s="3">
        <f t="shared" si="897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898"/>
        <v>YES</v>
      </c>
      <c r="Q3915" t="str">
        <f t="shared" si="899"/>
        <v>NO</v>
      </c>
      <c r="R3915" t="str">
        <f t="shared" si="900"/>
        <v>NO</v>
      </c>
      <c r="S3915">
        <v>26</v>
      </c>
      <c r="T3915" t="s">
        <v>456</v>
      </c>
      <c r="U3915" t="str">
        <f t="shared" si="887"/>
        <v>Oxford St</v>
      </c>
      <c r="W3915" t="str">
        <f t="shared" si="888"/>
        <v/>
      </c>
      <c r="X3915" t="str">
        <f>IF(ISBLANK(S3915),"Intersection","Non-Intersection")</f>
        <v>Non-Intersection</v>
      </c>
      <c r="Y3915" t="s">
        <v>4727</v>
      </c>
      <c r="Z3915" t="str">
        <f t="shared" si="889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890"/>
        <v>40909</v>
      </c>
      <c r="D3916" s="4">
        <f t="shared" si="891"/>
        <v>0.5300546448087432</v>
      </c>
      <c r="E3916" s="3">
        <f t="shared" si="892"/>
        <v>2012</v>
      </c>
      <c r="F3916" s="3">
        <f t="shared" si="893"/>
        <v>7</v>
      </c>
      <c r="G3916" s="3">
        <f t="shared" si="894"/>
        <v>13</v>
      </c>
      <c r="H3916" s="3">
        <f t="shared" si="895"/>
        <v>14</v>
      </c>
      <c r="I3916" s="3">
        <f t="shared" si="896"/>
        <v>29</v>
      </c>
      <c r="J3916" s="3">
        <f t="shared" si="897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898"/>
        <v>YES</v>
      </c>
      <c r="Q3916" t="str">
        <f t="shared" si="899"/>
        <v>NO</v>
      </c>
      <c r="R3916" t="str">
        <f t="shared" si="900"/>
        <v>NO</v>
      </c>
      <c r="S3916">
        <v>328</v>
      </c>
      <c r="T3916" t="s">
        <v>14</v>
      </c>
      <c r="U3916" t="str">
        <f t="shared" si="887"/>
        <v>Massachusetts Ave</v>
      </c>
      <c r="W3916" t="str">
        <f t="shared" si="888"/>
        <v/>
      </c>
      <c r="X3916" t="str">
        <f>IF(ISBLANK(S3916),"Intersection","Non-Intersection")</f>
        <v>Non-Intersection</v>
      </c>
      <c r="Y3916" t="s">
        <v>4496</v>
      </c>
      <c r="Z3916" t="str">
        <f t="shared" si="889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890"/>
        <v>40909</v>
      </c>
      <c r="D3917" s="4">
        <f t="shared" si="891"/>
        <v>0.5300546448087432</v>
      </c>
      <c r="E3917" s="3">
        <f t="shared" si="892"/>
        <v>2012</v>
      </c>
      <c r="F3917" s="3">
        <f t="shared" si="893"/>
        <v>7</v>
      </c>
      <c r="G3917" s="3">
        <f t="shared" si="894"/>
        <v>13</v>
      </c>
      <c r="H3917" s="3">
        <f t="shared" si="895"/>
        <v>18</v>
      </c>
      <c r="I3917" s="3">
        <f t="shared" si="896"/>
        <v>45</v>
      </c>
      <c r="J3917" s="3">
        <f t="shared" si="897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898"/>
        <v>YES</v>
      </c>
      <c r="Q3917" t="str">
        <f t="shared" si="899"/>
        <v>NO</v>
      </c>
      <c r="R3917" t="str">
        <f t="shared" si="900"/>
        <v>NO</v>
      </c>
      <c r="S3917">
        <v>85</v>
      </c>
      <c r="T3917" t="s">
        <v>192</v>
      </c>
      <c r="U3917" t="str">
        <f t="shared" si="887"/>
        <v>Hancock St</v>
      </c>
      <c r="W3917" t="str">
        <f t="shared" si="888"/>
        <v/>
      </c>
      <c r="X3917" t="str">
        <f>IF(ISBLANK(S3917),"Intersection","Non-Intersection")</f>
        <v>Non-Intersection</v>
      </c>
      <c r="Y3917" t="s">
        <v>4729</v>
      </c>
      <c r="Z3917" t="str">
        <f t="shared" si="889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890"/>
        <v>40909</v>
      </c>
      <c r="D3918" s="4">
        <f t="shared" si="891"/>
        <v>0.5300546448087432</v>
      </c>
      <c r="E3918" s="3">
        <f t="shared" si="892"/>
        <v>2012</v>
      </c>
      <c r="F3918" s="3">
        <f t="shared" si="893"/>
        <v>7</v>
      </c>
      <c r="G3918" s="3">
        <f t="shared" si="894"/>
        <v>13</v>
      </c>
      <c r="H3918" s="3">
        <f t="shared" si="895"/>
        <v>10</v>
      </c>
      <c r="I3918" s="3">
        <f t="shared" si="896"/>
        <v>15</v>
      </c>
      <c r="J3918" s="3">
        <f t="shared" si="897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898"/>
        <v>YES</v>
      </c>
      <c r="Q3918" t="str">
        <f t="shared" si="899"/>
        <v>NO</v>
      </c>
      <c r="R3918" t="str">
        <f t="shared" si="900"/>
        <v>NO</v>
      </c>
      <c r="S3918">
        <v>625</v>
      </c>
      <c r="T3918" t="s">
        <v>198</v>
      </c>
      <c r="U3918" t="str">
        <f t="shared" si="887"/>
        <v>Mount Auburn St</v>
      </c>
      <c r="W3918" t="str">
        <f t="shared" si="888"/>
        <v/>
      </c>
      <c r="X3918" t="str">
        <f>IF(ISBLANK(S3918),"Intersection","Non-Intersection")</f>
        <v>Non-Intersection</v>
      </c>
      <c r="Y3918" t="s">
        <v>2427</v>
      </c>
      <c r="Z3918" t="str">
        <f t="shared" si="889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890"/>
        <v>40909</v>
      </c>
      <c r="D3919" s="4">
        <f t="shared" si="891"/>
        <v>0.53278688524590168</v>
      </c>
      <c r="E3919" s="3">
        <f t="shared" si="892"/>
        <v>2012</v>
      </c>
      <c r="F3919" s="3">
        <f t="shared" si="893"/>
        <v>7</v>
      </c>
      <c r="G3919" s="3">
        <f t="shared" si="894"/>
        <v>14</v>
      </c>
      <c r="H3919" s="3">
        <f t="shared" si="895"/>
        <v>8</v>
      </c>
      <c r="I3919" s="3">
        <f t="shared" si="896"/>
        <v>4</v>
      </c>
      <c r="J3919" s="3">
        <f t="shared" si="897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898"/>
        <v>YES</v>
      </c>
      <c r="Q3919" t="str">
        <f t="shared" si="899"/>
        <v>NO</v>
      </c>
      <c r="R3919" t="str">
        <f t="shared" si="900"/>
        <v>NO</v>
      </c>
      <c r="T3919" t="s">
        <v>186</v>
      </c>
      <c r="U3919" t="str">
        <f t="shared" si="887"/>
        <v>Concord Ave</v>
      </c>
      <c r="V3919" t="s">
        <v>2754</v>
      </c>
      <c r="W3919" t="str">
        <f t="shared" si="888"/>
        <v>Fawcett St</v>
      </c>
      <c r="X3919" t="str">
        <f>IF(ISBLANK(S3919),"Intersection","Non-Intersection")</f>
        <v>Intersection</v>
      </c>
      <c r="Y3919" t="s">
        <v>2755</v>
      </c>
      <c r="Z3919" t="str">
        <f t="shared" si="889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890"/>
        <v>40909</v>
      </c>
      <c r="D3920" s="4">
        <f t="shared" si="891"/>
        <v>0.53278688524590168</v>
      </c>
      <c r="E3920" s="3">
        <f t="shared" si="892"/>
        <v>2012</v>
      </c>
      <c r="F3920" s="3">
        <f t="shared" si="893"/>
        <v>7</v>
      </c>
      <c r="G3920" s="3">
        <f t="shared" si="894"/>
        <v>14</v>
      </c>
      <c r="H3920" s="3">
        <f t="shared" si="895"/>
        <v>10</v>
      </c>
      <c r="I3920" s="3">
        <f t="shared" si="896"/>
        <v>19</v>
      </c>
      <c r="J3920" s="3">
        <f t="shared" si="897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898"/>
        <v>YES</v>
      </c>
      <c r="Q3920" t="str">
        <f t="shared" si="899"/>
        <v>NO</v>
      </c>
      <c r="R3920" t="str">
        <f t="shared" si="900"/>
        <v>NO</v>
      </c>
      <c r="S3920">
        <v>97</v>
      </c>
      <c r="T3920" t="s">
        <v>198</v>
      </c>
      <c r="U3920" t="str">
        <f t="shared" si="887"/>
        <v>Mount Auburn St</v>
      </c>
      <c r="W3920" t="str">
        <f t="shared" si="888"/>
        <v/>
      </c>
      <c r="X3920" t="str">
        <f>IF(ISBLANK(S3920),"Intersection","Non-Intersection")</f>
        <v>Non-Intersection</v>
      </c>
      <c r="Y3920" t="s">
        <v>4731</v>
      </c>
      <c r="Z3920" t="str">
        <f t="shared" si="889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890"/>
        <v>40909</v>
      </c>
      <c r="D3921" s="4">
        <f t="shared" si="891"/>
        <v>0.53278688524590168</v>
      </c>
      <c r="E3921" s="3">
        <f t="shared" si="892"/>
        <v>2012</v>
      </c>
      <c r="F3921" s="3">
        <f t="shared" si="893"/>
        <v>7</v>
      </c>
      <c r="G3921" s="3">
        <f t="shared" si="894"/>
        <v>14</v>
      </c>
      <c r="H3921" s="3">
        <f t="shared" si="895"/>
        <v>15</v>
      </c>
      <c r="I3921" s="3">
        <f t="shared" si="896"/>
        <v>42</v>
      </c>
      <c r="J3921" s="3">
        <f t="shared" si="897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898"/>
        <v>YES</v>
      </c>
      <c r="Q3921" t="str">
        <f t="shared" si="899"/>
        <v>YES</v>
      </c>
      <c r="R3921" t="str">
        <f t="shared" si="900"/>
        <v>NO</v>
      </c>
      <c r="T3921" t="s">
        <v>104</v>
      </c>
      <c r="U3921" t="str">
        <f t="shared" si="887"/>
        <v>Inman St</v>
      </c>
      <c r="V3921" t="s">
        <v>1249</v>
      </c>
      <c r="W3921" t="str">
        <f t="shared" si="888"/>
        <v>West Pl</v>
      </c>
      <c r="X3921" t="str">
        <f>IF(ISBLANK(S3921),"Intersection","Non-Intersection")</f>
        <v>Intersection</v>
      </c>
      <c r="Y3921" t="s">
        <v>4733</v>
      </c>
      <c r="Z3921" t="str">
        <f t="shared" si="889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890"/>
        <v>40909</v>
      </c>
      <c r="D3922" s="4">
        <f t="shared" si="891"/>
        <v>0.53551912568306015</v>
      </c>
      <c r="E3922" s="3">
        <f t="shared" si="892"/>
        <v>2012</v>
      </c>
      <c r="F3922" s="3">
        <f t="shared" si="893"/>
        <v>7</v>
      </c>
      <c r="G3922" s="3">
        <f t="shared" si="894"/>
        <v>15</v>
      </c>
      <c r="H3922" s="3">
        <f t="shared" si="895"/>
        <v>17</v>
      </c>
      <c r="I3922" s="3">
        <f t="shared" si="896"/>
        <v>29</v>
      </c>
      <c r="J3922" s="3">
        <f t="shared" si="897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898"/>
        <v>YES</v>
      </c>
      <c r="Q3922" t="str">
        <f t="shared" si="899"/>
        <v>NO</v>
      </c>
      <c r="R3922" t="str">
        <f t="shared" si="900"/>
        <v>NO</v>
      </c>
      <c r="S3922">
        <v>322</v>
      </c>
      <c r="T3922" t="s">
        <v>453</v>
      </c>
      <c r="U3922" t="str">
        <f t="shared" si="887"/>
        <v>Brookline St</v>
      </c>
      <c r="W3922" t="str">
        <f t="shared" si="888"/>
        <v/>
      </c>
      <c r="X3922" t="str">
        <f>IF(ISBLANK(S3922),"Intersection","Non-Intersection")</f>
        <v>Non-Intersection</v>
      </c>
      <c r="Y3922" t="s">
        <v>4735</v>
      </c>
      <c r="Z3922" t="str">
        <f t="shared" si="889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890"/>
        <v>40909</v>
      </c>
      <c r="D3923" s="4">
        <f t="shared" si="891"/>
        <v>0.53825136612021862</v>
      </c>
      <c r="E3923" s="3">
        <f t="shared" si="892"/>
        <v>2012</v>
      </c>
      <c r="F3923" s="3">
        <f t="shared" si="893"/>
        <v>7</v>
      </c>
      <c r="G3923" s="3">
        <f t="shared" si="894"/>
        <v>16</v>
      </c>
      <c r="H3923" s="3">
        <f t="shared" si="895"/>
        <v>8</v>
      </c>
      <c r="I3923" s="3">
        <f t="shared" si="896"/>
        <v>19</v>
      </c>
      <c r="J3923" s="3">
        <f t="shared" si="897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898"/>
        <v>YES</v>
      </c>
      <c r="Q3923" t="str">
        <f t="shared" si="899"/>
        <v>YES</v>
      </c>
      <c r="R3923" t="str">
        <f t="shared" si="900"/>
        <v>NO</v>
      </c>
      <c r="T3923" t="s">
        <v>199</v>
      </c>
      <c r="U3923" t="str">
        <f t="shared" si="887"/>
        <v>Brattle St</v>
      </c>
      <c r="V3923" t="s">
        <v>4737</v>
      </c>
      <c r="W3923" t="str">
        <f t="shared" si="888"/>
        <v>Longfellow Brdg</v>
      </c>
      <c r="X3923" t="str">
        <f>IF(ISBLANK(S3923),"Intersection","Non-Intersection")</f>
        <v>Intersection</v>
      </c>
      <c r="Y3923" t="s">
        <v>4738</v>
      </c>
      <c r="Z3923" t="str">
        <f t="shared" si="889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890"/>
        <v>40909</v>
      </c>
      <c r="D3924" s="4">
        <f t="shared" si="891"/>
        <v>0.53825136612021862</v>
      </c>
      <c r="E3924" s="3">
        <f t="shared" si="892"/>
        <v>2012</v>
      </c>
      <c r="F3924" s="3">
        <f t="shared" si="893"/>
        <v>7</v>
      </c>
      <c r="G3924" s="3">
        <f t="shared" si="894"/>
        <v>16</v>
      </c>
      <c r="H3924" s="3">
        <f t="shared" si="895"/>
        <v>16</v>
      </c>
      <c r="I3924" s="3">
        <f t="shared" si="896"/>
        <v>25</v>
      </c>
      <c r="J3924" s="3">
        <f t="shared" si="897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898"/>
        <v>NO</v>
      </c>
      <c r="Q3924" t="str">
        <f t="shared" si="899"/>
        <v>NO</v>
      </c>
      <c r="R3924" t="str">
        <f t="shared" si="900"/>
        <v>NO</v>
      </c>
      <c r="T3924" t="s">
        <v>19</v>
      </c>
      <c r="U3924" t="str">
        <f t="shared" si="887"/>
        <v>Cambridge St</v>
      </c>
      <c r="V3924" t="s">
        <v>2657</v>
      </c>
      <c r="W3924" t="str">
        <f t="shared" si="888"/>
        <v>Quincy Sq</v>
      </c>
      <c r="X3924" t="str">
        <f>IF(ISBLANK(S3924),"Intersection","Non-Intersection")</f>
        <v>Intersection</v>
      </c>
      <c r="Y3924" t="s">
        <v>4739</v>
      </c>
      <c r="Z3924" t="str">
        <f t="shared" si="889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890"/>
        <v>40909</v>
      </c>
      <c r="D3925" s="4">
        <f t="shared" si="891"/>
        <v>0.54098360655737709</v>
      </c>
      <c r="E3925" s="3">
        <f t="shared" si="892"/>
        <v>2012</v>
      </c>
      <c r="F3925" s="3">
        <f t="shared" si="893"/>
        <v>7</v>
      </c>
      <c r="G3925" s="3">
        <f t="shared" si="894"/>
        <v>17</v>
      </c>
      <c r="H3925" s="3">
        <f t="shared" si="895"/>
        <v>12</v>
      </c>
      <c r="I3925" s="3">
        <f t="shared" si="896"/>
        <v>49</v>
      </c>
      <c r="J3925" s="3">
        <f t="shared" si="897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898"/>
        <v>YES</v>
      </c>
      <c r="Q3925" t="str">
        <f t="shared" si="899"/>
        <v>NO</v>
      </c>
      <c r="R3925" t="str">
        <f t="shared" si="900"/>
        <v>NO</v>
      </c>
      <c r="T3925" t="s">
        <v>97</v>
      </c>
      <c r="U3925" t="str">
        <f t="shared" si="887"/>
        <v>Peabody St</v>
      </c>
      <c r="V3925" t="s">
        <v>185</v>
      </c>
      <c r="W3925" t="str">
        <f t="shared" si="888"/>
        <v>Garden St</v>
      </c>
      <c r="X3925" t="str">
        <f>IF(ISBLANK(S3925),"Intersection","Non-Intersection")</f>
        <v>Intersection</v>
      </c>
      <c r="Y3925" t="s">
        <v>4330</v>
      </c>
      <c r="Z3925" t="str">
        <f t="shared" si="889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890"/>
        <v>40909</v>
      </c>
      <c r="D3926" s="4">
        <f t="shared" si="891"/>
        <v>0.54098360655737709</v>
      </c>
      <c r="E3926" s="3">
        <f t="shared" si="892"/>
        <v>2012</v>
      </c>
      <c r="F3926" s="3">
        <f t="shared" si="893"/>
        <v>7</v>
      </c>
      <c r="G3926" s="3">
        <f t="shared" si="894"/>
        <v>17</v>
      </c>
      <c r="H3926" s="3">
        <f t="shared" si="895"/>
        <v>17</v>
      </c>
      <c r="I3926" s="3">
        <f t="shared" si="896"/>
        <v>49</v>
      </c>
      <c r="J3926" s="3">
        <f t="shared" si="897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898"/>
        <v>YES</v>
      </c>
      <c r="Q3926" t="str">
        <f t="shared" si="899"/>
        <v>NO</v>
      </c>
      <c r="R3926" t="str">
        <f t="shared" si="900"/>
        <v>NO</v>
      </c>
      <c r="T3926" t="s">
        <v>105</v>
      </c>
      <c r="U3926" t="str">
        <f t="shared" si="887"/>
        <v>Broadway</v>
      </c>
      <c r="V3926" t="s">
        <v>138</v>
      </c>
      <c r="W3926" t="str">
        <f t="shared" si="888"/>
        <v>Felton St</v>
      </c>
      <c r="X3926" t="str">
        <f>IF(ISBLANK(S3926),"Intersection","Non-Intersection")</f>
        <v>Intersection</v>
      </c>
      <c r="Y3926" t="s">
        <v>139</v>
      </c>
      <c r="Z3926" t="str">
        <f t="shared" si="889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890"/>
        <v>40909</v>
      </c>
      <c r="D3927" s="4">
        <f t="shared" si="891"/>
        <v>0.54098360655737709</v>
      </c>
      <c r="E3927" s="3">
        <f t="shared" si="892"/>
        <v>2012</v>
      </c>
      <c r="F3927" s="3">
        <f t="shared" si="893"/>
        <v>7</v>
      </c>
      <c r="G3927" s="3">
        <f t="shared" si="894"/>
        <v>17</v>
      </c>
      <c r="H3927" s="3">
        <f t="shared" si="895"/>
        <v>15</v>
      </c>
      <c r="I3927" s="3">
        <f t="shared" si="896"/>
        <v>0</v>
      </c>
      <c r="J3927" s="3">
        <f t="shared" si="897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898"/>
        <v>YES</v>
      </c>
      <c r="Q3927" t="str">
        <f t="shared" si="899"/>
        <v>NO</v>
      </c>
      <c r="R3927" t="str">
        <f t="shared" si="900"/>
        <v>NO</v>
      </c>
      <c r="T3927" t="s">
        <v>27</v>
      </c>
      <c r="U3927" t="str">
        <f t="shared" si="887"/>
        <v>Western Ave</v>
      </c>
      <c r="V3927" t="s">
        <v>42</v>
      </c>
      <c r="W3927" t="str">
        <f t="shared" si="888"/>
        <v>Putnam Ave</v>
      </c>
      <c r="X3927" t="str">
        <f>IF(ISBLANK(S3927),"Intersection","Non-Intersection")</f>
        <v>Intersection</v>
      </c>
      <c r="Y3927" t="s">
        <v>1022</v>
      </c>
      <c r="Z3927" t="str">
        <f t="shared" si="889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890"/>
        <v>40909</v>
      </c>
      <c r="D3928" s="4">
        <f t="shared" si="891"/>
        <v>0.54371584699453557</v>
      </c>
      <c r="E3928" s="3">
        <f t="shared" si="892"/>
        <v>2012</v>
      </c>
      <c r="F3928" s="3">
        <f t="shared" si="893"/>
        <v>7</v>
      </c>
      <c r="G3928" s="3">
        <f t="shared" si="894"/>
        <v>18</v>
      </c>
      <c r="H3928" s="3">
        <f t="shared" si="895"/>
        <v>16</v>
      </c>
      <c r="I3928" s="3">
        <f t="shared" si="896"/>
        <v>5</v>
      </c>
      <c r="J3928" s="3">
        <f t="shared" si="897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898"/>
        <v>YES</v>
      </c>
      <c r="Q3928" t="str">
        <f t="shared" si="899"/>
        <v>NO</v>
      </c>
      <c r="R3928" t="str">
        <f t="shared" si="900"/>
        <v>NO</v>
      </c>
      <c r="S3928">
        <v>1575</v>
      </c>
      <c r="T3928" t="s">
        <v>19</v>
      </c>
      <c r="U3928" t="str">
        <f t="shared" si="887"/>
        <v>Cambridge St</v>
      </c>
      <c r="W3928" t="str">
        <f t="shared" si="888"/>
        <v/>
      </c>
      <c r="X3928" t="str">
        <f>IF(ISBLANK(S3928),"Intersection","Non-Intersection")</f>
        <v>Non-Intersection</v>
      </c>
      <c r="Y3928" t="s">
        <v>64</v>
      </c>
      <c r="Z3928" t="str">
        <f t="shared" si="889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890"/>
        <v>40909</v>
      </c>
      <c r="D3929" s="4">
        <f t="shared" si="891"/>
        <v>0.54371584699453557</v>
      </c>
      <c r="E3929" s="3">
        <f t="shared" si="892"/>
        <v>2012</v>
      </c>
      <c r="F3929" s="3">
        <f t="shared" si="893"/>
        <v>7</v>
      </c>
      <c r="G3929" s="3">
        <f t="shared" si="894"/>
        <v>18</v>
      </c>
      <c r="H3929" s="3">
        <f t="shared" si="895"/>
        <v>18</v>
      </c>
      <c r="I3929" s="3">
        <f t="shared" si="896"/>
        <v>18</v>
      </c>
      <c r="J3929" s="3">
        <f t="shared" si="897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898"/>
        <v>YES</v>
      </c>
      <c r="Q3929" t="str">
        <f t="shared" si="899"/>
        <v>NO</v>
      </c>
      <c r="R3929" t="str">
        <f t="shared" si="900"/>
        <v>NO</v>
      </c>
      <c r="U3929" t="str">
        <f t="shared" si="887"/>
        <v/>
      </c>
      <c r="W3929" t="str">
        <f t="shared" si="888"/>
        <v/>
      </c>
      <c r="X3929" t="str">
        <f>IF(ISBLANK(S3929),"Intersection","Non-Intersection")</f>
        <v>Intersection</v>
      </c>
      <c r="Y3929" t="s">
        <v>717</v>
      </c>
      <c r="Z3929" t="str">
        <f t="shared" si="889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890"/>
        <v>40909</v>
      </c>
      <c r="D3930" s="4">
        <f t="shared" si="891"/>
        <v>0.54371584699453557</v>
      </c>
      <c r="E3930" s="3">
        <f t="shared" si="892"/>
        <v>2012</v>
      </c>
      <c r="F3930" s="3">
        <f t="shared" si="893"/>
        <v>7</v>
      </c>
      <c r="G3930" s="3">
        <f t="shared" si="894"/>
        <v>18</v>
      </c>
      <c r="H3930" s="3">
        <f t="shared" si="895"/>
        <v>15</v>
      </c>
      <c r="I3930" s="3">
        <f t="shared" si="896"/>
        <v>56</v>
      </c>
      <c r="J3930" s="3">
        <f t="shared" si="897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898"/>
        <v>YES</v>
      </c>
      <c r="Q3930" t="str">
        <f t="shared" si="899"/>
        <v>NO</v>
      </c>
      <c r="R3930" t="str">
        <f t="shared" si="900"/>
        <v>NO</v>
      </c>
      <c r="S3930">
        <v>11</v>
      </c>
      <c r="T3930" t="s">
        <v>1019</v>
      </c>
      <c r="U3930" t="str">
        <f t="shared" si="887"/>
        <v>Sellers St</v>
      </c>
      <c r="W3930" t="str">
        <f t="shared" si="888"/>
        <v/>
      </c>
      <c r="X3930" t="str">
        <f>IF(ISBLANK(S3930),"Intersection","Non-Intersection")</f>
        <v>Non-Intersection</v>
      </c>
      <c r="Y3930" t="s">
        <v>4740</v>
      </c>
      <c r="Z3930" t="str">
        <f t="shared" si="889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890"/>
        <v>40909</v>
      </c>
      <c r="D3931" s="4">
        <f t="shared" si="891"/>
        <v>0.54371584699453557</v>
      </c>
      <c r="E3931" s="3">
        <f t="shared" si="892"/>
        <v>2012</v>
      </c>
      <c r="F3931" s="3">
        <f t="shared" si="893"/>
        <v>7</v>
      </c>
      <c r="G3931" s="3">
        <f t="shared" si="894"/>
        <v>18</v>
      </c>
      <c r="H3931" s="3">
        <f t="shared" si="895"/>
        <v>18</v>
      </c>
      <c r="I3931" s="3">
        <f t="shared" si="896"/>
        <v>40</v>
      </c>
      <c r="J3931" s="3">
        <f t="shared" si="897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898"/>
        <v>YES</v>
      </c>
      <c r="Q3931" t="str">
        <f t="shared" si="899"/>
        <v>NO</v>
      </c>
      <c r="R3931" t="str">
        <f t="shared" si="900"/>
        <v>NO</v>
      </c>
      <c r="T3931" t="s">
        <v>685</v>
      </c>
      <c r="U3931" t="str">
        <f t="shared" si="887"/>
        <v>Warren St</v>
      </c>
      <c r="V3931" t="s">
        <v>1149</v>
      </c>
      <c r="W3931" t="str">
        <f t="shared" si="888"/>
        <v>Jefferson St</v>
      </c>
      <c r="X3931" t="str">
        <f>IF(ISBLANK(S3931),"Intersection","Non-Intersection")</f>
        <v>Intersection</v>
      </c>
      <c r="Y3931" t="s">
        <v>4742</v>
      </c>
      <c r="Z3931" t="str">
        <f t="shared" si="889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890"/>
        <v>40909</v>
      </c>
      <c r="D3932" s="4">
        <f t="shared" si="891"/>
        <v>0.54371584699453557</v>
      </c>
      <c r="E3932" s="3">
        <f t="shared" si="892"/>
        <v>2012</v>
      </c>
      <c r="F3932" s="3">
        <f t="shared" si="893"/>
        <v>7</v>
      </c>
      <c r="G3932" s="3">
        <f t="shared" si="894"/>
        <v>18</v>
      </c>
      <c r="H3932" s="3">
        <f t="shared" si="895"/>
        <v>20</v>
      </c>
      <c r="I3932" s="3">
        <f t="shared" si="896"/>
        <v>9</v>
      </c>
      <c r="J3932" s="3">
        <f t="shared" si="897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898"/>
        <v>YES</v>
      </c>
      <c r="Q3932" t="str">
        <f t="shared" si="899"/>
        <v>NO</v>
      </c>
      <c r="R3932" t="str">
        <f t="shared" si="900"/>
        <v>NO</v>
      </c>
      <c r="T3932" t="s">
        <v>342</v>
      </c>
      <c r="U3932" t="str">
        <f t="shared" si="887"/>
        <v>Prospect St</v>
      </c>
      <c r="V3932" t="s">
        <v>105</v>
      </c>
      <c r="W3932" t="str">
        <f t="shared" si="888"/>
        <v>Broadway</v>
      </c>
      <c r="X3932" t="str">
        <f>IF(ISBLANK(S3932),"Intersection","Non-Intersection")</f>
        <v>Intersection</v>
      </c>
      <c r="Y3932" t="s">
        <v>725</v>
      </c>
      <c r="Z3932" t="str">
        <f t="shared" si="889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890"/>
        <v>40909</v>
      </c>
      <c r="D3933" s="4">
        <f t="shared" si="891"/>
        <v>0.54644808743169404</v>
      </c>
      <c r="E3933" s="3">
        <f t="shared" si="892"/>
        <v>2012</v>
      </c>
      <c r="F3933" s="3">
        <f t="shared" si="893"/>
        <v>7</v>
      </c>
      <c r="G3933" s="3">
        <f t="shared" si="894"/>
        <v>19</v>
      </c>
      <c r="H3933" s="3">
        <f t="shared" si="895"/>
        <v>11</v>
      </c>
      <c r="I3933" s="3">
        <f t="shared" si="896"/>
        <v>49</v>
      </c>
      <c r="J3933" s="3">
        <f t="shared" si="897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898"/>
        <v>YES</v>
      </c>
      <c r="Q3933" t="str">
        <f t="shared" si="899"/>
        <v>NO</v>
      </c>
      <c r="R3933" t="str">
        <f t="shared" si="900"/>
        <v>NO</v>
      </c>
      <c r="T3933" t="s">
        <v>260</v>
      </c>
      <c r="U3933" t="str">
        <f t="shared" si="887"/>
        <v>Third St</v>
      </c>
      <c r="V3933" t="s">
        <v>1502</v>
      </c>
      <c r="W3933" t="str">
        <f t="shared" si="888"/>
        <v>Gore St</v>
      </c>
      <c r="X3933" t="str">
        <f>IF(ISBLANK(S3933),"Intersection","Non-Intersection")</f>
        <v>Intersection</v>
      </c>
      <c r="Y3933" t="s">
        <v>1503</v>
      </c>
      <c r="Z3933" t="str">
        <f t="shared" si="889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890"/>
        <v>40909</v>
      </c>
      <c r="D3934" s="4">
        <f t="shared" si="891"/>
        <v>0.54644808743169404</v>
      </c>
      <c r="E3934" s="3">
        <f t="shared" si="892"/>
        <v>2012</v>
      </c>
      <c r="F3934" s="3">
        <f t="shared" si="893"/>
        <v>7</v>
      </c>
      <c r="G3934" s="3">
        <f t="shared" si="894"/>
        <v>19</v>
      </c>
      <c r="H3934" s="3">
        <f t="shared" si="895"/>
        <v>15</v>
      </c>
      <c r="I3934" s="3">
        <f t="shared" si="896"/>
        <v>14</v>
      </c>
      <c r="J3934" s="3">
        <f t="shared" si="897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898"/>
        <v>YES</v>
      </c>
      <c r="Q3934" t="str">
        <f t="shared" si="899"/>
        <v>NO</v>
      </c>
      <c r="R3934" t="str">
        <f t="shared" si="900"/>
        <v>NO</v>
      </c>
      <c r="T3934" t="s">
        <v>14</v>
      </c>
      <c r="U3934" t="str">
        <f t="shared" si="887"/>
        <v>Massachusetts Ave</v>
      </c>
      <c r="V3934" t="s">
        <v>675</v>
      </c>
      <c r="W3934" t="str">
        <f t="shared" si="888"/>
        <v>Roseland St</v>
      </c>
      <c r="X3934" t="str">
        <f>IF(ISBLANK(S3934),"Intersection","Non-Intersection")</f>
        <v>Intersection</v>
      </c>
      <c r="Y3934" t="s">
        <v>1882</v>
      </c>
      <c r="Z3934" t="str">
        <f t="shared" si="889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890"/>
        <v>40909</v>
      </c>
      <c r="D3935" s="4">
        <f t="shared" si="891"/>
        <v>0.54644808743169404</v>
      </c>
      <c r="E3935" s="3">
        <f t="shared" si="892"/>
        <v>2012</v>
      </c>
      <c r="F3935" s="3">
        <f t="shared" si="893"/>
        <v>7</v>
      </c>
      <c r="G3935" s="3">
        <f t="shared" si="894"/>
        <v>19</v>
      </c>
      <c r="H3935" s="3">
        <f t="shared" si="895"/>
        <v>20</v>
      </c>
      <c r="I3935" s="3">
        <f t="shared" si="896"/>
        <v>39</v>
      </c>
      <c r="J3935" s="3">
        <f t="shared" si="897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898"/>
        <v>YES</v>
      </c>
      <c r="Q3935" t="str">
        <f t="shared" si="899"/>
        <v>YES</v>
      </c>
      <c r="R3935" t="str">
        <f t="shared" si="900"/>
        <v>NO</v>
      </c>
      <c r="T3935" t="s">
        <v>101</v>
      </c>
      <c r="U3935" t="str">
        <f t="shared" si="887"/>
        <v>Columbia St</v>
      </c>
      <c r="V3935" t="s">
        <v>32</v>
      </c>
      <c r="W3935" t="str">
        <f t="shared" si="888"/>
        <v>Main St</v>
      </c>
      <c r="X3935" t="str">
        <f>IF(ISBLANK(S3935),"Intersection","Non-Intersection")</f>
        <v>Intersection</v>
      </c>
      <c r="Y3935" t="s">
        <v>4744</v>
      </c>
      <c r="Z3935" t="str">
        <f t="shared" si="889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890"/>
        <v>40909</v>
      </c>
      <c r="D3936" s="4">
        <f t="shared" si="891"/>
        <v>0.54644808743169404</v>
      </c>
      <c r="E3936" s="3">
        <f t="shared" si="892"/>
        <v>2012</v>
      </c>
      <c r="F3936" s="3">
        <f t="shared" si="893"/>
        <v>7</v>
      </c>
      <c r="G3936" s="3">
        <f t="shared" si="894"/>
        <v>19</v>
      </c>
      <c r="H3936" s="3">
        <f t="shared" si="895"/>
        <v>18</v>
      </c>
      <c r="I3936" s="3">
        <f t="shared" si="896"/>
        <v>5</v>
      </c>
      <c r="J3936" s="3">
        <f t="shared" si="897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898"/>
        <v>YES</v>
      </c>
      <c r="Q3936" t="str">
        <f t="shared" si="899"/>
        <v>YES</v>
      </c>
      <c r="R3936" t="str">
        <f t="shared" si="900"/>
        <v>NO</v>
      </c>
      <c r="T3936" t="s">
        <v>74</v>
      </c>
      <c r="U3936" t="str">
        <f t="shared" si="887"/>
        <v>Hampshire St</v>
      </c>
      <c r="V3936" t="s">
        <v>2050</v>
      </c>
      <c r="W3936" t="str">
        <f t="shared" si="888"/>
        <v>Portsmouth St</v>
      </c>
      <c r="X3936" t="str">
        <f>IF(ISBLANK(S3936),"Intersection","Non-Intersection")</f>
        <v>Intersection</v>
      </c>
      <c r="Y3936" t="s">
        <v>4746</v>
      </c>
      <c r="Z3936" t="str">
        <f t="shared" si="889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890"/>
        <v>40909</v>
      </c>
      <c r="D3937" s="4">
        <f t="shared" si="891"/>
        <v>0.54918032786885251</v>
      </c>
      <c r="E3937" s="3">
        <f t="shared" si="892"/>
        <v>2012</v>
      </c>
      <c r="F3937" s="3">
        <f t="shared" si="893"/>
        <v>7</v>
      </c>
      <c r="G3937" s="3">
        <f t="shared" si="894"/>
        <v>20</v>
      </c>
      <c r="H3937" s="3">
        <f t="shared" si="895"/>
        <v>15</v>
      </c>
      <c r="I3937" s="3">
        <f t="shared" si="896"/>
        <v>59</v>
      </c>
      <c r="J3937" s="3">
        <f t="shared" si="897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898"/>
        <v>YES</v>
      </c>
      <c r="Q3937" t="str">
        <f t="shared" si="899"/>
        <v>NO</v>
      </c>
      <c r="R3937" t="str">
        <f t="shared" si="900"/>
        <v>NO</v>
      </c>
      <c r="S3937">
        <v>5</v>
      </c>
      <c r="T3937" t="s">
        <v>268</v>
      </c>
      <c r="U3937" t="str">
        <f t="shared" si="887"/>
        <v>White St</v>
      </c>
      <c r="W3937" t="str">
        <f t="shared" si="888"/>
        <v/>
      </c>
      <c r="X3937" t="str">
        <f>IF(ISBLANK(S3937),"Intersection","Non-Intersection")</f>
        <v>Non-Intersection</v>
      </c>
      <c r="Y3937" t="s">
        <v>4177</v>
      </c>
      <c r="Z3937" t="str">
        <f t="shared" si="889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890"/>
        <v>40909</v>
      </c>
      <c r="D3938" s="4">
        <f t="shared" si="891"/>
        <v>0.54918032786885251</v>
      </c>
      <c r="E3938" s="3">
        <f t="shared" si="892"/>
        <v>2012</v>
      </c>
      <c r="F3938" s="3">
        <f t="shared" si="893"/>
        <v>7</v>
      </c>
      <c r="G3938" s="3">
        <f t="shared" si="894"/>
        <v>20</v>
      </c>
      <c r="H3938" s="3">
        <f t="shared" si="895"/>
        <v>14</v>
      </c>
      <c r="I3938" s="3">
        <f t="shared" si="896"/>
        <v>29</v>
      </c>
      <c r="J3938" s="3">
        <f t="shared" si="897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898"/>
        <v>YES</v>
      </c>
      <c r="Q3938" t="str">
        <f t="shared" si="899"/>
        <v>NO</v>
      </c>
      <c r="R3938" t="str">
        <f t="shared" si="900"/>
        <v>NO</v>
      </c>
      <c r="T3938" t="s">
        <v>198</v>
      </c>
      <c r="U3938" t="str">
        <f t="shared" si="887"/>
        <v>Mount Auburn St</v>
      </c>
      <c r="V3938" t="s">
        <v>42</v>
      </c>
      <c r="W3938" t="str">
        <f t="shared" si="888"/>
        <v>Putnam Ave</v>
      </c>
      <c r="X3938" t="str">
        <f>IF(ISBLANK(S3938),"Intersection","Non-Intersection")</f>
        <v>Intersection</v>
      </c>
      <c r="Y3938" t="s">
        <v>285</v>
      </c>
      <c r="Z3938" t="str">
        <f t="shared" si="889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890"/>
        <v>40909</v>
      </c>
      <c r="D3939" s="4">
        <f t="shared" si="891"/>
        <v>0.54918032786885251</v>
      </c>
      <c r="E3939" s="3">
        <f t="shared" si="892"/>
        <v>2012</v>
      </c>
      <c r="F3939" s="3">
        <f t="shared" si="893"/>
        <v>7</v>
      </c>
      <c r="G3939" s="3">
        <f t="shared" si="894"/>
        <v>20</v>
      </c>
      <c r="H3939" s="3">
        <f t="shared" si="895"/>
        <v>11</v>
      </c>
      <c r="I3939" s="3">
        <f t="shared" si="896"/>
        <v>0</v>
      </c>
      <c r="J3939" s="3">
        <f t="shared" si="897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898"/>
        <v>YES</v>
      </c>
      <c r="Q3939" t="str">
        <f t="shared" si="899"/>
        <v>NO</v>
      </c>
      <c r="R3939" t="str">
        <f t="shared" si="900"/>
        <v>NO</v>
      </c>
      <c r="S3939">
        <v>362</v>
      </c>
      <c r="T3939" t="s">
        <v>15</v>
      </c>
      <c r="U3939" t="str">
        <f t="shared" si="887"/>
        <v>Rindge Ave</v>
      </c>
      <c r="W3939" t="str">
        <f t="shared" si="888"/>
        <v/>
      </c>
      <c r="X3939" t="str">
        <f>IF(ISBLANK(S3939),"Intersection","Non-Intersection")</f>
        <v>Non-Intersection</v>
      </c>
      <c r="Y3939" t="s">
        <v>3320</v>
      </c>
      <c r="Z3939" t="str">
        <f t="shared" si="889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890"/>
        <v>40909</v>
      </c>
      <c r="D3940" s="4">
        <f t="shared" si="891"/>
        <v>0.55191256830601088</v>
      </c>
      <c r="E3940" s="3">
        <f t="shared" si="892"/>
        <v>2012</v>
      </c>
      <c r="F3940" s="3">
        <f t="shared" si="893"/>
        <v>7</v>
      </c>
      <c r="G3940" s="3">
        <f t="shared" si="894"/>
        <v>21</v>
      </c>
      <c r="H3940" s="3">
        <f t="shared" si="895"/>
        <v>12</v>
      </c>
      <c r="I3940" s="3">
        <f t="shared" si="896"/>
        <v>34</v>
      </c>
      <c r="J3940" s="3">
        <f t="shared" si="897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898"/>
        <v>YES</v>
      </c>
      <c r="Q3940" t="str">
        <f t="shared" si="899"/>
        <v>NO</v>
      </c>
      <c r="R3940" t="str">
        <f t="shared" si="900"/>
        <v>NO</v>
      </c>
      <c r="S3940">
        <v>151</v>
      </c>
      <c r="T3940" t="s">
        <v>199</v>
      </c>
      <c r="U3940" t="str">
        <f t="shared" si="887"/>
        <v>Brattle St</v>
      </c>
      <c r="W3940" t="str">
        <f t="shared" si="888"/>
        <v/>
      </c>
      <c r="X3940" t="str">
        <f>IF(ISBLANK(S3940),"Intersection","Non-Intersection")</f>
        <v>Non-Intersection</v>
      </c>
      <c r="Y3940" t="s">
        <v>4748</v>
      </c>
      <c r="Z3940" t="str">
        <f t="shared" si="889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890"/>
        <v>40909</v>
      </c>
      <c r="D3941" s="4">
        <f t="shared" si="891"/>
        <v>0.55191256830601088</v>
      </c>
      <c r="E3941" s="3">
        <f t="shared" si="892"/>
        <v>2012</v>
      </c>
      <c r="F3941" s="3">
        <f t="shared" si="893"/>
        <v>7</v>
      </c>
      <c r="G3941" s="3">
        <f t="shared" si="894"/>
        <v>21</v>
      </c>
      <c r="H3941" s="3">
        <f t="shared" si="895"/>
        <v>20</v>
      </c>
      <c r="I3941" s="3">
        <f t="shared" si="896"/>
        <v>35</v>
      </c>
      <c r="J3941" s="3">
        <f t="shared" si="897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898"/>
        <v>YES</v>
      </c>
      <c r="Q3941" t="str">
        <f t="shared" si="899"/>
        <v>NO</v>
      </c>
      <c r="R3941" t="str">
        <f t="shared" si="900"/>
        <v>YES</v>
      </c>
      <c r="S3941">
        <v>215</v>
      </c>
      <c r="T3941" t="s">
        <v>170</v>
      </c>
      <c r="U3941" t="str">
        <f t="shared" si="887"/>
        <v>Alewife Brook Pky</v>
      </c>
      <c r="W3941" t="str">
        <f t="shared" si="888"/>
        <v/>
      </c>
      <c r="X3941" t="str">
        <f>IF(ISBLANK(S3941),"Intersection","Non-Intersection")</f>
        <v>Non-Intersection</v>
      </c>
      <c r="Y3941" t="s">
        <v>4750</v>
      </c>
      <c r="Z3941" t="str">
        <f t="shared" si="889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890"/>
        <v>40909</v>
      </c>
      <c r="D3942" s="4">
        <f t="shared" si="891"/>
        <v>0.55464480874316935</v>
      </c>
      <c r="E3942" s="3">
        <f t="shared" si="892"/>
        <v>2012</v>
      </c>
      <c r="F3942" s="3">
        <f t="shared" si="893"/>
        <v>7</v>
      </c>
      <c r="G3942" s="3">
        <f t="shared" si="894"/>
        <v>22</v>
      </c>
      <c r="H3942" s="3">
        <f t="shared" si="895"/>
        <v>15</v>
      </c>
      <c r="I3942" s="3">
        <f t="shared" si="896"/>
        <v>59</v>
      </c>
      <c r="J3942" s="3">
        <f t="shared" si="897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898"/>
        <v>YES</v>
      </c>
      <c r="Q3942" t="str">
        <f t="shared" si="899"/>
        <v>NO</v>
      </c>
      <c r="R3942" t="str">
        <f t="shared" si="900"/>
        <v>NO</v>
      </c>
      <c r="T3942" t="s">
        <v>601</v>
      </c>
      <c r="U3942" t="str">
        <f t="shared" si="887"/>
        <v>Cedar St</v>
      </c>
      <c r="V3942" t="s">
        <v>2060</v>
      </c>
      <c r="W3942" t="str">
        <f t="shared" si="888"/>
        <v>Harvey St</v>
      </c>
      <c r="X3942" t="str">
        <f>IF(ISBLANK(S3942),"Intersection","Non-Intersection")</f>
        <v>Intersection</v>
      </c>
      <c r="Y3942" t="s">
        <v>2061</v>
      </c>
      <c r="Z3942" t="str">
        <f t="shared" si="889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890"/>
        <v>40909</v>
      </c>
      <c r="D3943" s="4">
        <f t="shared" si="891"/>
        <v>0.55464480874316935</v>
      </c>
      <c r="E3943" s="3">
        <f t="shared" si="892"/>
        <v>2012</v>
      </c>
      <c r="F3943" s="3">
        <f t="shared" si="893"/>
        <v>7</v>
      </c>
      <c r="G3943" s="3">
        <f t="shared" si="894"/>
        <v>22</v>
      </c>
      <c r="H3943" s="3">
        <f t="shared" si="895"/>
        <v>23</v>
      </c>
      <c r="I3943" s="3">
        <f t="shared" si="896"/>
        <v>15</v>
      </c>
      <c r="J3943" s="3">
        <f t="shared" si="897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898"/>
        <v>YES</v>
      </c>
      <c r="Q3943" t="str">
        <f t="shared" si="899"/>
        <v>NO</v>
      </c>
      <c r="R3943" t="str">
        <f t="shared" si="900"/>
        <v>NO</v>
      </c>
      <c r="S3943">
        <v>200</v>
      </c>
      <c r="T3943" t="s">
        <v>74</v>
      </c>
      <c r="U3943" t="str">
        <f t="shared" si="887"/>
        <v>Hampshire St</v>
      </c>
      <c r="V3943" t="s">
        <v>104</v>
      </c>
      <c r="W3943" t="str">
        <f t="shared" si="888"/>
        <v>Inman St</v>
      </c>
      <c r="X3943" t="str">
        <f>IF(ISBLANK(S3943),"Intersection","Non-Intersection")</f>
        <v>Non-Intersection</v>
      </c>
      <c r="Y3943" t="s">
        <v>2655</v>
      </c>
      <c r="Z3943" t="str">
        <f t="shared" si="889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890"/>
        <v>40909</v>
      </c>
      <c r="D3944" s="4">
        <f t="shared" si="891"/>
        <v>0.55464480874316935</v>
      </c>
      <c r="E3944" s="3">
        <f t="shared" si="892"/>
        <v>2012</v>
      </c>
      <c r="F3944" s="3">
        <f t="shared" si="893"/>
        <v>7</v>
      </c>
      <c r="G3944" s="3">
        <f t="shared" si="894"/>
        <v>22</v>
      </c>
      <c r="H3944" s="3">
        <f t="shared" si="895"/>
        <v>14</v>
      </c>
      <c r="I3944" s="3">
        <f t="shared" si="896"/>
        <v>29</v>
      </c>
      <c r="J3944" s="3">
        <f t="shared" si="897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898"/>
        <v>YES</v>
      </c>
      <c r="Q3944" t="str">
        <f t="shared" si="899"/>
        <v>NO</v>
      </c>
      <c r="R3944" t="str">
        <f t="shared" si="900"/>
        <v>NO</v>
      </c>
      <c r="S3944">
        <v>699</v>
      </c>
      <c r="T3944" t="s">
        <v>198</v>
      </c>
      <c r="U3944" t="str">
        <f t="shared" si="887"/>
        <v>Mount Auburn St</v>
      </c>
      <c r="W3944" t="str">
        <f t="shared" si="888"/>
        <v/>
      </c>
      <c r="X3944" t="str">
        <f>IF(ISBLANK(S3944),"Intersection","Non-Intersection")</f>
        <v>Non-Intersection</v>
      </c>
      <c r="Y3944" t="s">
        <v>585</v>
      </c>
      <c r="Z3944" t="str">
        <f t="shared" si="889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890"/>
        <v>40909</v>
      </c>
      <c r="D3945" s="4">
        <f t="shared" si="891"/>
        <v>0.55737704918032782</v>
      </c>
      <c r="E3945" s="3">
        <f t="shared" si="892"/>
        <v>2012</v>
      </c>
      <c r="F3945" s="3">
        <f t="shared" si="893"/>
        <v>7</v>
      </c>
      <c r="G3945" s="3">
        <f t="shared" si="894"/>
        <v>23</v>
      </c>
      <c r="H3945" s="3">
        <f t="shared" si="895"/>
        <v>9</v>
      </c>
      <c r="I3945" s="3">
        <f t="shared" si="896"/>
        <v>49</v>
      </c>
      <c r="J3945" s="3">
        <f t="shared" si="897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898"/>
        <v>YES</v>
      </c>
      <c r="Q3945" t="str">
        <f t="shared" si="899"/>
        <v>NO</v>
      </c>
      <c r="R3945" t="str">
        <f t="shared" si="900"/>
        <v>NO</v>
      </c>
      <c r="T3945" t="s">
        <v>4752</v>
      </c>
      <c r="U3945" t="str">
        <f t="shared" si="887"/>
        <v>Sacramento Pl</v>
      </c>
      <c r="V3945" t="s">
        <v>14</v>
      </c>
      <c r="W3945" t="str">
        <f t="shared" si="888"/>
        <v>Massachusetts Ave</v>
      </c>
      <c r="X3945" t="str">
        <f>IF(ISBLANK(S3945),"Intersection","Non-Intersection")</f>
        <v>Intersection</v>
      </c>
      <c r="Y3945" t="s">
        <v>4753</v>
      </c>
      <c r="Z3945" t="str">
        <f t="shared" si="889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890"/>
        <v>40909</v>
      </c>
      <c r="D3946" s="4">
        <f t="shared" si="891"/>
        <v>0.55737704918032782</v>
      </c>
      <c r="E3946" s="3">
        <f t="shared" si="892"/>
        <v>2012</v>
      </c>
      <c r="F3946" s="3">
        <f t="shared" si="893"/>
        <v>7</v>
      </c>
      <c r="G3946" s="3">
        <f t="shared" si="894"/>
        <v>23</v>
      </c>
      <c r="H3946" s="3">
        <f t="shared" si="895"/>
        <v>21</v>
      </c>
      <c r="I3946" s="3">
        <f t="shared" si="896"/>
        <v>49</v>
      </c>
      <c r="J3946" s="3">
        <f t="shared" si="897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898"/>
        <v>YES</v>
      </c>
      <c r="Q3946" t="str">
        <f t="shared" si="899"/>
        <v>NO</v>
      </c>
      <c r="R3946" t="str">
        <f t="shared" si="900"/>
        <v>NO</v>
      </c>
      <c r="S3946">
        <v>200</v>
      </c>
      <c r="T3946" t="s">
        <v>170</v>
      </c>
      <c r="U3946" t="str">
        <f t="shared" si="887"/>
        <v>Alewife Brook Pky</v>
      </c>
      <c r="W3946" t="str">
        <f t="shared" si="888"/>
        <v/>
      </c>
      <c r="X3946" t="str">
        <f>IF(ISBLANK(S3946),"Intersection","Non-Intersection")</f>
        <v>Non-Intersection</v>
      </c>
      <c r="Y3946" t="s">
        <v>2274</v>
      </c>
      <c r="Z3946" t="str">
        <f t="shared" si="889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890"/>
        <v>40909</v>
      </c>
      <c r="D3947" s="4">
        <f t="shared" si="891"/>
        <v>0.56010928961748629</v>
      </c>
      <c r="E3947" s="3">
        <f t="shared" si="892"/>
        <v>2012</v>
      </c>
      <c r="F3947" s="3">
        <f t="shared" si="893"/>
        <v>7</v>
      </c>
      <c r="G3947" s="3">
        <f t="shared" si="894"/>
        <v>24</v>
      </c>
      <c r="H3947" s="3">
        <f t="shared" si="895"/>
        <v>14</v>
      </c>
      <c r="I3947" s="3">
        <f t="shared" si="896"/>
        <v>29</v>
      </c>
      <c r="J3947" s="3">
        <f t="shared" si="897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898"/>
        <v>YES</v>
      </c>
      <c r="Q3947" t="str">
        <f t="shared" si="899"/>
        <v>NO</v>
      </c>
      <c r="R3947" t="str">
        <f t="shared" si="900"/>
        <v>YES</v>
      </c>
      <c r="T3947" t="s">
        <v>19</v>
      </c>
      <c r="U3947" t="str">
        <f t="shared" si="887"/>
        <v>Cambridge St</v>
      </c>
      <c r="V3947" t="s">
        <v>3844</v>
      </c>
      <c r="W3947" t="str">
        <f t="shared" si="888"/>
        <v>Warren Pl</v>
      </c>
      <c r="X3947" t="str">
        <f>IF(ISBLANK(S3947),"Intersection","Non-Intersection")</f>
        <v>Intersection</v>
      </c>
      <c r="Y3947" t="s">
        <v>3845</v>
      </c>
      <c r="Z3947" t="str">
        <f t="shared" si="889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890"/>
        <v>40909</v>
      </c>
      <c r="D3948" s="4">
        <f t="shared" si="891"/>
        <v>0.56010928961748629</v>
      </c>
      <c r="E3948" s="3">
        <f t="shared" si="892"/>
        <v>2012</v>
      </c>
      <c r="F3948" s="3">
        <f t="shared" si="893"/>
        <v>7</v>
      </c>
      <c r="G3948" s="3">
        <f t="shared" si="894"/>
        <v>24</v>
      </c>
      <c r="H3948" s="3">
        <f t="shared" si="895"/>
        <v>18</v>
      </c>
      <c r="I3948" s="3">
        <f t="shared" si="896"/>
        <v>0</v>
      </c>
      <c r="J3948" s="3">
        <f t="shared" si="897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898"/>
        <v>YES</v>
      </c>
      <c r="Q3948" t="str">
        <f t="shared" si="899"/>
        <v>NO</v>
      </c>
      <c r="R3948" t="str">
        <f t="shared" si="900"/>
        <v>NO</v>
      </c>
      <c r="S3948">
        <v>66</v>
      </c>
      <c r="T3948" t="s">
        <v>2285</v>
      </c>
      <c r="U3948" t="str">
        <f t="shared" si="887"/>
        <v>Homer Ave</v>
      </c>
      <c r="W3948" t="str">
        <f t="shared" si="888"/>
        <v/>
      </c>
      <c r="X3948" t="str">
        <f>IF(ISBLANK(S3948),"Intersection","Non-Intersection")</f>
        <v>Non-Intersection</v>
      </c>
      <c r="Y3948" t="s">
        <v>4755</v>
      </c>
      <c r="Z3948" t="str">
        <f t="shared" si="889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890"/>
        <v>40909</v>
      </c>
      <c r="D3949" s="4">
        <f t="shared" si="891"/>
        <v>0.56010928961748629</v>
      </c>
      <c r="E3949" s="3">
        <f t="shared" si="892"/>
        <v>2012</v>
      </c>
      <c r="F3949" s="3">
        <f t="shared" si="893"/>
        <v>7</v>
      </c>
      <c r="G3949" s="3">
        <f t="shared" si="894"/>
        <v>24</v>
      </c>
      <c r="H3949" s="3">
        <f t="shared" si="895"/>
        <v>19</v>
      </c>
      <c r="I3949" s="3">
        <f t="shared" si="896"/>
        <v>12</v>
      </c>
      <c r="J3949" s="3">
        <f t="shared" si="897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898"/>
        <v>YES</v>
      </c>
      <c r="Q3949" t="str">
        <f t="shared" si="899"/>
        <v>YES</v>
      </c>
      <c r="R3949" t="str">
        <f t="shared" si="900"/>
        <v>NO</v>
      </c>
      <c r="S3949">
        <v>2055</v>
      </c>
      <c r="T3949" t="s">
        <v>14</v>
      </c>
      <c r="U3949" t="str">
        <f t="shared" si="887"/>
        <v>Massachusetts Ave</v>
      </c>
      <c r="W3949" t="str">
        <f t="shared" si="888"/>
        <v/>
      </c>
      <c r="X3949" t="str">
        <f>IF(ISBLANK(S3949),"Intersection","Non-Intersection")</f>
        <v>Non-Intersection</v>
      </c>
      <c r="Y3949" t="s">
        <v>3399</v>
      </c>
      <c r="Z3949" t="str">
        <f t="shared" si="889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890"/>
        <v>40909</v>
      </c>
      <c r="D3950" s="4">
        <f t="shared" si="891"/>
        <v>0.56284153005464477</v>
      </c>
      <c r="E3950" s="3">
        <f t="shared" si="892"/>
        <v>2012</v>
      </c>
      <c r="F3950" s="3">
        <f t="shared" si="893"/>
        <v>7</v>
      </c>
      <c r="G3950" s="3">
        <f t="shared" si="894"/>
        <v>25</v>
      </c>
      <c r="H3950" s="3">
        <f t="shared" si="895"/>
        <v>11</v>
      </c>
      <c r="I3950" s="3">
        <f t="shared" si="896"/>
        <v>0</v>
      </c>
      <c r="J3950" s="3">
        <f t="shared" si="897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898"/>
        <v>YES</v>
      </c>
      <c r="Q3950" t="str">
        <f t="shared" si="899"/>
        <v>NO</v>
      </c>
      <c r="R3950" t="str">
        <f t="shared" si="900"/>
        <v>NO</v>
      </c>
      <c r="T3950" t="s">
        <v>14</v>
      </c>
      <c r="U3950" t="str">
        <f t="shared" si="887"/>
        <v>Massachusetts Ave</v>
      </c>
      <c r="V3950" t="s">
        <v>985</v>
      </c>
      <c r="W3950" t="str">
        <f t="shared" si="888"/>
        <v>Plymouth St</v>
      </c>
      <c r="X3950" t="str">
        <f>IF(ISBLANK(S3950),"Intersection","Non-Intersection")</f>
        <v>Intersection</v>
      </c>
      <c r="Y3950" t="s">
        <v>4757</v>
      </c>
      <c r="Z3950" t="str">
        <f t="shared" si="889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890"/>
        <v>40909</v>
      </c>
      <c r="D3951" s="4">
        <f t="shared" si="891"/>
        <v>0.56284153005464477</v>
      </c>
      <c r="E3951" s="3">
        <f t="shared" si="892"/>
        <v>2012</v>
      </c>
      <c r="F3951" s="3">
        <f t="shared" si="893"/>
        <v>7</v>
      </c>
      <c r="G3951" s="3">
        <f t="shared" si="894"/>
        <v>25</v>
      </c>
      <c r="H3951" s="3">
        <f t="shared" si="895"/>
        <v>11</v>
      </c>
      <c r="I3951" s="3">
        <f t="shared" si="896"/>
        <v>29</v>
      </c>
      <c r="J3951" s="3">
        <f t="shared" si="897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898"/>
        <v>YES</v>
      </c>
      <c r="Q3951" t="str">
        <f t="shared" si="899"/>
        <v>NO</v>
      </c>
      <c r="R3951" t="str">
        <f t="shared" si="900"/>
        <v>NO</v>
      </c>
      <c r="S3951">
        <v>55</v>
      </c>
      <c r="T3951" t="s">
        <v>1752</v>
      </c>
      <c r="U3951" t="str">
        <f t="shared" si="887"/>
        <v>Cambridgepark Dr</v>
      </c>
      <c r="W3951" t="str">
        <f t="shared" si="888"/>
        <v/>
      </c>
      <c r="X3951" t="str">
        <f>IF(ISBLANK(S3951),"Intersection","Non-Intersection")</f>
        <v>Non-Intersection</v>
      </c>
      <c r="Y3951" t="s">
        <v>4758</v>
      </c>
      <c r="Z3951" t="str">
        <f t="shared" si="889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890"/>
        <v>40909</v>
      </c>
      <c r="D3952" s="4">
        <f t="shared" si="891"/>
        <v>0.56284153005464477</v>
      </c>
      <c r="E3952" s="3">
        <f t="shared" si="892"/>
        <v>2012</v>
      </c>
      <c r="F3952" s="3">
        <f t="shared" si="893"/>
        <v>7</v>
      </c>
      <c r="G3952" s="3">
        <f t="shared" si="894"/>
        <v>25</v>
      </c>
      <c r="H3952" s="3">
        <f t="shared" si="895"/>
        <v>15</v>
      </c>
      <c r="I3952" s="3">
        <f t="shared" si="896"/>
        <v>49</v>
      </c>
      <c r="J3952" s="3">
        <f t="shared" si="897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898"/>
        <v>YES</v>
      </c>
      <c r="Q3952" t="str">
        <f t="shared" si="899"/>
        <v>YES</v>
      </c>
      <c r="R3952" t="str">
        <f t="shared" si="900"/>
        <v>NO</v>
      </c>
      <c r="T3952" t="s">
        <v>229</v>
      </c>
      <c r="U3952" t="str">
        <f t="shared" si="887"/>
        <v>Dewolfe St</v>
      </c>
      <c r="V3952" t="s">
        <v>86</v>
      </c>
      <c r="W3952" t="str">
        <f t="shared" si="888"/>
        <v>Granite St</v>
      </c>
      <c r="X3952" t="str">
        <f>IF(ISBLANK(S3952),"Intersection","Non-Intersection")</f>
        <v>Intersection</v>
      </c>
      <c r="Y3952" t="s">
        <v>4760</v>
      </c>
      <c r="Z3952" t="str">
        <f t="shared" si="889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890"/>
        <v>40909</v>
      </c>
      <c r="D3953" s="4">
        <f t="shared" si="891"/>
        <v>0.56284153005464477</v>
      </c>
      <c r="E3953" s="3">
        <f t="shared" si="892"/>
        <v>2012</v>
      </c>
      <c r="F3953" s="3">
        <f t="shared" si="893"/>
        <v>7</v>
      </c>
      <c r="G3953" s="3">
        <f t="shared" si="894"/>
        <v>25</v>
      </c>
      <c r="H3953" s="3">
        <f t="shared" si="895"/>
        <v>17</v>
      </c>
      <c r="I3953" s="3">
        <f t="shared" si="896"/>
        <v>1</v>
      </c>
      <c r="J3953" s="3">
        <f t="shared" si="897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898"/>
        <v>YES</v>
      </c>
      <c r="Q3953" t="str">
        <f t="shared" si="899"/>
        <v>NO</v>
      </c>
      <c r="R3953" t="str">
        <f t="shared" si="900"/>
        <v>NO</v>
      </c>
      <c r="S3953">
        <v>240</v>
      </c>
      <c r="T3953" t="s">
        <v>342</v>
      </c>
      <c r="U3953" t="str">
        <f t="shared" si="887"/>
        <v>Prospect St</v>
      </c>
      <c r="W3953" t="str">
        <f t="shared" si="888"/>
        <v/>
      </c>
      <c r="X3953" t="str">
        <f>IF(ISBLANK(S3953),"Intersection","Non-Intersection")</f>
        <v>Non-Intersection</v>
      </c>
      <c r="Y3953" t="s">
        <v>4761</v>
      </c>
      <c r="Z3953" t="str">
        <f t="shared" si="889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890"/>
        <v>40909</v>
      </c>
      <c r="D3954" s="4">
        <f t="shared" si="891"/>
        <v>0.56284153005464477</v>
      </c>
      <c r="E3954" s="3">
        <f t="shared" si="892"/>
        <v>2012</v>
      </c>
      <c r="F3954" s="3">
        <f t="shared" si="893"/>
        <v>7</v>
      </c>
      <c r="G3954" s="3">
        <f t="shared" si="894"/>
        <v>25</v>
      </c>
      <c r="H3954" s="3">
        <f t="shared" si="895"/>
        <v>22</v>
      </c>
      <c r="I3954" s="3">
        <f t="shared" si="896"/>
        <v>15</v>
      </c>
      <c r="J3954" s="3">
        <f t="shared" si="897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898"/>
        <v>YES</v>
      </c>
      <c r="Q3954" t="str">
        <f t="shared" si="899"/>
        <v>NO</v>
      </c>
      <c r="R3954" t="str">
        <f t="shared" si="900"/>
        <v>NO</v>
      </c>
      <c r="T3954" t="s">
        <v>3761</v>
      </c>
      <c r="U3954" t="str">
        <f t="shared" si="887"/>
        <v>Winslow St</v>
      </c>
      <c r="V3954" t="s">
        <v>4763</v>
      </c>
      <c r="W3954" t="str">
        <f t="shared" si="888"/>
        <v>Tierney St</v>
      </c>
      <c r="X3954" t="str">
        <f>IF(ISBLANK(S3954),"Intersection","Non-Intersection")</f>
        <v>Intersection</v>
      </c>
      <c r="Y3954" t="s">
        <v>4764</v>
      </c>
      <c r="Z3954" t="str">
        <f t="shared" si="889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890"/>
        <v>40909</v>
      </c>
      <c r="D3955" s="4">
        <f t="shared" si="891"/>
        <v>0.56557377049180324</v>
      </c>
      <c r="E3955" s="3">
        <f t="shared" si="892"/>
        <v>2012</v>
      </c>
      <c r="F3955" s="3">
        <f t="shared" si="893"/>
        <v>7</v>
      </c>
      <c r="G3955" s="3">
        <f t="shared" si="894"/>
        <v>26</v>
      </c>
      <c r="H3955" s="3">
        <f t="shared" si="895"/>
        <v>13</v>
      </c>
      <c r="I3955" s="3">
        <f t="shared" si="896"/>
        <v>9</v>
      </c>
      <c r="J3955" s="3">
        <f t="shared" si="897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898"/>
        <v>YES</v>
      </c>
      <c r="Q3955" t="str">
        <f t="shared" si="899"/>
        <v>YES</v>
      </c>
      <c r="R3955" t="str">
        <f t="shared" si="900"/>
        <v>NO</v>
      </c>
      <c r="T3955" t="s">
        <v>185</v>
      </c>
      <c r="U3955" t="str">
        <f t="shared" si="887"/>
        <v>Garden St</v>
      </c>
      <c r="V3955" t="s">
        <v>142</v>
      </c>
      <c r="W3955" t="str">
        <f t="shared" si="888"/>
        <v>Huron Ave</v>
      </c>
      <c r="X3955" t="str">
        <f>IF(ISBLANK(S3955),"Intersection","Non-Intersection")</f>
        <v>Intersection</v>
      </c>
      <c r="Y3955" t="s">
        <v>890</v>
      </c>
      <c r="Z3955" t="str">
        <f t="shared" si="889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890"/>
        <v>40909</v>
      </c>
      <c r="D3956" s="4">
        <f t="shared" si="891"/>
        <v>0.56557377049180324</v>
      </c>
      <c r="E3956" s="3">
        <f t="shared" si="892"/>
        <v>2012</v>
      </c>
      <c r="F3956" s="3">
        <f t="shared" si="893"/>
        <v>7</v>
      </c>
      <c r="G3956" s="3">
        <f t="shared" si="894"/>
        <v>26</v>
      </c>
      <c r="H3956" s="3">
        <f t="shared" si="895"/>
        <v>22</v>
      </c>
      <c r="I3956" s="3">
        <f t="shared" si="896"/>
        <v>2</v>
      </c>
      <c r="J3956" s="3">
        <f t="shared" si="897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898"/>
        <v>YES</v>
      </c>
      <c r="Q3956" t="str">
        <f t="shared" si="899"/>
        <v>NO</v>
      </c>
      <c r="R3956" t="str">
        <f t="shared" si="900"/>
        <v>NO</v>
      </c>
      <c r="T3956" t="s">
        <v>260</v>
      </c>
      <c r="U3956" t="str">
        <f t="shared" si="887"/>
        <v>Third St</v>
      </c>
      <c r="V3956" t="s">
        <v>146</v>
      </c>
      <c r="W3956" t="str">
        <f t="shared" si="888"/>
        <v>Spring St</v>
      </c>
      <c r="X3956" t="str">
        <f>IF(ISBLANK(S3956),"Intersection","Non-Intersection")</f>
        <v>Intersection</v>
      </c>
      <c r="Y3956" t="s">
        <v>544</v>
      </c>
      <c r="Z3956" t="str">
        <f t="shared" si="889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890"/>
        <v>40909</v>
      </c>
      <c r="D3957" s="4">
        <f t="shared" si="891"/>
        <v>0.56830601092896171</v>
      </c>
      <c r="E3957" s="3">
        <f t="shared" si="892"/>
        <v>2012</v>
      </c>
      <c r="F3957" s="3">
        <f t="shared" si="893"/>
        <v>7</v>
      </c>
      <c r="G3957" s="3">
        <f t="shared" si="894"/>
        <v>27</v>
      </c>
      <c r="H3957" s="3">
        <f t="shared" si="895"/>
        <v>8</v>
      </c>
      <c r="I3957" s="3">
        <f t="shared" si="896"/>
        <v>10</v>
      </c>
      <c r="J3957" s="3">
        <f t="shared" si="897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898"/>
        <v>YES</v>
      </c>
      <c r="Q3957" t="str">
        <f t="shared" si="899"/>
        <v>NO</v>
      </c>
      <c r="R3957" t="str">
        <f t="shared" si="900"/>
        <v>NO</v>
      </c>
      <c r="T3957" t="s">
        <v>192</v>
      </c>
      <c r="U3957" t="str">
        <f t="shared" si="887"/>
        <v>Hancock St</v>
      </c>
      <c r="V3957" t="s">
        <v>1024</v>
      </c>
      <c r="W3957" t="str">
        <f t="shared" si="888"/>
        <v>Kinnaird St</v>
      </c>
      <c r="X3957" t="str">
        <f>IF(ISBLANK(S3957),"Intersection","Non-Intersection")</f>
        <v>Intersection</v>
      </c>
      <c r="Y3957" t="s">
        <v>4766</v>
      </c>
      <c r="Z3957" t="str">
        <f t="shared" si="889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890"/>
        <v>40909</v>
      </c>
      <c r="D3958" s="4">
        <f t="shared" si="891"/>
        <v>0.56830601092896171</v>
      </c>
      <c r="E3958" s="3">
        <f t="shared" si="892"/>
        <v>2012</v>
      </c>
      <c r="F3958" s="3">
        <f t="shared" si="893"/>
        <v>7</v>
      </c>
      <c r="G3958" s="3">
        <f t="shared" si="894"/>
        <v>27</v>
      </c>
      <c r="H3958" s="3">
        <f t="shared" si="895"/>
        <v>8</v>
      </c>
      <c r="I3958" s="3">
        <f t="shared" si="896"/>
        <v>15</v>
      </c>
      <c r="J3958" s="3">
        <f t="shared" si="897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898"/>
        <v>YES</v>
      </c>
      <c r="Q3958" t="str">
        <f t="shared" si="899"/>
        <v>NO</v>
      </c>
      <c r="R3958" t="str">
        <f t="shared" si="900"/>
        <v>NO</v>
      </c>
      <c r="S3958">
        <v>10</v>
      </c>
      <c r="T3958" t="s">
        <v>2737</v>
      </c>
      <c r="U3958" t="str">
        <f t="shared" si="887"/>
        <v>Woodbridge St</v>
      </c>
      <c r="W3958" t="str">
        <f t="shared" si="888"/>
        <v/>
      </c>
      <c r="X3958" t="str">
        <f>IF(ISBLANK(S3958),"Intersection","Non-Intersection")</f>
        <v>Non-Intersection</v>
      </c>
      <c r="Y3958" t="s">
        <v>4767</v>
      </c>
      <c r="Z3958" t="str">
        <f t="shared" si="889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890"/>
        <v>40909</v>
      </c>
      <c r="D3959" s="4">
        <f t="shared" si="891"/>
        <v>0.56830601092896171</v>
      </c>
      <c r="E3959" s="3">
        <f t="shared" si="892"/>
        <v>2012</v>
      </c>
      <c r="F3959" s="3">
        <f t="shared" si="893"/>
        <v>7</v>
      </c>
      <c r="G3959" s="3">
        <f t="shared" si="894"/>
        <v>27</v>
      </c>
      <c r="H3959" s="3">
        <f t="shared" si="895"/>
        <v>9</v>
      </c>
      <c r="I3959" s="3">
        <f t="shared" si="896"/>
        <v>20</v>
      </c>
      <c r="J3959" s="3">
        <f t="shared" si="897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898"/>
        <v>YES</v>
      </c>
      <c r="Q3959" t="str">
        <f t="shared" si="899"/>
        <v>NO</v>
      </c>
      <c r="R3959" t="str">
        <f t="shared" si="900"/>
        <v>NO</v>
      </c>
      <c r="T3959" t="s">
        <v>75</v>
      </c>
      <c r="U3959" t="str">
        <f t="shared" si="887"/>
        <v>Elm St</v>
      </c>
      <c r="W3959" t="str">
        <f t="shared" si="888"/>
        <v/>
      </c>
      <c r="X3959" t="str">
        <f>IF(ISBLANK(S3959),"Intersection","Non-Intersection")</f>
        <v>Intersection</v>
      </c>
      <c r="Y3959" t="s">
        <v>4769</v>
      </c>
      <c r="Z3959" t="str">
        <f t="shared" si="889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890"/>
        <v>40909</v>
      </c>
      <c r="D3960" s="4">
        <f t="shared" si="891"/>
        <v>0.56830601092896171</v>
      </c>
      <c r="E3960" s="3">
        <f t="shared" si="892"/>
        <v>2012</v>
      </c>
      <c r="F3960" s="3">
        <f t="shared" si="893"/>
        <v>7</v>
      </c>
      <c r="G3960" s="3">
        <f t="shared" si="894"/>
        <v>27</v>
      </c>
      <c r="H3960" s="3">
        <f t="shared" si="895"/>
        <v>9</v>
      </c>
      <c r="I3960" s="3">
        <f t="shared" si="896"/>
        <v>55</v>
      </c>
      <c r="J3960" s="3">
        <f t="shared" si="897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898"/>
        <v>YES</v>
      </c>
      <c r="Q3960" t="str">
        <f t="shared" si="899"/>
        <v>NO</v>
      </c>
      <c r="R3960" t="str">
        <f t="shared" si="900"/>
        <v>NO</v>
      </c>
      <c r="S3960">
        <v>49</v>
      </c>
      <c r="T3960" t="s">
        <v>1196</v>
      </c>
      <c r="U3960" t="str">
        <f t="shared" si="887"/>
        <v>Hubbard Ave</v>
      </c>
      <c r="W3960" t="str">
        <f t="shared" si="888"/>
        <v/>
      </c>
      <c r="X3960" t="str">
        <f>IF(ISBLANK(S3960),"Intersection","Non-Intersection")</f>
        <v>Non-Intersection</v>
      </c>
      <c r="Y3960" t="s">
        <v>4770</v>
      </c>
      <c r="Z3960" t="str">
        <f t="shared" si="889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890"/>
        <v>40909</v>
      </c>
      <c r="D3961" s="4">
        <f t="shared" si="891"/>
        <v>0.56830601092896171</v>
      </c>
      <c r="E3961" s="3">
        <f t="shared" si="892"/>
        <v>2012</v>
      </c>
      <c r="F3961" s="3">
        <f t="shared" si="893"/>
        <v>7</v>
      </c>
      <c r="G3961" s="3">
        <f t="shared" si="894"/>
        <v>27</v>
      </c>
      <c r="H3961" s="3">
        <f t="shared" si="895"/>
        <v>17</v>
      </c>
      <c r="I3961" s="3">
        <f t="shared" si="896"/>
        <v>29</v>
      </c>
      <c r="J3961" s="3">
        <f t="shared" si="897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898"/>
        <v>YES</v>
      </c>
      <c r="Q3961" t="str">
        <f t="shared" si="899"/>
        <v>NO</v>
      </c>
      <c r="R3961" t="str">
        <f t="shared" si="900"/>
        <v>NO</v>
      </c>
      <c r="S3961">
        <v>14</v>
      </c>
      <c r="T3961" t="s">
        <v>351</v>
      </c>
      <c r="U3961" t="str">
        <f t="shared" si="887"/>
        <v>Cambridge Ctr</v>
      </c>
      <c r="W3961" t="str">
        <f t="shared" si="888"/>
        <v/>
      </c>
      <c r="X3961" t="str">
        <f>IF(ISBLANK(S3961),"Intersection","Non-Intersection")</f>
        <v>Non-Intersection</v>
      </c>
      <c r="Y3961" t="s">
        <v>1655</v>
      </c>
      <c r="Z3961" t="str">
        <f t="shared" si="889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890"/>
        <v>40909</v>
      </c>
      <c r="D3962" s="4">
        <f t="shared" si="891"/>
        <v>0.56830601092896171</v>
      </c>
      <c r="E3962" s="3">
        <f t="shared" si="892"/>
        <v>2012</v>
      </c>
      <c r="F3962" s="3">
        <f t="shared" si="893"/>
        <v>7</v>
      </c>
      <c r="G3962" s="3">
        <f t="shared" si="894"/>
        <v>27</v>
      </c>
      <c r="H3962" s="3">
        <f t="shared" si="895"/>
        <v>21</v>
      </c>
      <c r="I3962" s="3">
        <f t="shared" si="896"/>
        <v>0</v>
      </c>
      <c r="J3962" s="3">
        <f t="shared" si="897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898"/>
        <v>YES</v>
      </c>
      <c r="Q3962" t="str">
        <f t="shared" si="899"/>
        <v>NO</v>
      </c>
      <c r="R3962" t="str">
        <f t="shared" si="900"/>
        <v>NO</v>
      </c>
      <c r="T3962" t="s">
        <v>209</v>
      </c>
      <c r="U3962" t="str">
        <f t="shared" si="887"/>
        <v>Binney St</v>
      </c>
      <c r="V3962" t="s">
        <v>260</v>
      </c>
      <c r="W3962" t="str">
        <f t="shared" si="888"/>
        <v>Third St</v>
      </c>
      <c r="X3962" t="str">
        <f>IF(ISBLANK(S3962),"Intersection","Non-Intersection")</f>
        <v>Intersection</v>
      </c>
      <c r="Y3962" t="s">
        <v>531</v>
      </c>
      <c r="Z3962" t="str">
        <f t="shared" si="889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890"/>
        <v>40909</v>
      </c>
      <c r="D3963" s="4">
        <f t="shared" si="891"/>
        <v>0.56830601092896171</v>
      </c>
      <c r="E3963" s="3">
        <f t="shared" si="892"/>
        <v>2012</v>
      </c>
      <c r="F3963" s="3">
        <f t="shared" si="893"/>
        <v>7</v>
      </c>
      <c r="G3963" s="3">
        <f t="shared" si="894"/>
        <v>27</v>
      </c>
      <c r="H3963" s="3">
        <f t="shared" si="895"/>
        <v>8</v>
      </c>
      <c r="I3963" s="3">
        <f t="shared" si="896"/>
        <v>19</v>
      </c>
      <c r="J3963" s="3">
        <f t="shared" si="897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898"/>
        <v>YES</v>
      </c>
      <c r="Q3963" t="str">
        <f t="shared" si="899"/>
        <v>NO</v>
      </c>
      <c r="R3963" t="str">
        <f t="shared" si="900"/>
        <v>NO</v>
      </c>
      <c r="S3963">
        <v>244</v>
      </c>
      <c r="T3963" t="s">
        <v>199</v>
      </c>
      <c r="U3963" t="str">
        <f t="shared" si="887"/>
        <v>Brattle St</v>
      </c>
      <c r="W3963" t="str">
        <f t="shared" si="888"/>
        <v/>
      </c>
      <c r="X3963" t="str">
        <f>IF(ISBLANK(S3963),"Intersection","Non-Intersection")</f>
        <v>Non-Intersection</v>
      </c>
      <c r="Y3963" t="s">
        <v>2740</v>
      </c>
      <c r="Z3963" t="str">
        <f t="shared" si="889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890"/>
        <v>40909</v>
      </c>
      <c r="D3964" s="4">
        <f t="shared" si="891"/>
        <v>0.57103825136612019</v>
      </c>
      <c r="E3964" s="3">
        <f t="shared" si="892"/>
        <v>2012</v>
      </c>
      <c r="F3964" s="3">
        <f t="shared" si="893"/>
        <v>7</v>
      </c>
      <c r="G3964" s="3">
        <f t="shared" si="894"/>
        <v>28</v>
      </c>
      <c r="H3964" s="3">
        <f t="shared" si="895"/>
        <v>5</v>
      </c>
      <c r="I3964" s="3">
        <f t="shared" si="896"/>
        <v>54</v>
      </c>
      <c r="J3964" s="3">
        <f t="shared" si="897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898"/>
        <v>YES</v>
      </c>
      <c r="Q3964" t="str">
        <f t="shared" si="899"/>
        <v>NO</v>
      </c>
      <c r="R3964" t="str">
        <f t="shared" si="900"/>
        <v>NO</v>
      </c>
      <c r="T3964" t="s">
        <v>342</v>
      </c>
      <c r="U3964" t="str">
        <f t="shared" si="887"/>
        <v>Prospect St</v>
      </c>
      <c r="V3964" t="s">
        <v>19</v>
      </c>
      <c r="W3964" t="str">
        <f t="shared" si="888"/>
        <v>Cambridge St</v>
      </c>
      <c r="X3964" t="str">
        <f>IF(ISBLANK(S3964),"Intersection","Non-Intersection")</f>
        <v>Intersection</v>
      </c>
      <c r="Y3964" t="s">
        <v>3214</v>
      </c>
      <c r="Z3964" t="str">
        <f t="shared" si="889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890"/>
        <v>40909</v>
      </c>
      <c r="D3965" s="4">
        <f t="shared" si="891"/>
        <v>0.57103825136612019</v>
      </c>
      <c r="E3965" s="3">
        <f t="shared" si="892"/>
        <v>2012</v>
      </c>
      <c r="F3965" s="3">
        <f t="shared" si="893"/>
        <v>7</v>
      </c>
      <c r="G3965" s="3">
        <f t="shared" si="894"/>
        <v>28</v>
      </c>
      <c r="H3965" s="3">
        <f t="shared" si="895"/>
        <v>11</v>
      </c>
      <c r="I3965" s="3">
        <f t="shared" si="896"/>
        <v>19</v>
      </c>
      <c r="J3965" s="3">
        <f t="shared" si="897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898"/>
        <v>YES</v>
      </c>
      <c r="Q3965" t="str">
        <f t="shared" si="899"/>
        <v>NO</v>
      </c>
      <c r="R3965" t="str">
        <f t="shared" si="900"/>
        <v>NO</v>
      </c>
      <c r="S3965">
        <v>280</v>
      </c>
      <c r="T3965" t="s">
        <v>108</v>
      </c>
      <c r="U3965" t="str">
        <f t="shared" si="887"/>
        <v>Franklin St</v>
      </c>
      <c r="W3965" t="str">
        <f t="shared" si="888"/>
        <v/>
      </c>
      <c r="X3965" t="str">
        <f>IF(ISBLANK(S3965),"Intersection","Non-Intersection")</f>
        <v>Non-Intersection</v>
      </c>
      <c r="Y3965" t="s">
        <v>4772</v>
      </c>
      <c r="Z3965" t="str">
        <f t="shared" si="889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890"/>
        <v>40909</v>
      </c>
      <c r="D3966" s="4">
        <f t="shared" si="891"/>
        <v>0.57377049180327866</v>
      </c>
      <c r="E3966" s="3">
        <f t="shared" si="892"/>
        <v>2012</v>
      </c>
      <c r="F3966" s="3">
        <f t="shared" si="893"/>
        <v>7</v>
      </c>
      <c r="G3966" s="3">
        <f t="shared" si="894"/>
        <v>29</v>
      </c>
      <c r="H3966" s="3">
        <f t="shared" si="895"/>
        <v>2</v>
      </c>
      <c r="I3966" s="3">
        <f t="shared" si="896"/>
        <v>10</v>
      </c>
      <c r="J3966" s="3">
        <f t="shared" si="897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898"/>
        <v>YES</v>
      </c>
      <c r="Q3966" t="str">
        <f t="shared" si="899"/>
        <v>NO</v>
      </c>
      <c r="R3966" t="str">
        <f t="shared" si="900"/>
        <v>NO</v>
      </c>
      <c r="T3966" t="s">
        <v>105</v>
      </c>
      <c r="U3966" t="str">
        <f t="shared" si="887"/>
        <v>Broadway</v>
      </c>
      <c r="V3966" t="s">
        <v>288</v>
      </c>
      <c r="W3966" t="str">
        <f t="shared" si="888"/>
        <v>Galileo Galilei Way</v>
      </c>
      <c r="X3966" t="str">
        <f>IF(ISBLANK(S3966),"Intersection","Non-Intersection")</f>
        <v>Intersection</v>
      </c>
      <c r="Y3966" t="s">
        <v>289</v>
      </c>
      <c r="Z3966" t="str">
        <f t="shared" si="889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890"/>
        <v>40909</v>
      </c>
      <c r="D3967" s="4">
        <f t="shared" si="891"/>
        <v>0.57377049180327866</v>
      </c>
      <c r="E3967" s="3">
        <f t="shared" si="892"/>
        <v>2012</v>
      </c>
      <c r="F3967" s="3">
        <f t="shared" si="893"/>
        <v>7</v>
      </c>
      <c r="G3967" s="3">
        <f t="shared" si="894"/>
        <v>29</v>
      </c>
      <c r="H3967" s="3">
        <f t="shared" si="895"/>
        <v>3</v>
      </c>
      <c r="I3967" s="3">
        <f t="shared" si="896"/>
        <v>59</v>
      </c>
      <c r="J3967" s="3">
        <f t="shared" si="897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898"/>
        <v>YES</v>
      </c>
      <c r="Q3967" t="str">
        <f t="shared" si="899"/>
        <v>NO</v>
      </c>
      <c r="R3967" t="str">
        <f t="shared" si="900"/>
        <v>NO</v>
      </c>
      <c r="S3967">
        <v>325</v>
      </c>
      <c r="T3967" t="s">
        <v>202</v>
      </c>
      <c r="U3967" t="str">
        <f t="shared" si="887"/>
        <v>Vassar St</v>
      </c>
      <c r="W3967" t="str">
        <f t="shared" si="888"/>
        <v/>
      </c>
      <c r="X3967" t="str">
        <f>IF(ISBLANK(S3967),"Intersection","Non-Intersection")</f>
        <v>Non-Intersection</v>
      </c>
      <c r="Y3967" t="s">
        <v>4774</v>
      </c>
      <c r="Z3967" t="str">
        <f t="shared" si="889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890"/>
        <v>40909</v>
      </c>
      <c r="D3968" s="4">
        <f t="shared" si="891"/>
        <v>0.57377049180327866</v>
      </c>
      <c r="E3968" s="3">
        <f t="shared" si="892"/>
        <v>2012</v>
      </c>
      <c r="F3968" s="3">
        <f t="shared" si="893"/>
        <v>7</v>
      </c>
      <c r="G3968" s="3">
        <f t="shared" si="894"/>
        <v>29</v>
      </c>
      <c r="H3968" s="3">
        <f t="shared" si="895"/>
        <v>23</v>
      </c>
      <c r="I3968" s="3">
        <f t="shared" si="896"/>
        <v>55</v>
      </c>
      <c r="J3968" s="3">
        <f t="shared" si="897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898"/>
        <v>YES</v>
      </c>
      <c r="Q3968" t="str">
        <f t="shared" si="899"/>
        <v>YES</v>
      </c>
      <c r="R3968" t="str">
        <f t="shared" si="900"/>
        <v>NO</v>
      </c>
      <c r="T3968" t="s">
        <v>198</v>
      </c>
      <c r="U3968" t="str">
        <f t="shared" si="887"/>
        <v>Mount Auburn St</v>
      </c>
      <c r="V3968" t="s">
        <v>1906</v>
      </c>
      <c r="W3968" t="str">
        <f t="shared" si="888"/>
        <v>Holyoke St</v>
      </c>
      <c r="X3968" t="str">
        <f>IF(ISBLANK(S3968),"Intersection","Non-Intersection")</f>
        <v>Intersection</v>
      </c>
      <c r="Y3968" t="s">
        <v>3827</v>
      </c>
      <c r="Z3968" t="str">
        <f t="shared" si="889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890"/>
        <v>40909</v>
      </c>
      <c r="D3969" s="4">
        <f t="shared" si="891"/>
        <v>0.57650273224043713</v>
      </c>
      <c r="E3969" s="3">
        <f t="shared" si="892"/>
        <v>2012</v>
      </c>
      <c r="F3969" s="3">
        <f t="shared" si="893"/>
        <v>7</v>
      </c>
      <c r="G3969" s="3">
        <f t="shared" si="894"/>
        <v>30</v>
      </c>
      <c r="H3969" s="3">
        <f t="shared" si="895"/>
        <v>8</v>
      </c>
      <c r="I3969" s="3">
        <f t="shared" si="896"/>
        <v>33</v>
      </c>
      <c r="J3969" s="3">
        <f t="shared" si="897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898"/>
        <v>YES</v>
      </c>
      <c r="Q3969" t="str">
        <f t="shared" si="899"/>
        <v>NO</v>
      </c>
      <c r="R3969" t="str">
        <f t="shared" si="900"/>
        <v>NO</v>
      </c>
      <c r="T3969" t="s">
        <v>66</v>
      </c>
      <c r="U3969" t="str">
        <f t="shared" si="887"/>
        <v>Dudley St</v>
      </c>
      <c r="V3969" t="s">
        <v>280</v>
      </c>
      <c r="W3969" t="str">
        <f t="shared" si="888"/>
        <v>Jackson St</v>
      </c>
      <c r="X3969" t="str">
        <f>IF(ISBLANK(S3969),"Intersection","Non-Intersection")</f>
        <v>Intersection</v>
      </c>
      <c r="Y3969" t="s">
        <v>4776</v>
      </c>
      <c r="Z3969" t="str">
        <f t="shared" si="889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890"/>
        <v>40909</v>
      </c>
      <c r="D3970" s="4">
        <f t="shared" si="891"/>
        <v>0.57650273224043713</v>
      </c>
      <c r="E3970" s="3">
        <f t="shared" si="892"/>
        <v>2012</v>
      </c>
      <c r="F3970" s="3">
        <f t="shared" si="893"/>
        <v>7</v>
      </c>
      <c r="G3970" s="3">
        <f t="shared" si="894"/>
        <v>30</v>
      </c>
      <c r="H3970" s="3">
        <f t="shared" si="895"/>
        <v>13</v>
      </c>
      <c r="I3970" s="3">
        <f t="shared" si="896"/>
        <v>25</v>
      </c>
      <c r="J3970" s="3">
        <f t="shared" si="897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898"/>
        <v>YES</v>
      </c>
      <c r="Q3970" t="str">
        <f t="shared" si="899"/>
        <v>NO</v>
      </c>
      <c r="R3970" t="str">
        <f t="shared" si="900"/>
        <v>NO</v>
      </c>
      <c r="T3970" t="s">
        <v>50</v>
      </c>
      <c r="U3970" t="str">
        <f t="shared" si="887"/>
        <v>Belmont St</v>
      </c>
      <c r="V3970" t="s">
        <v>198</v>
      </c>
      <c r="W3970" t="str">
        <f t="shared" si="888"/>
        <v>Mount Auburn St</v>
      </c>
      <c r="X3970" t="str">
        <f>IF(ISBLANK(S3970),"Intersection","Non-Intersection")</f>
        <v>Intersection</v>
      </c>
      <c r="Y3970" t="s">
        <v>910</v>
      </c>
      <c r="Z3970" t="str">
        <f t="shared" si="889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890"/>
        <v>40909</v>
      </c>
      <c r="D3971" s="4">
        <f t="shared" si="891"/>
        <v>0.57650273224043713</v>
      </c>
      <c r="E3971" s="3">
        <f t="shared" si="892"/>
        <v>2012</v>
      </c>
      <c r="F3971" s="3">
        <f t="shared" si="893"/>
        <v>7</v>
      </c>
      <c r="G3971" s="3">
        <f t="shared" si="894"/>
        <v>30</v>
      </c>
      <c r="H3971" s="3">
        <f t="shared" si="895"/>
        <v>15</v>
      </c>
      <c r="I3971" s="3">
        <f t="shared" si="896"/>
        <v>40</v>
      </c>
      <c r="J3971" s="3">
        <f t="shared" si="897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898"/>
        <v>YES</v>
      </c>
      <c r="Q3971" t="str">
        <f t="shared" si="899"/>
        <v>NO</v>
      </c>
      <c r="R3971" t="str">
        <f t="shared" si="900"/>
        <v>NO</v>
      </c>
      <c r="S3971">
        <v>279</v>
      </c>
      <c r="T3971" t="s">
        <v>186</v>
      </c>
      <c r="U3971" t="str">
        <f t="shared" ref="U3971:U4034" si="901">TRIM(PROPER(T3971))</f>
        <v>Concord Ave</v>
      </c>
      <c r="W3971" t="str">
        <f t="shared" ref="W3971:W4034" si="902">TRIM(PROPER(V3971))</f>
        <v/>
      </c>
      <c r="X3971" t="str">
        <f>IF(ISBLANK(S3971),"Intersection","Non-Intersection")</f>
        <v>Non-Intersection</v>
      </c>
      <c r="Y3971" t="s">
        <v>4777</v>
      </c>
      <c r="Z3971" t="str">
        <f t="shared" ref="Z3971:Z4034" si="903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890"/>
        <v>40909</v>
      </c>
      <c r="D3972" s="4">
        <f t="shared" si="891"/>
        <v>0.57650273224043713</v>
      </c>
      <c r="E3972" s="3">
        <f t="shared" si="892"/>
        <v>2012</v>
      </c>
      <c r="F3972" s="3">
        <f t="shared" si="893"/>
        <v>7</v>
      </c>
      <c r="G3972" s="3">
        <f t="shared" si="894"/>
        <v>30</v>
      </c>
      <c r="H3972" s="3">
        <f t="shared" si="895"/>
        <v>18</v>
      </c>
      <c r="I3972" s="3">
        <f t="shared" si="896"/>
        <v>17</v>
      </c>
      <c r="J3972" s="3">
        <f t="shared" si="897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898"/>
        <v>YES</v>
      </c>
      <c r="Q3972" t="str">
        <f t="shared" si="899"/>
        <v>NO</v>
      </c>
      <c r="R3972" t="str">
        <f t="shared" si="900"/>
        <v>NO</v>
      </c>
      <c r="T3972" t="s">
        <v>14</v>
      </c>
      <c r="U3972" t="str">
        <f t="shared" si="901"/>
        <v>Massachusetts Ave</v>
      </c>
      <c r="V3972" t="s">
        <v>219</v>
      </c>
      <c r="W3972" t="str">
        <f t="shared" si="902"/>
        <v>Sacramento St</v>
      </c>
      <c r="X3972" t="str">
        <f>IF(ISBLANK(S3972),"Intersection","Non-Intersection")</f>
        <v>Intersection</v>
      </c>
      <c r="Y3972" t="s">
        <v>3863</v>
      </c>
      <c r="Z3972" t="str">
        <f t="shared" si="903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04">EOMONTH(B3973,MONTH(B3973)*-1)+1</f>
        <v>40909</v>
      </c>
      <c r="D3973" s="4">
        <f t="shared" ref="D3973:D4032" si="905">YEARFRAC(C3973,B3973,1)</f>
        <v>0.57650273224043713</v>
      </c>
      <c r="E3973" s="3">
        <f t="shared" ref="E3973:E4032" si="906">YEAR(B3973)</f>
        <v>2012</v>
      </c>
      <c r="F3973" s="3">
        <f t="shared" ref="F3973:F4032" si="907">MONTH(B3973)</f>
        <v>7</v>
      </c>
      <c r="G3973" s="3">
        <f t="shared" ref="G3973:G4032" si="908">DAY(B3973)</f>
        <v>30</v>
      </c>
      <c r="H3973" s="3">
        <f t="shared" ref="H3973:H4032" si="909">HOUR(B3973)</f>
        <v>8</v>
      </c>
      <c r="I3973" s="3">
        <f t="shared" ref="I3973:I4032" si="910">MINUTE(B3973)</f>
        <v>29</v>
      </c>
      <c r="J3973" s="3">
        <f t="shared" ref="J3973:J4032" si="911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12">IF(OR(N3973="Auto",O3973="Auto"),"YES",IF(OR(N3973="Taxi",O3973="Taxi"),"YES",IF(OR(N3973="Van",O3973="Van"),"YES",IF(OR(N3973="Truck",O3973="Truck"),"YES","NO"))))</f>
        <v>NO</v>
      </c>
      <c r="Q3973" t="str">
        <f t="shared" ref="Q3973:Q4032" si="913">IF(OR(N3973="Bicycle",O3973="Bicycle"),"YES","NO")</f>
        <v>NO</v>
      </c>
      <c r="R3973" t="str">
        <f t="shared" ref="R3973:R4032" si="914">IF(OR(N3973="Pedestrian",O3973="Pedestrian"),"YES","NO")</f>
        <v>NO</v>
      </c>
      <c r="T3973" t="s">
        <v>14</v>
      </c>
      <c r="U3973" t="str">
        <f t="shared" si="901"/>
        <v>Massachusetts Ave</v>
      </c>
      <c r="V3973" t="s">
        <v>202</v>
      </c>
      <c r="W3973" t="str">
        <f t="shared" si="902"/>
        <v>Vassar St</v>
      </c>
      <c r="X3973" t="str">
        <f>IF(ISBLANK(S3973),"Intersection","Non-Intersection")</f>
        <v>Intersection</v>
      </c>
      <c r="Y3973" t="s">
        <v>361</v>
      </c>
      <c r="Z3973" t="str">
        <f t="shared" si="903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04"/>
        <v>40909</v>
      </c>
      <c r="D3974" s="4">
        <f t="shared" si="905"/>
        <v>0.57650273224043713</v>
      </c>
      <c r="E3974" s="3">
        <f t="shared" si="906"/>
        <v>2012</v>
      </c>
      <c r="F3974" s="3">
        <f t="shared" si="907"/>
        <v>7</v>
      </c>
      <c r="G3974" s="3">
        <f t="shared" si="908"/>
        <v>30</v>
      </c>
      <c r="H3974" s="3">
        <f t="shared" si="909"/>
        <v>20</v>
      </c>
      <c r="I3974" s="3">
        <f t="shared" si="910"/>
        <v>29</v>
      </c>
      <c r="J3974" s="3">
        <f t="shared" si="911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12"/>
        <v>YES</v>
      </c>
      <c r="Q3974" t="str">
        <f t="shared" si="913"/>
        <v>NO</v>
      </c>
      <c r="R3974" t="str">
        <f t="shared" si="914"/>
        <v>NO</v>
      </c>
      <c r="S3974">
        <v>211</v>
      </c>
      <c r="T3974" t="s">
        <v>170</v>
      </c>
      <c r="U3974" t="str">
        <f t="shared" si="901"/>
        <v>Alewife Brook Pky</v>
      </c>
      <c r="W3974" t="str">
        <f t="shared" si="902"/>
        <v/>
      </c>
      <c r="X3974" t="str">
        <f>IF(ISBLANK(S3974),"Intersection","Non-Intersection")</f>
        <v>Non-Intersection</v>
      </c>
      <c r="Y3974" t="s">
        <v>1359</v>
      </c>
      <c r="Z3974" t="str">
        <f t="shared" si="903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04"/>
        <v>40909</v>
      </c>
      <c r="D3975" s="4">
        <f t="shared" si="905"/>
        <v>0.57650273224043713</v>
      </c>
      <c r="E3975" s="3">
        <f t="shared" si="906"/>
        <v>2012</v>
      </c>
      <c r="F3975" s="3">
        <f t="shared" si="907"/>
        <v>7</v>
      </c>
      <c r="G3975" s="3">
        <f t="shared" si="908"/>
        <v>30</v>
      </c>
      <c r="H3975" s="3">
        <f t="shared" si="909"/>
        <v>12</v>
      </c>
      <c r="I3975" s="3">
        <f t="shared" si="910"/>
        <v>49</v>
      </c>
      <c r="J3975" s="3">
        <f t="shared" si="911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12"/>
        <v>YES</v>
      </c>
      <c r="Q3975" t="str">
        <f t="shared" si="913"/>
        <v>NO</v>
      </c>
      <c r="R3975" t="str">
        <f t="shared" si="914"/>
        <v>NO</v>
      </c>
      <c r="T3975" t="s">
        <v>186</v>
      </c>
      <c r="U3975" t="str">
        <f t="shared" si="901"/>
        <v>Concord Ave</v>
      </c>
      <c r="V3975" t="s">
        <v>252</v>
      </c>
      <c r="W3975" t="str">
        <f t="shared" si="902"/>
        <v>Walden St</v>
      </c>
      <c r="X3975" t="str">
        <f>IF(ISBLANK(S3975),"Intersection","Non-Intersection")</f>
        <v>Intersection</v>
      </c>
      <c r="Y3975" t="s">
        <v>1941</v>
      </c>
      <c r="Z3975" t="str">
        <f t="shared" si="903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04"/>
        <v>40909</v>
      </c>
      <c r="D3976" s="4">
        <f t="shared" si="905"/>
        <v>0.57923497267759561</v>
      </c>
      <c r="E3976" s="3">
        <f t="shared" si="906"/>
        <v>2012</v>
      </c>
      <c r="F3976" s="3">
        <f t="shared" si="907"/>
        <v>7</v>
      </c>
      <c r="G3976" s="3">
        <f t="shared" si="908"/>
        <v>31</v>
      </c>
      <c r="H3976" s="3">
        <f t="shared" si="909"/>
        <v>6</v>
      </c>
      <c r="I3976" s="3">
        <f t="shared" si="910"/>
        <v>33</v>
      </c>
      <c r="J3976" s="3">
        <f t="shared" si="911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12"/>
        <v>YES</v>
      </c>
      <c r="Q3976" t="str">
        <f t="shared" si="913"/>
        <v>NO</v>
      </c>
      <c r="R3976" t="str">
        <f t="shared" si="914"/>
        <v>NO</v>
      </c>
      <c r="T3976" t="s">
        <v>105</v>
      </c>
      <c r="U3976" t="str">
        <f t="shared" si="901"/>
        <v>Broadway</v>
      </c>
      <c r="V3976" t="s">
        <v>288</v>
      </c>
      <c r="W3976" t="str">
        <f t="shared" si="902"/>
        <v>Galileo Galilei Way</v>
      </c>
      <c r="X3976" t="str">
        <f>IF(ISBLANK(S3976),"Intersection","Non-Intersection")</f>
        <v>Intersection</v>
      </c>
      <c r="Y3976" t="s">
        <v>289</v>
      </c>
      <c r="Z3976" t="str">
        <f t="shared" si="903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04"/>
        <v>40909</v>
      </c>
      <c r="D3977" s="4">
        <f t="shared" si="905"/>
        <v>0.57923497267759561</v>
      </c>
      <c r="E3977" s="3">
        <f t="shared" si="906"/>
        <v>2012</v>
      </c>
      <c r="F3977" s="3">
        <f t="shared" si="907"/>
        <v>7</v>
      </c>
      <c r="G3977" s="3">
        <f t="shared" si="908"/>
        <v>31</v>
      </c>
      <c r="H3977" s="3">
        <f t="shared" si="909"/>
        <v>9</v>
      </c>
      <c r="I3977" s="3">
        <f t="shared" si="910"/>
        <v>59</v>
      </c>
      <c r="J3977" s="3">
        <f t="shared" si="911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12"/>
        <v>YES</v>
      </c>
      <c r="Q3977" t="str">
        <f t="shared" si="913"/>
        <v>NO</v>
      </c>
      <c r="R3977" t="str">
        <f t="shared" si="914"/>
        <v>NO</v>
      </c>
      <c r="T3977" t="s">
        <v>380</v>
      </c>
      <c r="U3977" t="str">
        <f t="shared" si="901"/>
        <v>Charles St</v>
      </c>
      <c r="V3977" t="s">
        <v>379</v>
      </c>
      <c r="W3977" t="str">
        <f t="shared" si="902"/>
        <v>Second St</v>
      </c>
      <c r="X3977" t="str">
        <f>IF(ISBLANK(S3977),"Intersection","Non-Intersection")</f>
        <v>Intersection</v>
      </c>
      <c r="Y3977" t="s">
        <v>3393</v>
      </c>
      <c r="Z3977" t="str">
        <f t="shared" si="903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04"/>
        <v>40909</v>
      </c>
      <c r="D3978" s="4">
        <f t="shared" si="905"/>
        <v>0.57923497267759561</v>
      </c>
      <c r="E3978" s="3">
        <f t="shared" si="906"/>
        <v>2012</v>
      </c>
      <c r="F3978" s="3">
        <f t="shared" si="907"/>
        <v>7</v>
      </c>
      <c r="G3978" s="3">
        <f t="shared" si="908"/>
        <v>31</v>
      </c>
      <c r="H3978" s="3">
        <f t="shared" si="909"/>
        <v>10</v>
      </c>
      <c r="I3978" s="3">
        <f t="shared" si="910"/>
        <v>9</v>
      </c>
      <c r="J3978" s="3">
        <f t="shared" si="911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12"/>
        <v>YES</v>
      </c>
      <c r="Q3978" t="str">
        <f t="shared" si="913"/>
        <v>NO</v>
      </c>
      <c r="R3978" t="str">
        <f t="shared" si="914"/>
        <v>NO</v>
      </c>
      <c r="T3978" t="s">
        <v>1024</v>
      </c>
      <c r="U3978" t="str">
        <f t="shared" si="901"/>
        <v>Kinnaird St</v>
      </c>
      <c r="V3978" t="s">
        <v>178</v>
      </c>
      <c r="W3978" t="str">
        <f t="shared" si="902"/>
        <v>Pleasant St</v>
      </c>
      <c r="X3978" t="str">
        <f>IF(ISBLANK(S3978),"Intersection","Non-Intersection")</f>
        <v>Intersection</v>
      </c>
      <c r="Y3978" t="s">
        <v>4779</v>
      </c>
      <c r="Z3978" t="str">
        <f t="shared" si="903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04"/>
        <v>40909</v>
      </c>
      <c r="D3979" s="4">
        <f t="shared" si="905"/>
        <v>0.57923497267759561</v>
      </c>
      <c r="E3979" s="3">
        <f t="shared" si="906"/>
        <v>2012</v>
      </c>
      <c r="F3979" s="3">
        <f t="shared" si="907"/>
        <v>7</v>
      </c>
      <c r="G3979" s="3">
        <f t="shared" si="908"/>
        <v>31</v>
      </c>
      <c r="H3979" s="3">
        <f t="shared" si="909"/>
        <v>14</v>
      </c>
      <c r="I3979" s="3">
        <f t="shared" si="910"/>
        <v>29</v>
      </c>
      <c r="J3979" s="3">
        <f t="shared" si="911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12"/>
        <v>YES</v>
      </c>
      <c r="Q3979" t="str">
        <f t="shared" si="913"/>
        <v>YES</v>
      </c>
      <c r="R3979" t="str">
        <f t="shared" si="914"/>
        <v>NO</v>
      </c>
      <c r="S3979">
        <v>120</v>
      </c>
      <c r="T3979" t="s">
        <v>14</v>
      </c>
      <c r="U3979" t="str">
        <f t="shared" si="901"/>
        <v>Massachusetts Ave</v>
      </c>
      <c r="W3979" t="str">
        <f t="shared" si="902"/>
        <v/>
      </c>
      <c r="X3979" t="str">
        <f>IF(ISBLANK(S3979),"Intersection","Non-Intersection")</f>
        <v>Non-Intersection</v>
      </c>
      <c r="Y3979" t="s">
        <v>3223</v>
      </c>
      <c r="Z3979" t="str">
        <f t="shared" si="903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04"/>
        <v>40909</v>
      </c>
      <c r="D3980" s="4">
        <f t="shared" si="905"/>
        <v>0.57923497267759561</v>
      </c>
      <c r="E3980" s="3">
        <f t="shared" si="906"/>
        <v>2012</v>
      </c>
      <c r="F3980" s="3">
        <f t="shared" si="907"/>
        <v>7</v>
      </c>
      <c r="G3980" s="3">
        <f t="shared" si="908"/>
        <v>31</v>
      </c>
      <c r="H3980" s="3">
        <f t="shared" si="909"/>
        <v>17</v>
      </c>
      <c r="I3980" s="3">
        <f t="shared" si="910"/>
        <v>28</v>
      </c>
      <c r="J3980" s="3">
        <f t="shared" si="911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12"/>
        <v>YES</v>
      </c>
      <c r="Q3980" t="str">
        <f t="shared" si="913"/>
        <v>YES</v>
      </c>
      <c r="R3980" t="str">
        <f t="shared" si="914"/>
        <v>NO</v>
      </c>
      <c r="T3980" t="s">
        <v>14</v>
      </c>
      <c r="U3980" t="str">
        <f t="shared" si="901"/>
        <v>Massachusetts Ave</v>
      </c>
      <c r="V3980" t="s">
        <v>3816</v>
      </c>
      <c r="W3980" t="str">
        <f t="shared" si="902"/>
        <v>Remington St</v>
      </c>
      <c r="X3980" t="str">
        <f>IF(ISBLANK(S3980),"Intersection","Non-Intersection")</f>
        <v>Intersection</v>
      </c>
      <c r="Y3980" t="s">
        <v>4780</v>
      </c>
      <c r="Z3980" t="str">
        <f t="shared" si="903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04"/>
        <v>40909</v>
      </c>
      <c r="D3981" s="4">
        <f t="shared" si="905"/>
        <v>0.57923497267759561</v>
      </c>
      <c r="E3981" s="3">
        <f t="shared" si="906"/>
        <v>2012</v>
      </c>
      <c r="F3981" s="3">
        <f t="shared" si="907"/>
        <v>7</v>
      </c>
      <c r="G3981" s="3">
        <f t="shared" si="908"/>
        <v>31</v>
      </c>
      <c r="H3981" s="3">
        <f t="shared" si="909"/>
        <v>8</v>
      </c>
      <c r="I3981" s="3">
        <f t="shared" si="910"/>
        <v>45</v>
      </c>
      <c r="J3981" s="3">
        <f t="shared" si="911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12"/>
        <v>YES</v>
      </c>
      <c r="Q3981" t="str">
        <f t="shared" si="913"/>
        <v>NO</v>
      </c>
      <c r="R3981" t="str">
        <f t="shared" si="914"/>
        <v>NO</v>
      </c>
      <c r="T3981" t="s">
        <v>185</v>
      </c>
      <c r="U3981" t="str">
        <f t="shared" si="901"/>
        <v>Garden St</v>
      </c>
      <c r="V3981" t="s">
        <v>296</v>
      </c>
      <c r="W3981" t="str">
        <f t="shared" si="902"/>
        <v>Mason St</v>
      </c>
      <c r="X3981" t="str">
        <f>IF(ISBLANK(S3981),"Intersection","Non-Intersection")</f>
        <v>Intersection</v>
      </c>
      <c r="Y3981" t="s">
        <v>594</v>
      </c>
      <c r="Z3981" t="str">
        <f t="shared" si="903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04"/>
        <v>40909</v>
      </c>
      <c r="D3982" s="4">
        <f t="shared" si="905"/>
        <v>0.57923497267759561</v>
      </c>
      <c r="E3982" s="3">
        <f t="shared" si="906"/>
        <v>2012</v>
      </c>
      <c r="F3982" s="3">
        <f t="shared" si="907"/>
        <v>7</v>
      </c>
      <c r="G3982" s="3">
        <f t="shared" si="908"/>
        <v>31</v>
      </c>
      <c r="H3982" s="3">
        <f t="shared" si="909"/>
        <v>14</v>
      </c>
      <c r="I3982" s="3">
        <f t="shared" si="910"/>
        <v>19</v>
      </c>
      <c r="J3982" s="3">
        <f t="shared" si="911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12"/>
        <v>YES</v>
      </c>
      <c r="Q3982" t="str">
        <f t="shared" si="913"/>
        <v>NO</v>
      </c>
      <c r="R3982" t="str">
        <f t="shared" si="914"/>
        <v>NO</v>
      </c>
      <c r="S3982">
        <v>174</v>
      </c>
      <c r="T3982" t="s">
        <v>170</v>
      </c>
      <c r="U3982" t="str">
        <f t="shared" si="901"/>
        <v>Alewife Brook Pky</v>
      </c>
      <c r="W3982" t="str">
        <f t="shared" si="902"/>
        <v/>
      </c>
      <c r="X3982" t="str">
        <f>IF(ISBLANK(S3982),"Intersection","Non-Intersection")</f>
        <v>Non-Intersection</v>
      </c>
      <c r="Y3982" t="s">
        <v>2243</v>
      </c>
      <c r="Z3982" t="str">
        <f t="shared" si="903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04"/>
        <v>40909</v>
      </c>
      <c r="D3983" s="4">
        <f t="shared" si="905"/>
        <v>0.57923497267759561</v>
      </c>
      <c r="E3983" s="3">
        <f t="shared" si="906"/>
        <v>2012</v>
      </c>
      <c r="F3983" s="3">
        <f t="shared" si="907"/>
        <v>7</v>
      </c>
      <c r="G3983" s="3">
        <f t="shared" si="908"/>
        <v>31</v>
      </c>
      <c r="H3983" s="3">
        <f t="shared" si="909"/>
        <v>21</v>
      </c>
      <c r="I3983" s="3">
        <f t="shared" si="910"/>
        <v>30</v>
      </c>
      <c r="J3983" s="3">
        <f t="shared" si="911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12"/>
        <v>YES</v>
      </c>
      <c r="Q3983" t="str">
        <f t="shared" si="913"/>
        <v>NO</v>
      </c>
      <c r="R3983" t="str">
        <f t="shared" si="914"/>
        <v>NO</v>
      </c>
      <c r="T3983" t="s">
        <v>14</v>
      </c>
      <c r="U3983" t="str">
        <f t="shared" si="901"/>
        <v>Massachusetts Ave</v>
      </c>
      <c r="V3983" t="s">
        <v>15</v>
      </c>
      <c r="W3983" t="str">
        <f t="shared" si="902"/>
        <v>Rindge Ave</v>
      </c>
      <c r="X3983" t="str">
        <f>IF(ISBLANK(S3983),"Intersection","Non-Intersection")</f>
        <v>Intersection</v>
      </c>
      <c r="Y3983" t="s">
        <v>16</v>
      </c>
      <c r="Z3983" t="str">
        <f t="shared" si="903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04"/>
        <v>40909</v>
      </c>
      <c r="D3984" s="4">
        <f t="shared" si="905"/>
        <v>0.57923497267759561</v>
      </c>
      <c r="E3984" s="3">
        <f t="shared" si="906"/>
        <v>2012</v>
      </c>
      <c r="F3984" s="3">
        <f t="shared" si="907"/>
        <v>7</v>
      </c>
      <c r="G3984" s="3">
        <f t="shared" si="908"/>
        <v>31</v>
      </c>
      <c r="H3984" s="3">
        <f t="shared" si="909"/>
        <v>16</v>
      </c>
      <c r="I3984" s="3">
        <f t="shared" si="910"/>
        <v>54</v>
      </c>
      <c r="J3984" s="3">
        <f t="shared" si="911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12"/>
        <v>YES</v>
      </c>
      <c r="Q3984" t="str">
        <f t="shared" si="913"/>
        <v>NO</v>
      </c>
      <c r="R3984" t="str">
        <f t="shared" si="914"/>
        <v>NO</v>
      </c>
      <c r="T3984" t="s">
        <v>15</v>
      </c>
      <c r="U3984" t="str">
        <f t="shared" si="901"/>
        <v>Rindge Ave</v>
      </c>
      <c r="W3984" t="str">
        <f t="shared" si="902"/>
        <v/>
      </c>
      <c r="X3984" t="str">
        <f>IF(ISBLANK(S3984),"Intersection","Non-Intersection")</f>
        <v>Intersection</v>
      </c>
      <c r="Y3984" t="s">
        <v>2068</v>
      </c>
      <c r="Z3984" t="str">
        <f t="shared" si="903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04"/>
        <v>40909</v>
      </c>
      <c r="D3985" s="4">
        <f t="shared" si="905"/>
        <v>0.58196721311475408</v>
      </c>
      <c r="E3985" s="3">
        <f t="shared" si="906"/>
        <v>2012</v>
      </c>
      <c r="F3985" s="3">
        <f t="shared" si="907"/>
        <v>8</v>
      </c>
      <c r="G3985" s="3">
        <f t="shared" si="908"/>
        <v>1</v>
      </c>
      <c r="H3985" s="3">
        <f t="shared" si="909"/>
        <v>9</v>
      </c>
      <c r="I3985" s="3">
        <f t="shared" si="910"/>
        <v>14</v>
      </c>
      <c r="J3985" s="3">
        <f t="shared" si="911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12"/>
        <v>YES</v>
      </c>
      <c r="Q3985" t="str">
        <f t="shared" si="913"/>
        <v>NO</v>
      </c>
      <c r="R3985" t="str">
        <f t="shared" si="914"/>
        <v>NO</v>
      </c>
      <c r="S3985">
        <v>10</v>
      </c>
      <c r="T3985" t="s">
        <v>60</v>
      </c>
      <c r="U3985" t="str">
        <f t="shared" si="901"/>
        <v>Rogers St</v>
      </c>
      <c r="W3985" t="str">
        <f t="shared" si="902"/>
        <v/>
      </c>
      <c r="X3985" t="str">
        <f>IF(ISBLANK(S3985),"Intersection","Non-Intersection")</f>
        <v>Non-Intersection</v>
      </c>
      <c r="Y3985" t="s">
        <v>4782</v>
      </c>
      <c r="Z3985" t="str">
        <f t="shared" si="903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04"/>
        <v>40909</v>
      </c>
      <c r="D3986" s="4">
        <f t="shared" si="905"/>
        <v>0.58196721311475408</v>
      </c>
      <c r="E3986" s="3">
        <f t="shared" si="906"/>
        <v>2012</v>
      </c>
      <c r="F3986" s="3">
        <f t="shared" si="907"/>
        <v>8</v>
      </c>
      <c r="G3986" s="3">
        <f t="shared" si="908"/>
        <v>1</v>
      </c>
      <c r="H3986" s="3">
        <f t="shared" si="909"/>
        <v>11</v>
      </c>
      <c r="I3986" s="3">
        <f t="shared" si="910"/>
        <v>29</v>
      </c>
      <c r="J3986" s="3">
        <f t="shared" si="911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12"/>
        <v>YES</v>
      </c>
      <c r="Q3986" t="str">
        <f t="shared" si="913"/>
        <v>NO</v>
      </c>
      <c r="R3986" t="str">
        <f t="shared" si="914"/>
        <v>NO</v>
      </c>
      <c r="T3986" t="s">
        <v>1024</v>
      </c>
      <c r="U3986" t="str">
        <f t="shared" si="901"/>
        <v>Kinnaird St</v>
      </c>
      <c r="V3986" t="s">
        <v>27</v>
      </c>
      <c r="W3986" t="str">
        <f t="shared" si="902"/>
        <v>Western Ave</v>
      </c>
      <c r="X3986" t="str">
        <f>IF(ISBLANK(S3986),"Intersection","Non-Intersection")</f>
        <v>Intersection</v>
      </c>
      <c r="Y3986" t="s">
        <v>1638</v>
      </c>
      <c r="Z3986" t="str">
        <f t="shared" si="903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04"/>
        <v>40909</v>
      </c>
      <c r="D3987" s="4">
        <f t="shared" si="905"/>
        <v>0.58196721311475408</v>
      </c>
      <c r="E3987" s="3">
        <f t="shared" si="906"/>
        <v>2012</v>
      </c>
      <c r="F3987" s="3">
        <f t="shared" si="907"/>
        <v>8</v>
      </c>
      <c r="G3987" s="3">
        <f t="shared" si="908"/>
        <v>1</v>
      </c>
      <c r="H3987" s="3">
        <f t="shared" si="909"/>
        <v>18</v>
      </c>
      <c r="I3987" s="3">
        <f t="shared" si="910"/>
        <v>20</v>
      </c>
      <c r="J3987" s="3">
        <f t="shared" si="911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12"/>
        <v>YES</v>
      </c>
      <c r="Q3987" t="str">
        <f t="shared" si="913"/>
        <v>NO</v>
      </c>
      <c r="R3987" t="str">
        <f t="shared" si="914"/>
        <v>NO</v>
      </c>
      <c r="T3987" t="s">
        <v>19</v>
      </c>
      <c r="U3987" t="str">
        <f t="shared" si="901"/>
        <v>Cambridge St</v>
      </c>
      <c r="V3987" t="s">
        <v>1739</v>
      </c>
      <c r="W3987" t="str">
        <f t="shared" si="902"/>
        <v>Harding St</v>
      </c>
      <c r="X3987" t="str">
        <f>IF(ISBLANK(S3987),"Intersection","Non-Intersection")</f>
        <v>Intersection</v>
      </c>
      <c r="Y3987" t="s">
        <v>1740</v>
      </c>
      <c r="Z3987" t="str">
        <f t="shared" si="903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04"/>
        <v>40909</v>
      </c>
      <c r="D3988" s="4">
        <f t="shared" si="905"/>
        <v>0.58469945355191255</v>
      </c>
      <c r="E3988" s="3">
        <f t="shared" si="906"/>
        <v>2012</v>
      </c>
      <c r="F3988" s="3">
        <f t="shared" si="907"/>
        <v>8</v>
      </c>
      <c r="G3988" s="3">
        <f t="shared" si="908"/>
        <v>2</v>
      </c>
      <c r="H3988" s="3">
        <f t="shared" si="909"/>
        <v>9</v>
      </c>
      <c r="I3988" s="3">
        <f t="shared" si="910"/>
        <v>17</v>
      </c>
      <c r="J3988" s="3">
        <f t="shared" si="911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12"/>
        <v>YES</v>
      </c>
      <c r="Q3988" t="str">
        <f t="shared" si="913"/>
        <v>NO</v>
      </c>
      <c r="R3988" t="str">
        <f t="shared" si="914"/>
        <v>YES</v>
      </c>
      <c r="U3988" t="str">
        <f t="shared" si="901"/>
        <v/>
      </c>
      <c r="W3988" t="str">
        <f t="shared" si="902"/>
        <v/>
      </c>
      <c r="X3988" t="str">
        <f>IF(ISBLANK(S3988),"Intersection","Non-Intersection")</f>
        <v>Intersection</v>
      </c>
      <c r="Y3988" t="s">
        <v>717</v>
      </c>
      <c r="Z3988" t="str">
        <f t="shared" si="903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04"/>
        <v>40909</v>
      </c>
      <c r="D3989" s="4">
        <f t="shared" si="905"/>
        <v>0.58469945355191255</v>
      </c>
      <c r="E3989" s="3">
        <f t="shared" si="906"/>
        <v>2012</v>
      </c>
      <c r="F3989" s="3">
        <f t="shared" si="907"/>
        <v>8</v>
      </c>
      <c r="G3989" s="3">
        <f t="shared" si="908"/>
        <v>2</v>
      </c>
      <c r="H3989" s="3">
        <f t="shared" si="909"/>
        <v>15</v>
      </c>
      <c r="I3989" s="3">
        <f t="shared" si="910"/>
        <v>14</v>
      </c>
      <c r="J3989" s="3">
        <f t="shared" si="911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12"/>
        <v>YES</v>
      </c>
      <c r="Q3989" t="str">
        <f t="shared" si="913"/>
        <v>NO</v>
      </c>
      <c r="R3989" t="str">
        <f t="shared" si="914"/>
        <v>NO</v>
      </c>
      <c r="T3989" t="s">
        <v>178</v>
      </c>
      <c r="U3989" t="str">
        <f t="shared" si="901"/>
        <v>Pleasant St</v>
      </c>
      <c r="V3989" t="s">
        <v>832</v>
      </c>
      <c r="W3989" t="str">
        <f t="shared" si="902"/>
        <v>Fairmont Ave</v>
      </c>
      <c r="X3989" t="str">
        <f>IF(ISBLANK(S3989),"Intersection","Non-Intersection")</f>
        <v>Intersection</v>
      </c>
      <c r="Y3989" t="s">
        <v>4119</v>
      </c>
      <c r="Z3989" t="str">
        <f t="shared" si="903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04"/>
        <v>40909</v>
      </c>
      <c r="D3990" s="4">
        <f t="shared" si="905"/>
        <v>0.58469945355191255</v>
      </c>
      <c r="E3990" s="3">
        <f t="shared" si="906"/>
        <v>2012</v>
      </c>
      <c r="F3990" s="3">
        <f t="shared" si="907"/>
        <v>8</v>
      </c>
      <c r="G3990" s="3">
        <f t="shared" si="908"/>
        <v>2</v>
      </c>
      <c r="H3990" s="3">
        <f t="shared" si="909"/>
        <v>9</v>
      </c>
      <c r="I3990" s="3">
        <f t="shared" si="910"/>
        <v>0</v>
      </c>
      <c r="J3990" s="3">
        <f t="shared" si="911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12"/>
        <v>YES</v>
      </c>
      <c r="Q3990" t="str">
        <f t="shared" si="913"/>
        <v>NO</v>
      </c>
      <c r="R3990" t="str">
        <f t="shared" si="914"/>
        <v>NO</v>
      </c>
      <c r="T3990" t="s">
        <v>198</v>
      </c>
      <c r="U3990" t="str">
        <f t="shared" si="901"/>
        <v>Mount Auburn St</v>
      </c>
      <c r="V3990" t="s">
        <v>203</v>
      </c>
      <c r="W3990" t="str">
        <f t="shared" si="902"/>
        <v>Memorial Dr</v>
      </c>
      <c r="X3990" t="str">
        <f>IF(ISBLANK(S3990),"Intersection","Non-Intersection")</f>
        <v>Intersection</v>
      </c>
      <c r="Y3990" t="s">
        <v>4784</v>
      </c>
      <c r="Z3990" t="str">
        <f t="shared" si="903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04"/>
        <v>40909</v>
      </c>
      <c r="D3991" s="4">
        <f t="shared" si="905"/>
        <v>0.58469945355191255</v>
      </c>
      <c r="E3991" s="3">
        <f t="shared" si="906"/>
        <v>2012</v>
      </c>
      <c r="F3991" s="3">
        <f t="shared" si="907"/>
        <v>8</v>
      </c>
      <c r="G3991" s="3">
        <f t="shared" si="908"/>
        <v>2</v>
      </c>
      <c r="H3991" s="3">
        <f t="shared" si="909"/>
        <v>9</v>
      </c>
      <c r="I3991" s="3">
        <f t="shared" si="910"/>
        <v>0</v>
      </c>
      <c r="J3991" s="3">
        <f t="shared" si="911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12"/>
        <v>YES</v>
      </c>
      <c r="Q3991" t="str">
        <f t="shared" si="913"/>
        <v>YES</v>
      </c>
      <c r="R3991" t="str">
        <f t="shared" si="914"/>
        <v>NO</v>
      </c>
      <c r="T3991" t="s">
        <v>198</v>
      </c>
      <c r="U3991" t="str">
        <f t="shared" si="901"/>
        <v>Mount Auburn St</v>
      </c>
      <c r="V3991" t="s">
        <v>203</v>
      </c>
      <c r="W3991" t="str">
        <f t="shared" si="902"/>
        <v>Memorial Dr</v>
      </c>
      <c r="X3991" t="str">
        <f>IF(ISBLANK(S3991),"Intersection","Non-Intersection")</f>
        <v>Intersection</v>
      </c>
      <c r="Y3991" t="s">
        <v>4784</v>
      </c>
      <c r="Z3991" t="str">
        <f t="shared" si="903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04"/>
        <v>40909</v>
      </c>
      <c r="D3992" s="4">
        <f t="shared" si="905"/>
        <v>0.58469945355191255</v>
      </c>
      <c r="E3992" s="3">
        <f t="shared" si="906"/>
        <v>2012</v>
      </c>
      <c r="F3992" s="3">
        <f t="shared" si="907"/>
        <v>8</v>
      </c>
      <c r="G3992" s="3">
        <f t="shared" si="908"/>
        <v>2</v>
      </c>
      <c r="H3992" s="3">
        <f t="shared" si="909"/>
        <v>9</v>
      </c>
      <c r="I3992" s="3">
        <f t="shared" si="910"/>
        <v>4</v>
      </c>
      <c r="J3992" s="3">
        <f t="shared" si="911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12"/>
        <v>YES</v>
      </c>
      <c r="Q3992" t="str">
        <f t="shared" si="913"/>
        <v>NO</v>
      </c>
      <c r="R3992" t="str">
        <f t="shared" si="914"/>
        <v>NO</v>
      </c>
      <c r="S3992">
        <v>2456</v>
      </c>
      <c r="T3992" t="s">
        <v>14</v>
      </c>
      <c r="U3992" t="str">
        <f t="shared" si="901"/>
        <v>Massachusetts Ave</v>
      </c>
      <c r="W3992" t="str">
        <f t="shared" si="902"/>
        <v/>
      </c>
      <c r="X3992" t="str">
        <f>IF(ISBLANK(S3992),"Intersection","Non-Intersection")</f>
        <v>Non-Intersection</v>
      </c>
      <c r="Y3992" t="s">
        <v>4785</v>
      </c>
      <c r="Z3992" t="str">
        <f t="shared" si="903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04"/>
        <v>40909</v>
      </c>
      <c r="D3993" s="4">
        <f t="shared" si="905"/>
        <v>0.58469945355191255</v>
      </c>
      <c r="E3993" s="3">
        <f t="shared" si="906"/>
        <v>2012</v>
      </c>
      <c r="F3993" s="3">
        <f t="shared" si="907"/>
        <v>8</v>
      </c>
      <c r="G3993" s="3">
        <f t="shared" si="908"/>
        <v>2</v>
      </c>
      <c r="H3993" s="3">
        <f t="shared" si="909"/>
        <v>21</v>
      </c>
      <c r="I3993" s="3">
        <f t="shared" si="910"/>
        <v>30</v>
      </c>
      <c r="J3993" s="3">
        <f t="shared" si="911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12"/>
        <v>YES</v>
      </c>
      <c r="Q3993" t="str">
        <f t="shared" si="913"/>
        <v>NO</v>
      </c>
      <c r="R3993" t="str">
        <f t="shared" si="914"/>
        <v>NO</v>
      </c>
      <c r="S3993">
        <v>39</v>
      </c>
      <c r="T3993" t="s">
        <v>1906</v>
      </c>
      <c r="U3993" t="str">
        <f t="shared" si="901"/>
        <v>Holyoke St</v>
      </c>
      <c r="W3993" t="str">
        <f t="shared" si="902"/>
        <v/>
      </c>
      <c r="X3993" t="str">
        <f>IF(ISBLANK(S3993),"Intersection","Non-Intersection")</f>
        <v>Non-Intersection</v>
      </c>
      <c r="Y3993" t="s">
        <v>4787</v>
      </c>
      <c r="Z3993" t="str">
        <f t="shared" si="903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04"/>
        <v>40909</v>
      </c>
      <c r="D3994" s="4">
        <f t="shared" si="905"/>
        <v>0.58469945355191255</v>
      </c>
      <c r="E3994" s="3">
        <f t="shared" si="906"/>
        <v>2012</v>
      </c>
      <c r="F3994" s="3">
        <f t="shared" si="907"/>
        <v>8</v>
      </c>
      <c r="G3994" s="3">
        <f t="shared" si="908"/>
        <v>2</v>
      </c>
      <c r="H3994" s="3">
        <f t="shared" si="909"/>
        <v>22</v>
      </c>
      <c r="I3994" s="3">
        <f t="shared" si="910"/>
        <v>9</v>
      </c>
      <c r="J3994" s="3">
        <f t="shared" si="911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12"/>
        <v>YES</v>
      </c>
      <c r="Q3994" t="str">
        <f t="shared" si="913"/>
        <v>NO</v>
      </c>
      <c r="R3994" t="str">
        <f t="shared" si="914"/>
        <v>NO</v>
      </c>
      <c r="T3994" t="s">
        <v>74</v>
      </c>
      <c r="U3994" t="str">
        <f t="shared" si="901"/>
        <v>Hampshire St</v>
      </c>
      <c r="V3994" t="s">
        <v>342</v>
      </c>
      <c r="W3994" t="str">
        <f t="shared" si="902"/>
        <v>Prospect St</v>
      </c>
      <c r="X3994" t="str">
        <f>IF(ISBLANK(S3994),"Intersection","Non-Intersection")</f>
        <v>Intersection</v>
      </c>
      <c r="Y3994" t="s">
        <v>462</v>
      </c>
      <c r="Z3994" t="str">
        <f t="shared" si="903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04"/>
        <v>40909</v>
      </c>
      <c r="D3995" s="4">
        <f t="shared" si="905"/>
        <v>0.58743169398907102</v>
      </c>
      <c r="E3995" s="3">
        <f t="shared" si="906"/>
        <v>2012</v>
      </c>
      <c r="F3995" s="3">
        <f t="shared" si="907"/>
        <v>8</v>
      </c>
      <c r="G3995" s="3">
        <f t="shared" si="908"/>
        <v>3</v>
      </c>
      <c r="H3995" s="3">
        <f t="shared" si="909"/>
        <v>9</v>
      </c>
      <c r="I3995" s="3">
        <f t="shared" si="910"/>
        <v>59</v>
      </c>
      <c r="J3995" s="3">
        <f t="shared" si="911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12"/>
        <v>NO</v>
      </c>
      <c r="Q3995" t="str">
        <f t="shared" si="913"/>
        <v>YES</v>
      </c>
      <c r="R3995" t="str">
        <f t="shared" si="914"/>
        <v>NO</v>
      </c>
      <c r="S3995">
        <v>65</v>
      </c>
      <c r="T3995" t="s">
        <v>249</v>
      </c>
      <c r="U3995" t="str">
        <f t="shared" si="901"/>
        <v>Landsdowne St</v>
      </c>
      <c r="W3995" t="str">
        <f t="shared" si="902"/>
        <v/>
      </c>
      <c r="X3995" t="str">
        <f>IF(ISBLANK(S3995),"Intersection","Non-Intersection")</f>
        <v>Non-Intersection</v>
      </c>
      <c r="Y3995" t="s">
        <v>1725</v>
      </c>
      <c r="Z3995" t="str">
        <f t="shared" si="903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04"/>
        <v>40909</v>
      </c>
      <c r="D3996" s="4">
        <f t="shared" si="905"/>
        <v>0.58743169398907102</v>
      </c>
      <c r="E3996" s="3">
        <f t="shared" si="906"/>
        <v>2012</v>
      </c>
      <c r="F3996" s="3">
        <f t="shared" si="907"/>
        <v>8</v>
      </c>
      <c r="G3996" s="3">
        <f t="shared" si="908"/>
        <v>3</v>
      </c>
      <c r="H3996" s="3">
        <f t="shared" si="909"/>
        <v>16</v>
      </c>
      <c r="I3996" s="3">
        <f t="shared" si="910"/>
        <v>34</v>
      </c>
      <c r="J3996" s="3">
        <f t="shared" si="911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12"/>
        <v>YES</v>
      </c>
      <c r="Q3996" t="str">
        <f t="shared" si="913"/>
        <v>NO</v>
      </c>
      <c r="R3996" t="str">
        <f t="shared" si="914"/>
        <v>NO</v>
      </c>
      <c r="S3996">
        <v>1815</v>
      </c>
      <c r="T3996" t="s">
        <v>14</v>
      </c>
      <c r="U3996" t="str">
        <f t="shared" si="901"/>
        <v>Massachusetts Ave</v>
      </c>
      <c r="W3996" t="str">
        <f t="shared" si="902"/>
        <v/>
      </c>
      <c r="X3996" t="str">
        <f>IF(ISBLANK(S3996),"Intersection","Non-Intersection")</f>
        <v>Non-Intersection</v>
      </c>
      <c r="Y3996" t="s">
        <v>2783</v>
      </c>
      <c r="Z3996" t="str">
        <f t="shared" si="903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04"/>
        <v>40909</v>
      </c>
      <c r="D3997" s="4">
        <f t="shared" si="905"/>
        <v>0.58743169398907102</v>
      </c>
      <c r="E3997" s="3">
        <f t="shared" si="906"/>
        <v>2012</v>
      </c>
      <c r="F3997" s="3">
        <f t="shared" si="907"/>
        <v>8</v>
      </c>
      <c r="G3997" s="3">
        <f t="shared" si="908"/>
        <v>3</v>
      </c>
      <c r="H3997" s="3">
        <f t="shared" si="909"/>
        <v>22</v>
      </c>
      <c r="I3997" s="3">
        <f t="shared" si="910"/>
        <v>9</v>
      </c>
      <c r="J3997" s="3">
        <f t="shared" si="911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12"/>
        <v>YES</v>
      </c>
      <c r="Q3997" t="str">
        <f t="shared" si="913"/>
        <v>NO</v>
      </c>
      <c r="R3997" t="str">
        <f t="shared" si="914"/>
        <v>NO</v>
      </c>
      <c r="T3997" t="s">
        <v>1095</v>
      </c>
      <c r="U3997" t="str">
        <f t="shared" si="901"/>
        <v>Churchill Ave</v>
      </c>
      <c r="V3997" t="s">
        <v>14</v>
      </c>
      <c r="W3997" t="str">
        <f t="shared" si="902"/>
        <v>Massachusetts Ave</v>
      </c>
      <c r="X3997" t="str">
        <f>IF(ISBLANK(S3997),"Intersection","Non-Intersection")</f>
        <v>Intersection</v>
      </c>
      <c r="Y3997" t="s">
        <v>4789</v>
      </c>
      <c r="Z3997" t="str">
        <f t="shared" si="903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04"/>
        <v>40909</v>
      </c>
      <c r="D3998" s="4">
        <f t="shared" si="905"/>
        <v>0.58743169398907102</v>
      </c>
      <c r="E3998" s="3">
        <f t="shared" si="906"/>
        <v>2012</v>
      </c>
      <c r="F3998" s="3">
        <f t="shared" si="907"/>
        <v>8</v>
      </c>
      <c r="G3998" s="3">
        <f t="shared" si="908"/>
        <v>3</v>
      </c>
      <c r="H3998" s="3">
        <f t="shared" si="909"/>
        <v>20</v>
      </c>
      <c r="I3998" s="3">
        <f t="shared" si="910"/>
        <v>49</v>
      </c>
      <c r="J3998" s="3">
        <f t="shared" si="911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12"/>
        <v>YES</v>
      </c>
      <c r="Q3998" t="str">
        <f t="shared" si="913"/>
        <v>NO</v>
      </c>
      <c r="R3998" t="str">
        <f t="shared" si="914"/>
        <v>NO</v>
      </c>
      <c r="T3998" t="s">
        <v>14</v>
      </c>
      <c r="U3998" t="str">
        <f t="shared" si="901"/>
        <v>Massachusetts Ave</v>
      </c>
      <c r="V3998" t="s">
        <v>185</v>
      </c>
      <c r="W3998" t="str">
        <f t="shared" si="902"/>
        <v>Garden St</v>
      </c>
      <c r="X3998" t="str">
        <f>IF(ISBLANK(S3998),"Intersection","Non-Intersection")</f>
        <v>Intersection</v>
      </c>
      <c r="Y3998" t="s">
        <v>1247</v>
      </c>
      <c r="Z3998" t="str">
        <f t="shared" si="903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04"/>
        <v>40909</v>
      </c>
      <c r="D3999" s="4">
        <f t="shared" si="905"/>
        <v>0.5901639344262295</v>
      </c>
      <c r="E3999" s="3">
        <f t="shared" si="906"/>
        <v>2012</v>
      </c>
      <c r="F3999" s="3">
        <f t="shared" si="907"/>
        <v>8</v>
      </c>
      <c r="G3999" s="3">
        <f t="shared" si="908"/>
        <v>4</v>
      </c>
      <c r="H3999" s="3">
        <f t="shared" si="909"/>
        <v>8</v>
      </c>
      <c r="I3999" s="3">
        <f t="shared" si="910"/>
        <v>0</v>
      </c>
      <c r="J3999" s="3">
        <f t="shared" si="911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12"/>
        <v>YES</v>
      </c>
      <c r="Q3999" t="str">
        <f t="shared" si="913"/>
        <v>NO</v>
      </c>
      <c r="R3999" t="str">
        <f t="shared" si="914"/>
        <v>NO</v>
      </c>
      <c r="S3999">
        <v>13</v>
      </c>
      <c r="T3999" t="s">
        <v>57</v>
      </c>
      <c r="U3999" t="str">
        <f t="shared" si="901"/>
        <v>Everett St</v>
      </c>
      <c r="W3999" t="str">
        <f t="shared" si="902"/>
        <v/>
      </c>
      <c r="X3999" t="str">
        <f>IF(ISBLANK(S3999),"Intersection","Non-Intersection")</f>
        <v>Non-Intersection</v>
      </c>
      <c r="Y3999" t="s">
        <v>4790</v>
      </c>
      <c r="Z3999" t="str">
        <f t="shared" si="903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04"/>
        <v>40909</v>
      </c>
      <c r="D4000" s="4">
        <f t="shared" si="905"/>
        <v>0.5901639344262295</v>
      </c>
      <c r="E4000" s="3">
        <f t="shared" si="906"/>
        <v>2012</v>
      </c>
      <c r="F4000" s="3">
        <f t="shared" si="907"/>
        <v>8</v>
      </c>
      <c r="G4000" s="3">
        <f t="shared" si="908"/>
        <v>4</v>
      </c>
      <c r="H4000" s="3">
        <f t="shared" si="909"/>
        <v>11</v>
      </c>
      <c r="I4000" s="3">
        <f t="shared" si="910"/>
        <v>29</v>
      </c>
      <c r="J4000" s="3">
        <f t="shared" si="911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12"/>
        <v>YES</v>
      </c>
      <c r="Q4000" t="str">
        <f t="shared" si="913"/>
        <v>YES</v>
      </c>
      <c r="R4000" t="str">
        <f t="shared" si="914"/>
        <v>NO</v>
      </c>
      <c r="T4000" t="s">
        <v>61</v>
      </c>
      <c r="U4000" t="str">
        <f t="shared" si="901"/>
        <v>First St</v>
      </c>
      <c r="V4000" t="s">
        <v>380</v>
      </c>
      <c r="W4000" t="str">
        <f t="shared" si="902"/>
        <v>Charles St</v>
      </c>
      <c r="X4000" t="str">
        <f>IF(ISBLANK(S4000),"Intersection","Non-Intersection")</f>
        <v>Intersection</v>
      </c>
      <c r="Y4000" t="s">
        <v>4792</v>
      </c>
      <c r="Z4000" t="str">
        <f t="shared" si="903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04"/>
        <v>40909</v>
      </c>
      <c r="D4001" s="4">
        <f t="shared" si="905"/>
        <v>0.5901639344262295</v>
      </c>
      <c r="E4001" s="3">
        <f t="shared" si="906"/>
        <v>2012</v>
      </c>
      <c r="F4001" s="3">
        <f t="shared" si="907"/>
        <v>8</v>
      </c>
      <c r="G4001" s="3">
        <f t="shared" si="908"/>
        <v>4</v>
      </c>
      <c r="H4001" s="3">
        <f t="shared" si="909"/>
        <v>11</v>
      </c>
      <c r="I4001" s="3">
        <f t="shared" si="910"/>
        <v>46</v>
      </c>
      <c r="J4001" s="3">
        <f t="shared" si="911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12"/>
        <v>YES</v>
      </c>
      <c r="Q4001" t="str">
        <f t="shared" si="913"/>
        <v>NO</v>
      </c>
      <c r="R4001" t="str">
        <f t="shared" si="914"/>
        <v>YES</v>
      </c>
      <c r="T4001" t="s">
        <v>75</v>
      </c>
      <c r="U4001" t="str">
        <f t="shared" si="901"/>
        <v>Elm St</v>
      </c>
      <c r="V4001" t="s">
        <v>1903</v>
      </c>
      <c r="W4001" t="str">
        <f t="shared" si="902"/>
        <v>Lincoln St</v>
      </c>
      <c r="X4001" t="str">
        <f>IF(ISBLANK(S4001),"Intersection","Non-Intersection")</f>
        <v>Intersection</v>
      </c>
      <c r="Y4001" t="s">
        <v>1904</v>
      </c>
      <c r="Z4001" t="str">
        <f t="shared" si="903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04"/>
        <v>40909</v>
      </c>
      <c r="D4002" s="4">
        <f t="shared" si="905"/>
        <v>0.5901639344262295</v>
      </c>
      <c r="E4002" s="3">
        <f t="shared" si="906"/>
        <v>2012</v>
      </c>
      <c r="F4002" s="3">
        <f t="shared" si="907"/>
        <v>8</v>
      </c>
      <c r="G4002" s="3">
        <f t="shared" si="908"/>
        <v>4</v>
      </c>
      <c r="H4002" s="3">
        <f t="shared" si="909"/>
        <v>15</v>
      </c>
      <c r="I4002" s="3">
        <f t="shared" si="910"/>
        <v>0</v>
      </c>
      <c r="J4002" s="3">
        <f t="shared" si="911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12"/>
        <v>YES</v>
      </c>
      <c r="Q4002" t="str">
        <f t="shared" si="913"/>
        <v>NO</v>
      </c>
      <c r="R4002" t="str">
        <f t="shared" si="914"/>
        <v>NO</v>
      </c>
      <c r="S4002">
        <v>20</v>
      </c>
      <c r="T4002" t="s">
        <v>134</v>
      </c>
      <c r="U4002" t="str">
        <f t="shared" si="901"/>
        <v>Quincy St</v>
      </c>
      <c r="W4002" t="str">
        <f t="shared" si="902"/>
        <v/>
      </c>
      <c r="X4002" t="str">
        <f>IF(ISBLANK(S4002),"Intersection","Non-Intersection")</f>
        <v>Non-Intersection</v>
      </c>
      <c r="Y4002" t="s">
        <v>4793</v>
      </c>
      <c r="Z4002" t="str">
        <f t="shared" si="903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04"/>
        <v>40909</v>
      </c>
      <c r="D4003" s="4">
        <f t="shared" si="905"/>
        <v>0.59289617486338797</v>
      </c>
      <c r="E4003" s="3">
        <f t="shared" si="906"/>
        <v>2012</v>
      </c>
      <c r="F4003" s="3">
        <f t="shared" si="907"/>
        <v>8</v>
      </c>
      <c r="G4003" s="3">
        <f t="shared" si="908"/>
        <v>5</v>
      </c>
      <c r="H4003" s="3">
        <f t="shared" si="909"/>
        <v>16</v>
      </c>
      <c r="I4003" s="3">
        <f t="shared" si="910"/>
        <v>41</v>
      </c>
      <c r="J4003" s="3">
        <f t="shared" si="911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12"/>
        <v>NO</v>
      </c>
      <c r="Q4003" t="str">
        <f t="shared" si="913"/>
        <v>NO</v>
      </c>
      <c r="R4003" t="str">
        <f t="shared" si="914"/>
        <v>NO</v>
      </c>
      <c r="T4003" t="s">
        <v>1024</v>
      </c>
      <c r="U4003" t="str">
        <f t="shared" si="901"/>
        <v>Kinnaird St</v>
      </c>
      <c r="V4003" t="s">
        <v>2240</v>
      </c>
      <c r="W4003" t="str">
        <f t="shared" si="902"/>
        <v>Bay St</v>
      </c>
      <c r="X4003" t="str">
        <f>IF(ISBLANK(S4003),"Intersection","Non-Intersection")</f>
        <v>Intersection</v>
      </c>
      <c r="Y4003" t="s">
        <v>4795</v>
      </c>
      <c r="Z4003" t="str">
        <f t="shared" si="903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04"/>
        <v>40909</v>
      </c>
      <c r="D4004" s="4">
        <f t="shared" si="905"/>
        <v>0.59289617486338797</v>
      </c>
      <c r="E4004" s="3">
        <f t="shared" si="906"/>
        <v>2012</v>
      </c>
      <c r="F4004" s="3">
        <f t="shared" si="907"/>
        <v>8</v>
      </c>
      <c r="G4004" s="3">
        <f t="shared" si="908"/>
        <v>5</v>
      </c>
      <c r="H4004" s="3">
        <f t="shared" si="909"/>
        <v>21</v>
      </c>
      <c r="I4004" s="3">
        <f t="shared" si="910"/>
        <v>0</v>
      </c>
      <c r="J4004" s="3">
        <f t="shared" si="911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12"/>
        <v>YES</v>
      </c>
      <c r="Q4004" t="str">
        <f t="shared" si="913"/>
        <v>YES</v>
      </c>
      <c r="R4004" t="str">
        <f t="shared" si="914"/>
        <v>NO</v>
      </c>
      <c r="T4004" t="s">
        <v>208</v>
      </c>
      <c r="U4004" t="str">
        <f t="shared" si="901"/>
        <v>Sparks St</v>
      </c>
      <c r="V4004" t="s">
        <v>199</v>
      </c>
      <c r="W4004" t="str">
        <f t="shared" si="902"/>
        <v>Brattle St</v>
      </c>
      <c r="X4004" t="str">
        <f>IF(ISBLANK(S4004),"Intersection","Non-Intersection")</f>
        <v>Intersection</v>
      </c>
      <c r="Y4004" t="s">
        <v>4797</v>
      </c>
      <c r="Z4004" t="str">
        <f t="shared" si="903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04"/>
        <v>40909</v>
      </c>
      <c r="D4005" s="4">
        <f t="shared" si="905"/>
        <v>0.59562841530054644</v>
      </c>
      <c r="E4005" s="3">
        <f t="shared" si="906"/>
        <v>2012</v>
      </c>
      <c r="F4005" s="3">
        <f t="shared" si="907"/>
        <v>8</v>
      </c>
      <c r="G4005" s="3">
        <f t="shared" si="908"/>
        <v>6</v>
      </c>
      <c r="H4005" s="3">
        <f t="shared" si="909"/>
        <v>11</v>
      </c>
      <c r="I4005" s="3">
        <f t="shared" si="910"/>
        <v>52</v>
      </c>
      <c r="J4005" s="3">
        <f t="shared" si="911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12"/>
        <v>YES</v>
      </c>
      <c r="Q4005" t="str">
        <f t="shared" si="913"/>
        <v>NO</v>
      </c>
      <c r="R4005" t="str">
        <f t="shared" si="914"/>
        <v>NO</v>
      </c>
      <c r="S4005">
        <v>112</v>
      </c>
      <c r="T4005" t="s">
        <v>611</v>
      </c>
      <c r="U4005" t="str">
        <f t="shared" si="901"/>
        <v>Berkshire St</v>
      </c>
      <c r="W4005" t="str">
        <f t="shared" si="902"/>
        <v/>
      </c>
      <c r="X4005" t="str">
        <f>IF(ISBLANK(S4005),"Intersection","Non-Intersection")</f>
        <v>Non-Intersection</v>
      </c>
      <c r="Y4005" t="s">
        <v>4798</v>
      </c>
      <c r="Z4005" t="str">
        <f t="shared" si="903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04"/>
        <v>40909</v>
      </c>
      <c r="D4006" s="4">
        <f t="shared" si="905"/>
        <v>0.59562841530054644</v>
      </c>
      <c r="E4006" s="3">
        <f t="shared" si="906"/>
        <v>2012</v>
      </c>
      <c r="F4006" s="3">
        <f t="shared" si="907"/>
        <v>8</v>
      </c>
      <c r="G4006" s="3">
        <f t="shared" si="908"/>
        <v>6</v>
      </c>
      <c r="H4006" s="3">
        <f t="shared" si="909"/>
        <v>15</v>
      </c>
      <c r="I4006" s="3">
        <f t="shared" si="910"/>
        <v>0</v>
      </c>
      <c r="J4006" s="3">
        <f t="shared" si="911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12"/>
        <v>YES</v>
      </c>
      <c r="Q4006" t="str">
        <f t="shared" si="913"/>
        <v>NO</v>
      </c>
      <c r="R4006" t="str">
        <f t="shared" si="914"/>
        <v>NO</v>
      </c>
      <c r="T4006" t="s">
        <v>1742</v>
      </c>
      <c r="U4006" t="str">
        <f t="shared" si="901"/>
        <v>Bow St</v>
      </c>
      <c r="V4006" t="s">
        <v>1841</v>
      </c>
      <c r="W4006" t="str">
        <f t="shared" si="902"/>
        <v>Linden St</v>
      </c>
      <c r="X4006" t="str">
        <f>IF(ISBLANK(S4006),"Intersection","Non-Intersection")</f>
        <v>Intersection</v>
      </c>
      <c r="Y4006" t="s">
        <v>4800</v>
      </c>
      <c r="Z4006" t="str">
        <f t="shared" si="903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04"/>
        <v>40909</v>
      </c>
      <c r="D4007" s="4">
        <f t="shared" si="905"/>
        <v>0.59562841530054644</v>
      </c>
      <c r="E4007" s="3">
        <f t="shared" si="906"/>
        <v>2012</v>
      </c>
      <c r="F4007" s="3">
        <f t="shared" si="907"/>
        <v>8</v>
      </c>
      <c r="G4007" s="3">
        <f t="shared" si="908"/>
        <v>6</v>
      </c>
      <c r="H4007" s="3">
        <f t="shared" si="909"/>
        <v>15</v>
      </c>
      <c r="I4007" s="3">
        <f t="shared" si="910"/>
        <v>30</v>
      </c>
      <c r="J4007" s="3">
        <f t="shared" si="911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12"/>
        <v>YES</v>
      </c>
      <c r="Q4007" t="str">
        <f t="shared" si="913"/>
        <v>NO</v>
      </c>
      <c r="R4007" t="str">
        <f t="shared" si="914"/>
        <v>NO</v>
      </c>
      <c r="S4007">
        <v>2000</v>
      </c>
      <c r="T4007" t="s">
        <v>14</v>
      </c>
      <c r="U4007" t="str">
        <f t="shared" si="901"/>
        <v>Massachusetts Ave</v>
      </c>
      <c r="W4007" t="str">
        <f t="shared" si="902"/>
        <v/>
      </c>
      <c r="X4007" t="str">
        <f>IF(ISBLANK(S4007),"Intersection","Non-Intersection")</f>
        <v>Non-Intersection</v>
      </c>
      <c r="Y4007" t="s">
        <v>1773</v>
      </c>
      <c r="Z4007" t="str">
        <f t="shared" si="903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04"/>
        <v>40909</v>
      </c>
      <c r="D4008" s="4">
        <f t="shared" si="905"/>
        <v>0.59562841530054644</v>
      </c>
      <c r="E4008" s="3">
        <f t="shared" si="906"/>
        <v>2012</v>
      </c>
      <c r="F4008" s="3">
        <f t="shared" si="907"/>
        <v>8</v>
      </c>
      <c r="G4008" s="3">
        <f t="shared" si="908"/>
        <v>6</v>
      </c>
      <c r="H4008" s="3">
        <f t="shared" si="909"/>
        <v>16</v>
      </c>
      <c r="I4008" s="3">
        <f t="shared" si="910"/>
        <v>9</v>
      </c>
      <c r="J4008" s="3">
        <f t="shared" si="911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12"/>
        <v>YES</v>
      </c>
      <c r="Q4008" t="str">
        <f t="shared" si="913"/>
        <v>YES</v>
      </c>
      <c r="R4008" t="str">
        <f t="shared" si="914"/>
        <v>NO</v>
      </c>
      <c r="S4008">
        <v>1651</v>
      </c>
      <c r="T4008" t="s">
        <v>14</v>
      </c>
      <c r="U4008" t="str">
        <f t="shared" si="901"/>
        <v>Massachusetts Ave</v>
      </c>
      <c r="W4008" t="str">
        <f t="shared" si="902"/>
        <v/>
      </c>
      <c r="X4008" t="str">
        <f>IF(ISBLANK(S4008),"Intersection","Non-Intersection")</f>
        <v>Non-Intersection</v>
      </c>
      <c r="Y4008" t="s">
        <v>4802</v>
      </c>
      <c r="Z4008" t="str">
        <f t="shared" si="903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04"/>
        <v>40909</v>
      </c>
      <c r="D4009" s="4">
        <f t="shared" si="905"/>
        <v>0.59562841530054644</v>
      </c>
      <c r="E4009" s="3">
        <f t="shared" si="906"/>
        <v>2012</v>
      </c>
      <c r="F4009" s="3">
        <f t="shared" si="907"/>
        <v>8</v>
      </c>
      <c r="G4009" s="3">
        <f t="shared" si="908"/>
        <v>6</v>
      </c>
      <c r="H4009" s="3">
        <f t="shared" si="909"/>
        <v>2</v>
      </c>
      <c r="I4009" s="3">
        <f t="shared" si="910"/>
        <v>4</v>
      </c>
      <c r="J4009" s="3">
        <f t="shared" si="911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12"/>
        <v>YES</v>
      </c>
      <c r="Q4009" t="str">
        <f t="shared" si="913"/>
        <v>NO</v>
      </c>
      <c r="R4009" t="str">
        <f t="shared" si="914"/>
        <v>NO</v>
      </c>
      <c r="S4009">
        <v>379</v>
      </c>
      <c r="T4009" t="s">
        <v>252</v>
      </c>
      <c r="U4009" t="str">
        <f t="shared" si="901"/>
        <v>Walden St</v>
      </c>
      <c r="V4009" t="s">
        <v>186</v>
      </c>
      <c r="W4009" t="str">
        <f t="shared" si="902"/>
        <v>Concord Ave</v>
      </c>
      <c r="X4009" t="str">
        <f>IF(ISBLANK(S4009),"Intersection","Non-Intersection")</f>
        <v>Non-Intersection</v>
      </c>
      <c r="Y4009" t="s">
        <v>4804</v>
      </c>
      <c r="Z4009" t="str">
        <f t="shared" si="903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04"/>
        <v>40909</v>
      </c>
      <c r="D4010" s="4">
        <f t="shared" si="905"/>
        <v>0.59836065573770492</v>
      </c>
      <c r="E4010" s="3">
        <f t="shared" si="906"/>
        <v>2012</v>
      </c>
      <c r="F4010" s="3">
        <f t="shared" si="907"/>
        <v>8</v>
      </c>
      <c r="G4010" s="3">
        <f t="shared" si="908"/>
        <v>7</v>
      </c>
      <c r="H4010" s="3">
        <f t="shared" si="909"/>
        <v>8</v>
      </c>
      <c r="I4010" s="3">
        <f t="shared" si="910"/>
        <v>39</v>
      </c>
      <c r="J4010" s="3">
        <f t="shared" si="911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12"/>
        <v>YES</v>
      </c>
      <c r="Q4010" t="str">
        <f t="shared" si="913"/>
        <v>NO</v>
      </c>
      <c r="R4010" t="str">
        <f t="shared" si="914"/>
        <v>NO</v>
      </c>
      <c r="T4010" t="s">
        <v>846</v>
      </c>
      <c r="U4010" t="str">
        <f t="shared" si="901"/>
        <v>Bowdoin St</v>
      </c>
      <c r="V4010" t="s">
        <v>354</v>
      </c>
      <c r="W4010" t="str">
        <f t="shared" si="902"/>
        <v>Linnaean St</v>
      </c>
      <c r="X4010" t="str">
        <f>IF(ISBLANK(S4010),"Intersection","Non-Intersection")</f>
        <v>Intersection</v>
      </c>
      <c r="Y4010" t="s">
        <v>4806</v>
      </c>
      <c r="Z4010" t="str">
        <f t="shared" si="903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04"/>
        <v>40909</v>
      </c>
      <c r="D4011" s="4">
        <f t="shared" si="905"/>
        <v>0.59836065573770492</v>
      </c>
      <c r="E4011" s="3">
        <f t="shared" si="906"/>
        <v>2012</v>
      </c>
      <c r="F4011" s="3">
        <f t="shared" si="907"/>
        <v>8</v>
      </c>
      <c r="G4011" s="3">
        <f t="shared" si="908"/>
        <v>7</v>
      </c>
      <c r="H4011" s="3">
        <f t="shared" si="909"/>
        <v>12</v>
      </c>
      <c r="I4011" s="3">
        <f t="shared" si="910"/>
        <v>0</v>
      </c>
      <c r="J4011" s="3">
        <f t="shared" si="911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12"/>
        <v>YES</v>
      </c>
      <c r="Q4011" t="str">
        <f t="shared" si="913"/>
        <v>NO</v>
      </c>
      <c r="R4011" t="str">
        <f t="shared" si="914"/>
        <v>NO</v>
      </c>
      <c r="S4011">
        <v>167</v>
      </c>
      <c r="T4011" t="s">
        <v>101</v>
      </c>
      <c r="U4011" t="str">
        <f t="shared" si="901"/>
        <v>Columbia St</v>
      </c>
      <c r="W4011" t="str">
        <f t="shared" si="902"/>
        <v/>
      </c>
      <c r="X4011" t="str">
        <f>IF(ISBLANK(S4011),"Intersection","Non-Intersection")</f>
        <v>Non-Intersection</v>
      </c>
      <c r="Y4011" t="s">
        <v>4808</v>
      </c>
      <c r="Z4011" t="str">
        <f t="shared" si="903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04"/>
        <v>40909</v>
      </c>
      <c r="D4012" s="4">
        <f t="shared" si="905"/>
        <v>0.59836065573770492</v>
      </c>
      <c r="E4012" s="3">
        <f t="shared" si="906"/>
        <v>2012</v>
      </c>
      <c r="F4012" s="3">
        <f t="shared" si="907"/>
        <v>8</v>
      </c>
      <c r="G4012" s="3">
        <f t="shared" si="908"/>
        <v>7</v>
      </c>
      <c r="H4012" s="3">
        <f t="shared" si="909"/>
        <v>12</v>
      </c>
      <c r="I4012" s="3">
        <f t="shared" si="910"/>
        <v>59</v>
      </c>
      <c r="J4012" s="3">
        <f t="shared" si="911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12"/>
        <v>YES</v>
      </c>
      <c r="Q4012" t="str">
        <f t="shared" si="913"/>
        <v>NO</v>
      </c>
      <c r="R4012" t="str">
        <f t="shared" si="914"/>
        <v>NO</v>
      </c>
      <c r="S4012">
        <v>211</v>
      </c>
      <c r="T4012" t="s">
        <v>170</v>
      </c>
      <c r="U4012" t="str">
        <f t="shared" si="901"/>
        <v>Alewife Brook Pky</v>
      </c>
      <c r="W4012" t="str">
        <f t="shared" si="902"/>
        <v/>
      </c>
      <c r="X4012" t="str">
        <f>IF(ISBLANK(S4012),"Intersection","Non-Intersection")</f>
        <v>Non-Intersection</v>
      </c>
      <c r="Y4012" t="s">
        <v>1359</v>
      </c>
      <c r="Z4012" t="str">
        <f t="shared" si="903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04"/>
        <v>40909</v>
      </c>
      <c r="D4013" s="4">
        <f t="shared" si="905"/>
        <v>0.59836065573770492</v>
      </c>
      <c r="E4013" s="3">
        <f t="shared" si="906"/>
        <v>2012</v>
      </c>
      <c r="F4013" s="3">
        <f t="shared" si="907"/>
        <v>8</v>
      </c>
      <c r="G4013" s="3">
        <f t="shared" si="908"/>
        <v>7</v>
      </c>
      <c r="H4013" s="3">
        <f t="shared" si="909"/>
        <v>14</v>
      </c>
      <c r="I4013" s="3">
        <f t="shared" si="910"/>
        <v>19</v>
      </c>
      <c r="J4013" s="3">
        <f t="shared" si="911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12"/>
        <v>YES</v>
      </c>
      <c r="Q4013" t="str">
        <f t="shared" si="913"/>
        <v>NO</v>
      </c>
      <c r="R4013" t="str">
        <f t="shared" si="914"/>
        <v>YES</v>
      </c>
      <c r="T4013" t="s">
        <v>198</v>
      </c>
      <c r="U4013" t="str">
        <f t="shared" si="901"/>
        <v>Mount Auburn St</v>
      </c>
      <c r="V4013" t="s">
        <v>199</v>
      </c>
      <c r="W4013" t="str">
        <f t="shared" si="902"/>
        <v>Brattle St</v>
      </c>
      <c r="X4013" t="str">
        <f>IF(ISBLANK(S4013),"Intersection","Non-Intersection")</f>
        <v>Intersection</v>
      </c>
      <c r="Y4013" t="s">
        <v>767</v>
      </c>
      <c r="Z4013" t="str">
        <f t="shared" si="903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04"/>
        <v>40909</v>
      </c>
      <c r="D4014" s="4">
        <f t="shared" si="905"/>
        <v>0.59836065573770492</v>
      </c>
      <c r="E4014" s="3">
        <f t="shared" si="906"/>
        <v>2012</v>
      </c>
      <c r="F4014" s="3">
        <f t="shared" si="907"/>
        <v>8</v>
      </c>
      <c r="G4014" s="3">
        <f t="shared" si="908"/>
        <v>7</v>
      </c>
      <c r="H4014" s="3">
        <f t="shared" si="909"/>
        <v>16</v>
      </c>
      <c r="I4014" s="3">
        <f t="shared" si="910"/>
        <v>53</v>
      </c>
      <c r="J4014" s="3">
        <f t="shared" si="911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12"/>
        <v>YES</v>
      </c>
      <c r="Q4014" t="str">
        <f t="shared" si="913"/>
        <v>YES</v>
      </c>
      <c r="R4014" t="str">
        <f t="shared" si="914"/>
        <v>NO</v>
      </c>
      <c r="T4014" t="s">
        <v>105</v>
      </c>
      <c r="U4014" t="str">
        <f t="shared" si="901"/>
        <v>Broadway</v>
      </c>
      <c r="V4014" t="s">
        <v>104</v>
      </c>
      <c r="W4014" t="str">
        <f t="shared" si="902"/>
        <v>Inman St</v>
      </c>
      <c r="X4014" t="str">
        <f>IF(ISBLANK(S4014),"Intersection","Non-Intersection")</f>
        <v>Intersection</v>
      </c>
      <c r="Y4014" t="s">
        <v>2336</v>
      </c>
      <c r="Z4014" t="str">
        <f t="shared" si="903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04"/>
        <v>40909</v>
      </c>
      <c r="D4015" s="4">
        <f t="shared" si="905"/>
        <v>0.59836065573770492</v>
      </c>
      <c r="E4015" s="3">
        <f t="shared" si="906"/>
        <v>2012</v>
      </c>
      <c r="F4015" s="3">
        <f t="shared" si="907"/>
        <v>8</v>
      </c>
      <c r="G4015" s="3">
        <f t="shared" si="908"/>
        <v>7</v>
      </c>
      <c r="H4015" s="3">
        <f t="shared" si="909"/>
        <v>18</v>
      </c>
      <c r="I4015" s="3">
        <f t="shared" si="910"/>
        <v>30</v>
      </c>
      <c r="J4015" s="3">
        <f t="shared" si="911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12"/>
        <v>YES</v>
      </c>
      <c r="Q4015" t="str">
        <f t="shared" si="913"/>
        <v>NO</v>
      </c>
      <c r="R4015" t="str">
        <f t="shared" si="914"/>
        <v>NO</v>
      </c>
      <c r="S4015">
        <v>46</v>
      </c>
      <c r="T4015" t="s">
        <v>506</v>
      </c>
      <c r="U4015" t="str">
        <f t="shared" si="901"/>
        <v>Bigelow St</v>
      </c>
      <c r="W4015" t="str">
        <f t="shared" si="902"/>
        <v/>
      </c>
      <c r="X4015" t="str">
        <f>IF(ISBLANK(S4015),"Intersection","Non-Intersection")</f>
        <v>Non-Intersection</v>
      </c>
      <c r="Y4015" t="s">
        <v>4810</v>
      </c>
      <c r="Z4015" t="str">
        <f t="shared" si="903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04"/>
        <v>40909</v>
      </c>
      <c r="D4016" s="4">
        <f t="shared" si="905"/>
        <v>0.59836065573770492</v>
      </c>
      <c r="E4016" s="3">
        <f t="shared" si="906"/>
        <v>2012</v>
      </c>
      <c r="F4016" s="3">
        <f t="shared" si="907"/>
        <v>8</v>
      </c>
      <c r="G4016" s="3">
        <f t="shared" si="908"/>
        <v>7</v>
      </c>
      <c r="H4016" s="3">
        <f t="shared" si="909"/>
        <v>20</v>
      </c>
      <c r="I4016" s="3">
        <f t="shared" si="910"/>
        <v>49</v>
      </c>
      <c r="J4016" s="3">
        <f t="shared" si="911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12"/>
        <v>YES</v>
      </c>
      <c r="Q4016" t="str">
        <f t="shared" si="913"/>
        <v>NO</v>
      </c>
      <c r="R4016" t="str">
        <f t="shared" si="914"/>
        <v>NO</v>
      </c>
      <c r="T4016" t="s">
        <v>14</v>
      </c>
      <c r="U4016" t="str">
        <f t="shared" si="901"/>
        <v>Massachusetts Ave</v>
      </c>
      <c r="V4016" t="s">
        <v>195</v>
      </c>
      <c r="W4016" t="str">
        <f t="shared" si="902"/>
        <v>Sidney St</v>
      </c>
      <c r="X4016" t="str">
        <f>IF(ISBLANK(S4016),"Intersection","Non-Intersection")</f>
        <v>Intersection</v>
      </c>
      <c r="Y4016" t="s">
        <v>196</v>
      </c>
      <c r="Z4016" t="str">
        <f t="shared" si="903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04"/>
        <v>40909</v>
      </c>
      <c r="D4017" s="4">
        <f t="shared" si="905"/>
        <v>0.59836065573770492</v>
      </c>
      <c r="E4017" s="3">
        <f t="shared" si="906"/>
        <v>2012</v>
      </c>
      <c r="F4017" s="3">
        <f t="shared" si="907"/>
        <v>8</v>
      </c>
      <c r="G4017" s="3">
        <f t="shared" si="908"/>
        <v>7</v>
      </c>
      <c r="H4017" s="3">
        <f t="shared" si="909"/>
        <v>22</v>
      </c>
      <c r="I4017" s="3">
        <f t="shared" si="910"/>
        <v>44</v>
      </c>
      <c r="J4017" s="3">
        <f t="shared" si="911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12"/>
        <v>YES</v>
      </c>
      <c r="Q4017" t="str">
        <f t="shared" si="913"/>
        <v>YES</v>
      </c>
      <c r="R4017" t="str">
        <f t="shared" si="914"/>
        <v>NO</v>
      </c>
      <c r="T4017" t="s">
        <v>14</v>
      </c>
      <c r="U4017" t="str">
        <f t="shared" si="901"/>
        <v>Massachusetts Ave</v>
      </c>
      <c r="W4017" t="str">
        <f t="shared" si="902"/>
        <v/>
      </c>
      <c r="X4017" t="str">
        <f>IF(ISBLANK(S4017),"Intersection","Non-Intersection")</f>
        <v>Intersection</v>
      </c>
      <c r="Y4017" t="s">
        <v>137</v>
      </c>
      <c r="Z4017" t="str">
        <f t="shared" si="903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04"/>
        <v>40909</v>
      </c>
      <c r="D4018" s="4">
        <f t="shared" si="905"/>
        <v>0.60109289617486339</v>
      </c>
      <c r="E4018" s="3">
        <f t="shared" si="906"/>
        <v>2012</v>
      </c>
      <c r="F4018" s="3">
        <f t="shared" si="907"/>
        <v>8</v>
      </c>
      <c r="G4018" s="3">
        <f t="shared" si="908"/>
        <v>8</v>
      </c>
      <c r="H4018" s="3">
        <f t="shared" si="909"/>
        <v>11</v>
      </c>
      <c r="I4018" s="3">
        <f t="shared" si="910"/>
        <v>25</v>
      </c>
      <c r="J4018" s="3">
        <f t="shared" si="911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12"/>
        <v>YES</v>
      </c>
      <c r="Q4018" t="str">
        <f t="shared" si="913"/>
        <v>NO</v>
      </c>
      <c r="R4018" t="str">
        <f t="shared" si="914"/>
        <v>NO</v>
      </c>
      <c r="S4018">
        <v>200</v>
      </c>
      <c r="T4018" t="s">
        <v>170</v>
      </c>
      <c r="U4018" t="str">
        <f t="shared" si="901"/>
        <v>Alewife Brook Pky</v>
      </c>
      <c r="W4018" t="str">
        <f t="shared" si="902"/>
        <v/>
      </c>
      <c r="X4018" t="str">
        <f>IF(ISBLANK(S4018),"Intersection","Non-Intersection")</f>
        <v>Non-Intersection</v>
      </c>
      <c r="Y4018" t="s">
        <v>2274</v>
      </c>
      <c r="Z4018" t="str">
        <f t="shared" si="903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04"/>
        <v>40909</v>
      </c>
      <c r="D4019" s="4">
        <f t="shared" si="905"/>
        <v>0.60109289617486339</v>
      </c>
      <c r="E4019" s="3">
        <f t="shared" si="906"/>
        <v>2012</v>
      </c>
      <c r="F4019" s="3">
        <f t="shared" si="907"/>
        <v>8</v>
      </c>
      <c r="G4019" s="3">
        <f t="shared" si="908"/>
        <v>8</v>
      </c>
      <c r="H4019" s="3">
        <f t="shared" si="909"/>
        <v>12</v>
      </c>
      <c r="I4019" s="3">
        <f t="shared" si="910"/>
        <v>59</v>
      </c>
      <c r="J4019" s="3">
        <f t="shared" si="911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12"/>
        <v>YES</v>
      </c>
      <c r="Q4019" t="str">
        <f t="shared" si="913"/>
        <v>NO</v>
      </c>
      <c r="R4019" t="str">
        <f t="shared" si="914"/>
        <v>NO</v>
      </c>
      <c r="T4019" t="s">
        <v>133</v>
      </c>
      <c r="U4019" t="str">
        <f t="shared" si="901"/>
        <v>Harvard St</v>
      </c>
      <c r="V4019" t="s">
        <v>498</v>
      </c>
      <c r="W4019" t="str">
        <f t="shared" si="902"/>
        <v>Ellery St</v>
      </c>
      <c r="X4019" t="str">
        <f>IF(ISBLANK(S4019),"Intersection","Non-Intersection")</f>
        <v>Intersection</v>
      </c>
      <c r="Y4019" t="s">
        <v>1963</v>
      </c>
      <c r="Z4019" t="str">
        <f t="shared" si="903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04"/>
        <v>40909</v>
      </c>
      <c r="D4020" s="4">
        <f t="shared" si="905"/>
        <v>0.60109289617486339</v>
      </c>
      <c r="E4020" s="3">
        <f t="shared" si="906"/>
        <v>2012</v>
      </c>
      <c r="F4020" s="3">
        <f t="shared" si="907"/>
        <v>8</v>
      </c>
      <c r="G4020" s="3">
        <f t="shared" si="908"/>
        <v>8</v>
      </c>
      <c r="H4020" s="3">
        <f t="shared" si="909"/>
        <v>6</v>
      </c>
      <c r="I4020" s="3">
        <f t="shared" si="910"/>
        <v>0</v>
      </c>
      <c r="J4020" s="3">
        <f t="shared" si="911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12"/>
        <v>YES</v>
      </c>
      <c r="Q4020" t="str">
        <f t="shared" si="913"/>
        <v>NO</v>
      </c>
      <c r="R4020" t="str">
        <f t="shared" si="914"/>
        <v>NO</v>
      </c>
      <c r="S4020">
        <v>255</v>
      </c>
      <c r="T4020" t="s">
        <v>556</v>
      </c>
      <c r="U4020" t="str">
        <f t="shared" si="901"/>
        <v>Bent St</v>
      </c>
      <c r="W4020" t="str">
        <f t="shared" si="902"/>
        <v/>
      </c>
      <c r="X4020" t="str">
        <f>IF(ISBLANK(S4020),"Intersection","Non-Intersection")</f>
        <v>Non-Intersection</v>
      </c>
      <c r="Y4020" t="s">
        <v>4812</v>
      </c>
      <c r="Z4020" t="str">
        <f t="shared" si="903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04"/>
        <v>40909</v>
      </c>
      <c r="D4021" s="4">
        <f t="shared" si="905"/>
        <v>0.60109289617486339</v>
      </c>
      <c r="E4021" s="3">
        <f t="shared" si="906"/>
        <v>2012</v>
      </c>
      <c r="F4021" s="3">
        <f t="shared" si="907"/>
        <v>8</v>
      </c>
      <c r="G4021" s="3">
        <f t="shared" si="908"/>
        <v>8</v>
      </c>
      <c r="H4021" s="3">
        <f t="shared" si="909"/>
        <v>8</v>
      </c>
      <c r="I4021" s="3">
        <f t="shared" si="910"/>
        <v>25</v>
      </c>
      <c r="J4021" s="3">
        <f t="shared" si="911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12"/>
        <v>YES</v>
      </c>
      <c r="Q4021" t="str">
        <f t="shared" si="913"/>
        <v>NO</v>
      </c>
      <c r="R4021" t="str">
        <f t="shared" si="914"/>
        <v>NO</v>
      </c>
      <c r="T4021" t="s">
        <v>198</v>
      </c>
      <c r="U4021" t="str">
        <f t="shared" si="901"/>
        <v>Mount Auburn St</v>
      </c>
      <c r="V4021" t="s">
        <v>24</v>
      </c>
      <c r="W4021" t="str">
        <f t="shared" si="902"/>
        <v>Coolidge Ave</v>
      </c>
      <c r="X4021" t="str">
        <f>IF(ISBLANK(S4021),"Intersection","Non-Intersection")</f>
        <v>Intersection</v>
      </c>
      <c r="Y4021" t="s">
        <v>2019</v>
      </c>
      <c r="Z4021" t="str">
        <f t="shared" si="903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04"/>
        <v>40909</v>
      </c>
      <c r="D4022" s="4">
        <f t="shared" si="905"/>
        <v>0.60109289617486339</v>
      </c>
      <c r="E4022" s="3">
        <f t="shared" si="906"/>
        <v>2012</v>
      </c>
      <c r="F4022" s="3">
        <f t="shared" si="907"/>
        <v>8</v>
      </c>
      <c r="G4022" s="3">
        <f t="shared" si="908"/>
        <v>8</v>
      </c>
      <c r="H4022" s="3">
        <f t="shared" si="909"/>
        <v>8</v>
      </c>
      <c r="I4022" s="3">
        <f t="shared" si="910"/>
        <v>15</v>
      </c>
      <c r="J4022" s="3">
        <f t="shared" si="911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12"/>
        <v>YES</v>
      </c>
      <c r="Q4022" t="str">
        <f t="shared" si="913"/>
        <v>NO</v>
      </c>
      <c r="R4022" t="str">
        <f t="shared" si="914"/>
        <v>NO</v>
      </c>
      <c r="T4022" t="s">
        <v>198</v>
      </c>
      <c r="U4022" t="str">
        <f t="shared" si="901"/>
        <v>Mount Auburn St</v>
      </c>
      <c r="V4022" t="s">
        <v>4156</v>
      </c>
      <c r="W4022" t="str">
        <f t="shared" si="902"/>
        <v>University Pl</v>
      </c>
      <c r="X4022" t="str">
        <f>IF(ISBLANK(S4022),"Intersection","Non-Intersection")</f>
        <v>Intersection</v>
      </c>
      <c r="Y4022" t="s">
        <v>4157</v>
      </c>
      <c r="Z4022" t="str">
        <f t="shared" si="903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04"/>
        <v>40909</v>
      </c>
      <c r="D4023" s="4">
        <f t="shared" si="905"/>
        <v>0.60382513661202186</v>
      </c>
      <c r="E4023" s="3">
        <f t="shared" si="906"/>
        <v>2012</v>
      </c>
      <c r="F4023" s="3">
        <f t="shared" si="907"/>
        <v>8</v>
      </c>
      <c r="G4023" s="3">
        <f t="shared" si="908"/>
        <v>9</v>
      </c>
      <c r="H4023" s="3">
        <f t="shared" si="909"/>
        <v>7</v>
      </c>
      <c r="I4023" s="3">
        <f t="shared" si="910"/>
        <v>38</v>
      </c>
      <c r="J4023" s="3">
        <f t="shared" si="911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12"/>
        <v>YES</v>
      </c>
      <c r="Q4023" t="str">
        <f t="shared" si="913"/>
        <v>NO</v>
      </c>
      <c r="R4023" t="str">
        <f t="shared" si="914"/>
        <v>NO</v>
      </c>
      <c r="S4023">
        <v>1373</v>
      </c>
      <c r="T4023" t="s">
        <v>19</v>
      </c>
      <c r="U4023" t="str">
        <f t="shared" si="901"/>
        <v>Cambridge St</v>
      </c>
      <c r="W4023" t="str">
        <f t="shared" si="902"/>
        <v/>
      </c>
      <c r="X4023" t="str">
        <f>IF(ISBLANK(S4023),"Intersection","Non-Intersection")</f>
        <v>Non-Intersection</v>
      </c>
      <c r="Y4023" t="s">
        <v>4814</v>
      </c>
      <c r="Z4023" t="str">
        <f t="shared" si="903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04"/>
        <v>40909</v>
      </c>
      <c r="D4024" s="4">
        <f t="shared" si="905"/>
        <v>0.60382513661202186</v>
      </c>
      <c r="E4024" s="3">
        <f t="shared" si="906"/>
        <v>2012</v>
      </c>
      <c r="F4024" s="3">
        <f t="shared" si="907"/>
        <v>8</v>
      </c>
      <c r="G4024" s="3">
        <f t="shared" si="908"/>
        <v>9</v>
      </c>
      <c r="H4024" s="3">
        <f t="shared" si="909"/>
        <v>8</v>
      </c>
      <c r="I4024" s="3">
        <f t="shared" si="910"/>
        <v>0</v>
      </c>
      <c r="J4024" s="3">
        <f t="shared" si="911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12"/>
        <v>YES</v>
      </c>
      <c r="Q4024" t="str">
        <f t="shared" si="913"/>
        <v>NO</v>
      </c>
      <c r="R4024" t="str">
        <f t="shared" si="914"/>
        <v>NO</v>
      </c>
      <c r="S4024" t="s">
        <v>4818</v>
      </c>
      <c r="T4024" t="s">
        <v>326</v>
      </c>
      <c r="U4024" t="str">
        <f t="shared" si="901"/>
        <v>Jfk St</v>
      </c>
      <c r="W4024" t="str">
        <f t="shared" si="902"/>
        <v/>
      </c>
      <c r="X4024" t="str">
        <f>IF(ISBLANK(S4024),"Intersection","Non-Intersection")</f>
        <v>Non-Intersection</v>
      </c>
      <c r="Y4024" t="s">
        <v>4819</v>
      </c>
      <c r="Z4024" t="str">
        <f t="shared" si="903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04"/>
        <v>40909</v>
      </c>
      <c r="D4025" s="4">
        <f t="shared" si="905"/>
        <v>0.60382513661202186</v>
      </c>
      <c r="E4025" s="3">
        <f t="shared" si="906"/>
        <v>2012</v>
      </c>
      <c r="F4025" s="3">
        <f t="shared" si="907"/>
        <v>8</v>
      </c>
      <c r="G4025" s="3">
        <f t="shared" si="908"/>
        <v>9</v>
      </c>
      <c r="H4025" s="3">
        <f t="shared" si="909"/>
        <v>16</v>
      </c>
      <c r="I4025" s="3">
        <f t="shared" si="910"/>
        <v>25</v>
      </c>
      <c r="J4025" s="3">
        <f t="shared" si="911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12"/>
        <v>YES</v>
      </c>
      <c r="Q4025" t="str">
        <f t="shared" si="913"/>
        <v>NO</v>
      </c>
      <c r="R4025" t="str">
        <f t="shared" si="914"/>
        <v>NO</v>
      </c>
      <c r="T4025" t="s">
        <v>249</v>
      </c>
      <c r="U4025" t="str">
        <f t="shared" si="901"/>
        <v>Landsdowne St</v>
      </c>
      <c r="V4025" t="s">
        <v>509</v>
      </c>
      <c r="W4025" t="str">
        <f t="shared" si="902"/>
        <v>Green St</v>
      </c>
      <c r="X4025" t="str">
        <f>IF(ISBLANK(S4025),"Intersection","Non-Intersection")</f>
        <v>Intersection</v>
      </c>
      <c r="Y4025" t="s">
        <v>4821</v>
      </c>
      <c r="Z4025" t="str">
        <f t="shared" si="903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04"/>
        <v>40909</v>
      </c>
      <c r="D4026" s="4">
        <f t="shared" si="905"/>
        <v>0.60382513661202186</v>
      </c>
      <c r="E4026" s="3">
        <f t="shared" si="906"/>
        <v>2012</v>
      </c>
      <c r="F4026" s="3">
        <f t="shared" si="907"/>
        <v>8</v>
      </c>
      <c r="G4026" s="3">
        <f t="shared" si="908"/>
        <v>9</v>
      </c>
      <c r="H4026" s="3">
        <f t="shared" si="909"/>
        <v>17</v>
      </c>
      <c r="I4026" s="3">
        <f t="shared" si="910"/>
        <v>25</v>
      </c>
      <c r="J4026" s="3">
        <f t="shared" si="911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12"/>
        <v>YES</v>
      </c>
      <c r="Q4026" t="str">
        <f t="shared" si="913"/>
        <v>YES</v>
      </c>
      <c r="R4026" t="str">
        <f t="shared" si="914"/>
        <v>NO</v>
      </c>
      <c r="T4026" t="s">
        <v>32</v>
      </c>
      <c r="U4026" t="str">
        <f t="shared" si="901"/>
        <v>Main St</v>
      </c>
      <c r="V4026" t="s">
        <v>189</v>
      </c>
      <c r="W4026" t="str">
        <f t="shared" si="902"/>
        <v>Windsor St</v>
      </c>
      <c r="X4026" t="str">
        <f>IF(ISBLANK(S4026),"Intersection","Non-Intersection")</f>
        <v>Intersection</v>
      </c>
      <c r="Y4026" t="s">
        <v>1737</v>
      </c>
      <c r="Z4026" t="str">
        <f t="shared" si="903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04"/>
        <v>40909</v>
      </c>
      <c r="D4027" s="4">
        <f t="shared" si="905"/>
        <v>0.60382513661202186</v>
      </c>
      <c r="E4027" s="3">
        <f t="shared" si="906"/>
        <v>2012</v>
      </c>
      <c r="F4027" s="3">
        <f t="shared" si="907"/>
        <v>8</v>
      </c>
      <c r="G4027" s="3">
        <f t="shared" si="908"/>
        <v>9</v>
      </c>
      <c r="H4027" s="3">
        <f t="shared" si="909"/>
        <v>12</v>
      </c>
      <c r="I4027" s="3">
        <f t="shared" si="910"/>
        <v>30</v>
      </c>
      <c r="J4027" s="3">
        <f t="shared" si="911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12"/>
        <v>YES</v>
      </c>
      <c r="Q4027" t="str">
        <f t="shared" si="913"/>
        <v>YES</v>
      </c>
      <c r="R4027" t="str">
        <f t="shared" si="914"/>
        <v>NO</v>
      </c>
      <c r="T4027" t="s">
        <v>186</v>
      </c>
      <c r="U4027" t="str">
        <f t="shared" si="901"/>
        <v>Concord Ave</v>
      </c>
      <c r="W4027" t="str">
        <f t="shared" si="902"/>
        <v/>
      </c>
      <c r="X4027" t="str">
        <f>IF(ISBLANK(S4027),"Intersection","Non-Intersection")</f>
        <v>Intersection</v>
      </c>
      <c r="Y4027" t="s">
        <v>4822</v>
      </c>
      <c r="Z4027" t="str">
        <f t="shared" si="903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04"/>
        <v>40909</v>
      </c>
      <c r="D4028" s="4">
        <f t="shared" si="905"/>
        <v>0.60655737704918034</v>
      </c>
      <c r="E4028" s="3">
        <f t="shared" si="906"/>
        <v>2012</v>
      </c>
      <c r="F4028" s="3">
        <f t="shared" si="907"/>
        <v>8</v>
      </c>
      <c r="G4028" s="3">
        <f t="shared" si="908"/>
        <v>10</v>
      </c>
      <c r="H4028" s="3">
        <f t="shared" si="909"/>
        <v>11</v>
      </c>
      <c r="I4028" s="3">
        <f t="shared" si="910"/>
        <v>1</v>
      </c>
      <c r="J4028" s="3">
        <f t="shared" si="911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12"/>
        <v>YES</v>
      </c>
      <c r="Q4028" t="str">
        <f t="shared" si="913"/>
        <v>NO</v>
      </c>
      <c r="R4028" t="str">
        <f t="shared" si="914"/>
        <v>NO</v>
      </c>
      <c r="T4028" t="s">
        <v>142</v>
      </c>
      <c r="U4028" t="str">
        <f t="shared" si="901"/>
        <v>Huron Ave</v>
      </c>
      <c r="V4028" t="s">
        <v>521</v>
      </c>
      <c r="W4028" t="str">
        <f t="shared" si="902"/>
        <v>Lakeview Ave</v>
      </c>
      <c r="X4028" t="str">
        <f>IF(ISBLANK(S4028),"Intersection","Non-Intersection")</f>
        <v>Intersection</v>
      </c>
      <c r="Y4028" t="s">
        <v>2342</v>
      </c>
      <c r="Z4028" t="str">
        <f t="shared" si="903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04"/>
        <v>40909</v>
      </c>
      <c r="D4029" s="4">
        <f t="shared" si="905"/>
        <v>0.60655737704918034</v>
      </c>
      <c r="E4029" s="3">
        <f t="shared" si="906"/>
        <v>2012</v>
      </c>
      <c r="F4029" s="3">
        <f t="shared" si="907"/>
        <v>8</v>
      </c>
      <c r="G4029" s="3">
        <f t="shared" si="908"/>
        <v>10</v>
      </c>
      <c r="H4029" s="3">
        <f t="shared" si="909"/>
        <v>14</v>
      </c>
      <c r="I4029" s="3">
        <f t="shared" si="910"/>
        <v>32</v>
      </c>
      <c r="J4029" s="3">
        <f t="shared" si="911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12"/>
        <v>YES</v>
      </c>
      <c r="Q4029" t="str">
        <f t="shared" si="913"/>
        <v>NO</v>
      </c>
      <c r="R4029" t="str">
        <f t="shared" si="914"/>
        <v>NO</v>
      </c>
      <c r="T4029" t="s">
        <v>453</v>
      </c>
      <c r="U4029" t="str">
        <f t="shared" si="901"/>
        <v>Brookline St</v>
      </c>
      <c r="V4029" t="s">
        <v>4061</v>
      </c>
      <c r="W4029" t="str">
        <f t="shared" si="902"/>
        <v>Pilgrim St</v>
      </c>
      <c r="X4029" t="str">
        <f>IF(ISBLANK(S4029),"Intersection","Non-Intersection")</f>
        <v>Intersection</v>
      </c>
      <c r="Y4029" t="s">
        <v>4823</v>
      </c>
      <c r="Z4029" t="str">
        <f t="shared" si="903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04"/>
        <v>40909</v>
      </c>
      <c r="D4030" s="4">
        <f t="shared" si="905"/>
        <v>0.60655737704918034</v>
      </c>
      <c r="E4030" s="3">
        <f t="shared" si="906"/>
        <v>2012</v>
      </c>
      <c r="F4030" s="3">
        <f t="shared" si="907"/>
        <v>8</v>
      </c>
      <c r="G4030" s="3">
        <f t="shared" si="908"/>
        <v>10</v>
      </c>
      <c r="H4030" s="3">
        <f t="shared" si="909"/>
        <v>17</v>
      </c>
      <c r="I4030" s="3">
        <f t="shared" si="910"/>
        <v>45</v>
      </c>
      <c r="J4030" s="3">
        <f t="shared" si="911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12"/>
        <v>YES</v>
      </c>
      <c r="Q4030" t="str">
        <f t="shared" si="913"/>
        <v>NO</v>
      </c>
      <c r="R4030" t="str">
        <f t="shared" si="914"/>
        <v>NO</v>
      </c>
      <c r="S4030">
        <v>54</v>
      </c>
      <c r="T4030" t="s">
        <v>710</v>
      </c>
      <c r="U4030" t="str">
        <f t="shared" si="901"/>
        <v>Fresh Pond Pky</v>
      </c>
      <c r="W4030" t="str">
        <f t="shared" si="902"/>
        <v/>
      </c>
      <c r="X4030" t="str">
        <f>IF(ISBLANK(S4030),"Intersection","Non-Intersection")</f>
        <v>Non-Intersection</v>
      </c>
      <c r="Y4030" t="s">
        <v>4825</v>
      </c>
      <c r="Z4030" t="str">
        <f t="shared" si="903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04"/>
        <v>40909</v>
      </c>
      <c r="D4031" s="4">
        <f t="shared" si="905"/>
        <v>0.60655737704918034</v>
      </c>
      <c r="E4031" s="3">
        <f t="shared" si="906"/>
        <v>2012</v>
      </c>
      <c r="F4031" s="3">
        <f t="shared" si="907"/>
        <v>8</v>
      </c>
      <c r="G4031" s="3">
        <f t="shared" si="908"/>
        <v>10</v>
      </c>
      <c r="H4031" s="3">
        <f t="shared" si="909"/>
        <v>13</v>
      </c>
      <c r="I4031" s="3">
        <f t="shared" si="910"/>
        <v>30</v>
      </c>
      <c r="J4031" s="3">
        <f t="shared" si="911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12"/>
        <v>YES</v>
      </c>
      <c r="Q4031" t="str">
        <f t="shared" si="913"/>
        <v>NO</v>
      </c>
      <c r="R4031" t="str">
        <f t="shared" si="914"/>
        <v>NO</v>
      </c>
      <c r="S4031">
        <v>362</v>
      </c>
      <c r="T4031" t="s">
        <v>15</v>
      </c>
      <c r="U4031" t="str">
        <f t="shared" si="901"/>
        <v>Rindge Ave</v>
      </c>
      <c r="W4031" t="str">
        <f t="shared" si="902"/>
        <v/>
      </c>
      <c r="X4031" t="str">
        <f>IF(ISBLANK(S4031),"Intersection","Non-Intersection")</f>
        <v>Non-Intersection</v>
      </c>
      <c r="Y4031" t="s">
        <v>3320</v>
      </c>
      <c r="Z4031" t="str">
        <f t="shared" si="903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04"/>
        <v>40909</v>
      </c>
      <c r="D4032" s="4">
        <f t="shared" si="905"/>
        <v>0.60655737704918034</v>
      </c>
      <c r="E4032" s="3">
        <f t="shared" si="906"/>
        <v>2012</v>
      </c>
      <c r="F4032" s="3">
        <f t="shared" si="907"/>
        <v>8</v>
      </c>
      <c r="G4032" s="3">
        <f t="shared" si="908"/>
        <v>10</v>
      </c>
      <c r="H4032" s="3">
        <f t="shared" si="909"/>
        <v>17</v>
      </c>
      <c r="I4032" s="3">
        <f t="shared" si="910"/>
        <v>49</v>
      </c>
      <c r="J4032" s="3">
        <f t="shared" si="911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12"/>
        <v>YES</v>
      </c>
      <c r="Q4032" t="str">
        <f t="shared" si="913"/>
        <v>YES</v>
      </c>
      <c r="R4032" t="str">
        <f t="shared" si="914"/>
        <v>NO</v>
      </c>
      <c r="T4032" t="s">
        <v>142</v>
      </c>
      <c r="U4032" t="str">
        <f t="shared" si="901"/>
        <v>Huron Ave</v>
      </c>
      <c r="V4032" t="s">
        <v>1510</v>
      </c>
      <c r="W4032" t="str">
        <f t="shared" si="902"/>
        <v>Reservoir St</v>
      </c>
      <c r="X4032" t="str">
        <f>IF(ISBLANK(S4032),"Intersection","Non-Intersection")</f>
        <v>Intersection</v>
      </c>
      <c r="Y4032" t="s">
        <v>2595</v>
      </c>
      <c r="Z4032" t="str">
        <f t="shared" si="903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15">EOMONTH(B4033,MONTH(B4033)*-1)+1</f>
        <v>40909</v>
      </c>
      <c r="D4033" s="4">
        <f t="shared" ref="D4033:D4094" si="916">YEARFRAC(C4033,B4033,1)</f>
        <v>0.60655737704918034</v>
      </c>
      <c r="E4033" s="3">
        <f t="shared" ref="E4033:E4094" si="917">YEAR(B4033)</f>
        <v>2012</v>
      </c>
      <c r="F4033" s="3">
        <f t="shared" ref="F4033:F4094" si="918">MONTH(B4033)</f>
        <v>8</v>
      </c>
      <c r="G4033" s="3">
        <f t="shared" ref="G4033:G4094" si="919">DAY(B4033)</f>
        <v>10</v>
      </c>
      <c r="H4033" s="3">
        <f t="shared" ref="H4033:H4094" si="920">HOUR(B4033)</f>
        <v>1</v>
      </c>
      <c r="I4033" s="3">
        <f t="shared" ref="I4033:I4094" si="921">MINUTE(B4033)</f>
        <v>47</v>
      </c>
      <c r="J4033" s="3">
        <f t="shared" ref="J4033:J4094" si="922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23">IF(OR(N4033="Auto",O4033="Auto"),"YES",IF(OR(N4033="Taxi",O4033="Taxi"),"YES",IF(OR(N4033="Van",O4033="Van"),"YES",IF(OR(N4033="Truck",O4033="Truck"),"YES","NO"))))</f>
        <v>YES</v>
      </c>
      <c r="Q4033" t="str">
        <f t="shared" ref="Q4033:Q4094" si="924">IF(OR(N4033="Bicycle",O4033="Bicycle"),"YES","NO")</f>
        <v>NO</v>
      </c>
      <c r="R4033" t="str">
        <f t="shared" ref="R4033:R4094" si="925">IF(OR(N4033="Pedestrian",O4033="Pedestrian"),"YES","NO")</f>
        <v>NO</v>
      </c>
      <c r="S4033">
        <v>399</v>
      </c>
      <c r="T4033" t="s">
        <v>42</v>
      </c>
      <c r="U4033" t="str">
        <f t="shared" si="901"/>
        <v>Putnam Ave</v>
      </c>
      <c r="V4033" t="s">
        <v>178</v>
      </c>
      <c r="W4033" t="str">
        <f t="shared" si="902"/>
        <v>Pleasant St</v>
      </c>
      <c r="X4033" t="str">
        <f>IF(ISBLANK(S4033),"Intersection","Non-Intersection")</f>
        <v>Non-Intersection</v>
      </c>
      <c r="Y4033" t="s">
        <v>4827</v>
      </c>
      <c r="Z4033" t="str">
        <f t="shared" si="903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15"/>
        <v>40909</v>
      </c>
      <c r="D4034" s="4">
        <f t="shared" si="916"/>
        <v>0.60655737704918034</v>
      </c>
      <c r="E4034" s="3">
        <f t="shared" si="917"/>
        <v>2012</v>
      </c>
      <c r="F4034" s="3">
        <f t="shared" si="918"/>
        <v>8</v>
      </c>
      <c r="G4034" s="3">
        <f t="shared" si="919"/>
        <v>10</v>
      </c>
      <c r="H4034" s="3">
        <f t="shared" si="920"/>
        <v>17</v>
      </c>
      <c r="I4034" s="3">
        <f t="shared" si="921"/>
        <v>6</v>
      </c>
      <c r="J4034" s="3">
        <f t="shared" si="922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23"/>
        <v>YES</v>
      </c>
      <c r="Q4034" t="str">
        <f t="shared" si="924"/>
        <v>NO</v>
      </c>
      <c r="R4034" t="str">
        <f t="shared" si="925"/>
        <v>NO</v>
      </c>
      <c r="S4034">
        <v>26</v>
      </c>
      <c r="T4034" t="s">
        <v>104</v>
      </c>
      <c r="U4034" t="str">
        <f t="shared" si="901"/>
        <v>Inman St</v>
      </c>
      <c r="W4034" t="str">
        <f t="shared" si="902"/>
        <v/>
      </c>
      <c r="X4034" t="str">
        <f>IF(ISBLANK(S4034),"Intersection","Non-Intersection")</f>
        <v>Non-Intersection</v>
      </c>
      <c r="Y4034" t="s">
        <v>4829</v>
      </c>
      <c r="Z4034" t="str">
        <f t="shared" si="903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15"/>
        <v>40909</v>
      </c>
      <c r="D4035" s="4">
        <f t="shared" si="916"/>
        <v>0.60928961748633881</v>
      </c>
      <c r="E4035" s="3">
        <f t="shared" si="917"/>
        <v>2012</v>
      </c>
      <c r="F4035" s="3">
        <f t="shared" si="918"/>
        <v>8</v>
      </c>
      <c r="G4035" s="3">
        <f t="shared" si="919"/>
        <v>11</v>
      </c>
      <c r="H4035" s="3">
        <f t="shared" si="920"/>
        <v>21</v>
      </c>
      <c r="I4035" s="3">
        <f t="shared" si="921"/>
        <v>30</v>
      </c>
      <c r="J4035" s="3">
        <f t="shared" si="922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23"/>
        <v>YES</v>
      </c>
      <c r="Q4035" t="str">
        <f t="shared" si="924"/>
        <v>NO</v>
      </c>
      <c r="R4035" t="str">
        <f t="shared" si="925"/>
        <v>NO</v>
      </c>
      <c r="S4035">
        <v>581</v>
      </c>
      <c r="T4035" t="s">
        <v>14</v>
      </c>
      <c r="U4035" t="str">
        <f t="shared" ref="U4035:U4098" si="926">TRIM(PROPER(T4035))</f>
        <v>Massachusetts Ave</v>
      </c>
      <c r="W4035" t="str">
        <f t="shared" ref="W4035:W4098" si="927">TRIM(PROPER(V4035))</f>
        <v/>
      </c>
      <c r="X4035" t="str">
        <f>IF(ISBLANK(S4035),"Intersection","Non-Intersection")</f>
        <v>Non-Intersection</v>
      </c>
      <c r="Y4035" t="s">
        <v>1811</v>
      </c>
      <c r="Z4035" t="str">
        <f t="shared" ref="Z4035:Z4098" si="928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15"/>
        <v>40909</v>
      </c>
      <c r="D4036" s="4">
        <f t="shared" si="916"/>
        <v>0.61202185792349728</v>
      </c>
      <c r="E4036" s="3">
        <f t="shared" si="917"/>
        <v>2012</v>
      </c>
      <c r="F4036" s="3">
        <f t="shared" si="918"/>
        <v>8</v>
      </c>
      <c r="G4036" s="3">
        <f t="shared" si="919"/>
        <v>12</v>
      </c>
      <c r="H4036" s="3">
        <f t="shared" si="920"/>
        <v>12</v>
      </c>
      <c r="I4036" s="3">
        <f t="shared" si="921"/>
        <v>0</v>
      </c>
      <c r="J4036" s="3">
        <f t="shared" si="922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23"/>
        <v>YES</v>
      </c>
      <c r="Q4036" t="str">
        <f t="shared" si="924"/>
        <v>NO</v>
      </c>
      <c r="R4036" t="str">
        <f t="shared" si="925"/>
        <v>NO</v>
      </c>
      <c r="S4036">
        <v>901</v>
      </c>
      <c r="T4036" t="s">
        <v>32</v>
      </c>
      <c r="U4036" t="str">
        <f t="shared" si="926"/>
        <v>Main St</v>
      </c>
      <c r="W4036" t="str">
        <f t="shared" si="927"/>
        <v/>
      </c>
      <c r="X4036" t="str">
        <f>IF(ISBLANK(S4036),"Intersection","Non-Intersection")</f>
        <v>Non-Intersection</v>
      </c>
      <c r="Y4036" t="s">
        <v>4831</v>
      </c>
      <c r="Z4036" t="str">
        <f t="shared" si="928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15"/>
        <v>40909</v>
      </c>
      <c r="D4037" s="4">
        <f t="shared" si="916"/>
        <v>0.61202185792349728</v>
      </c>
      <c r="E4037" s="3">
        <f t="shared" si="917"/>
        <v>2012</v>
      </c>
      <c r="F4037" s="3">
        <f t="shared" si="918"/>
        <v>8</v>
      </c>
      <c r="G4037" s="3">
        <f t="shared" si="919"/>
        <v>12</v>
      </c>
      <c r="H4037" s="3">
        <f t="shared" si="920"/>
        <v>17</v>
      </c>
      <c r="I4037" s="3">
        <f t="shared" si="921"/>
        <v>13</v>
      </c>
      <c r="J4037" s="3">
        <f t="shared" si="922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23"/>
        <v>YES</v>
      </c>
      <c r="Q4037" t="str">
        <f t="shared" si="924"/>
        <v>NO</v>
      </c>
      <c r="R4037" t="str">
        <f t="shared" si="925"/>
        <v>NO</v>
      </c>
      <c r="T4037" t="s">
        <v>260</v>
      </c>
      <c r="U4037" t="str">
        <f t="shared" si="926"/>
        <v>Third St</v>
      </c>
      <c r="V4037" t="s">
        <v>146</v>
      </c>
      <c r="W4037" t="str">
        <f t="shared" si="927"/>
        <v>Spring St</v>
      </c>
      <c r="X4037" t="str">
        <f>IF(ISBLANK(S4037),"Intersection","Non-Intersection")</f>
        <v>Intersection</v>
      </c>
      <c r="Y4037" t="s">
        <v>544</v>
      </c>
      <c r="Z4037" t="str">
        <f t="shared" si="928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15"/>
        <v>40909</v>
      </c>
      <c r="D4038" s="4">
        <f t="shared" si="916"/>
        <v>0.61475409836065575</v>
      </c>
      <c r="E4038" s="3">
        <f t="shared" si="917"/>
        <v>2012</v>
      </c>
      <c r="F4038" s="3">
        <f t="shared" si="918"/>
        <v>8</v>
      </c>
      <c r="G4038" s="3">
        <f t="shared" si="919"/>
        <v>13</v>
      </c>
      <c r="H4038" s="3">
        <f t="shared" si="920"/>
        <v>15</v>
      </c>
      <c r="I4038" s="3">
        <f t="shared" si="921"/>
        <v>7</v>
      </c>
      <c r="J4038" s="3">
        <f t="shared" si="922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23"/>
        <v>YES</v>
      </c>
      <c r="Q4038" t="str">
        <f t="shared" si="924"/>
        <v>NO</v>
      </c>
      <c r="R4038" t="str">
        <f t="shared" si="925"/>
        <v>NO</v>
      </c>
      <c r="S4038">
        <v>53</v>
      </c>
      <c r="T4038" t="s">
        <v>484</v>
      </c>
      <c r="U4038" t="str">
        <f t="shared" si="926"/>
        <v>Porter St</v>
      </c>
      <c r="W4038" t="str">
        <f t="shared" si="927"/>
        <v/>
      </c>
      <c r="X4038" t="str">
        <f>IF(ISBLANK(S4038),"Intersection","Non-Intersection")</f>
        <v>Non-Intersection</v>
      </c>
      <c r="Y4038" t="s">
        <v>4833</v>
      </c>
      <c r="Z4038" t="str">
        <f t="shared" si="928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15"/>
        <v>40909</v>
      </c>
      <c r="D4039" s="4">
        <f t="shared" si="916"/>
        <v>0.61475409836065575</v>
      </c>
      <c r="E4039" s="3">
        <f t="shared" si="917"/>
        <v>2012</v>
      </c>
      <c r="F4039" s="3">
        <f t="shared" si="918"/>
        <v>8</v>
      </c>
      <c r="G4039" s="3">
        <f t="shared" si="919"/>
        <v>13</v>
      </c>
      <c r="H4039" s="3">
        <f t="shared" si="920"/>
        <v>16</v>
      </c>
      <c r="I4039" s="3">
        <f t="shared" si="921"/>
        <v>5</v>
      </c>
      <c r="J4039" s="3">
        <f t="shared" si="922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23"/>
        <v>YES</v>
      </c>
      <c r="Q4039" t="str">
        <f t="shared" si="924"/>
        <v>NO</v>
      </c>
      <c r="R4039" t="str">
        <f t="shared" si="925"/>
        <v>NO</v>
      </c>
      <c r="T4039" t="s">
        <v>189</v>
      </c>
      <c r="U4039" t="str">
        <f t="shared" si="926"/>
        <v>Windsor St</v>
      </c>
      <c r="V4039" t="s">
        <v>32</v>
      </c>
      <c r="W4039" t="str">
        <f t="shared" si="927"/>
        <v>Main St</v>
      </c>
      <c r="X4039" t="str">
        <f>IF(ISBLANK(S4039),"Intersection","Non-Intersection")</f>
        <v>Intersection</v>
      </c>
      <c r="Y4039" t="s">
        <v>3338</v>
      </c>
      <c r="Z4039" t="str">
        <f t="shared" si="928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15"/>
        <v>40909</v>
      </c>
      <c r="D4040" s="4">
        <f t="shared" si="916"/>
        <v>0.61475409836065575</v>
      </c>
      <c r="E4040" s="3">
        <f t="shared" si="917"/>
        <v>2012</v>
      </c>
      <c r="F4040" s="3">
        <f t="shared" si="918"/>
        <v>8</v>
      </c>
      <c r="G4040" s="3">
        <f t="shared" si="919"/>
        <v>13</v>
      </c>
      <c r="H4040" s="3">
        <f t="shared" si="920"/>
        <v>16</v>
      </c>
      <c r="I4040" s="3">
        <f t="shared" si="921"/>
        <v>43</v>
      </c>
      <c r="J4040" s="3">
        <f t="shared" si="922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23"/>
        <v>YES</v>
      </c>
      <c r="Q4040" t="str">
        <f t="shared" si="924"/>
        <v>NO</v>
      </c>
      <c r="R4040" t="str">
        <f t="shared" si="925"/>
        <v>NO</v>
      </c>
      <c r="T4040" t="s">
        <v>760</v>
      </c>
      <c r="U4040" t="str">
        <f t="shared" si="926"/>
        <v>Fulkerson St</v>
      </c>
      <c r="V4040" t="s">
        <v>60</v>
      </c>
      <c r="W4040" t="str">
        <f t="shared" si="927"/>
        <v>Rogers St</v>
      </c>
      <c r="X4040" t="str">
        <f>IF(ISBLANK(S4040),"Intersection","Non-Intersection")</f>
        <v>Intersection</v>
      </c>
      <c r="Y4040" t="s">
        <v>2173</v>
      </c>
      <c r="Z4040" t="str">
        <f t="shared" si="928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15"/>
        <v>40909</v>
      </c>
      <c r="D4041" s="4">
        <f t="shared" si="916"/>
        <v>0.61475409836065575</v>
      </c>
      <c r="E4041" s="3">
        <f t="shared" si="917"/>
        <v>2012</v>
      </c>
      <c r="F4041" s="3">
        <f t="shared" si="918"/>
        <v>8</v>
      </c>
      <c r="G4041" s="3">
        <f t="shared" si="919"/>
        <v>13</v>
      </c>
      <c r="H4041" s="3">
        <f t="shared" si="920"/>
        <v>19</v>
      </c>
      <c r="I4041" s="3">
        <f t="shared" si="921"/>
        <v>40</v>
      </c>
      <c r="J4041" s="3">
        <f t="shared" si="922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23"/>
        <v>YES</v>
      </c>
      <c r="Q4041" t="str">
        <f t="shared" si="924"/>
        <v>NO</v>
      </c>
      <c r="R4041" t="str">
        <f t="shared" si="925"/>
        <v>NO</v>
      </c>
      <c r="T4041" t="s">
        <v>19</v>
      </c>
      <c r="U4041" t="str">
        <f t="shared" si="926"/>
        <v>Cambridge St</v>
      </c>
      <c r="V4041" t="s">
        <v>342</v>
      </c>
      <c r="W4041" t="str">
        <f t="shared" si="927"/>
        <v>Prospect St</v>
      </c>
      <c r="X4041" t="str">
        <f>IF(ISBLANK(S4041),"Intersection","Non-Intersection")</f>
        <v>Intersection</v>
      </c>
      <c r="Y4041" t="s">
        <v>821</v>
      </c>
      <c r="Z4041" t="str">
        <f t="shared" si="928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15"/>
        <v>40909</v>
      </c>
      <c r="D4042" s="4">
        <f t="shared" si="916"/>
        <v>0.61475409836065575</v>
      </c>
      <c r="E4042" s="3">
        <f t="shared" si="917"/>
        <v>2012</v>
      </c>
      <c r="F4042" s="3">
        <f t="shared" si="918"/>
        <v>8</v>
      </c>
      <c r="G4042" s="3">
        <f t="shared" si="919"/>
        <v>13</v>
      </c>
      <c r="H4042" s="3">
        <f t="shared" si="920"/>
        <v>21</v>
      </c>
      <c r="I4042" s="3">
        <f t="shared" si="921"/>
        <v>14</v>
      </c>
      <c r="J4042" s="3">
        <f t="shared" si="922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23"/>
        <v>YES</v>
      </c>
      <c r="Q4042" t="str">
        <f t="shared" si="924"/>
        <v>NO</v>
      </c>
      <c r="R4042" t="str">
        <f t="shared" si="925"/>
        <v>NO</v>
      </c>
      <c r="T4042" t="s">
        <v>216</v>
      </c>
      <c r="U4042" t="str">
        <f t="shared" si="926"/>
        <v>Washington Ave</v>
      </c>
      <c r="V4042" t="s">
        <v>189</v>
      </c>
      <c r="W4042" t="str">
        <f t="shared" si="927"/>
        <v>Windsor St</v>
      </c>
      <c r="X4042" t="str">
        <f>IF(ISBLANK(S4042),"Intersection","Non-Intersection")</f>
        <v>Intersection</v>
      </c>
      <c r="Y4042" t="s">
        <v>3691</v>
      </c>
      <c r="Z4042" t="str">
        <f t="shared" si="928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15"/>
        <v>40909</v>
      </c>
      <c r="D4043" s="4">
        <f t="shared" si="916"/>
        <v>0.61475409836065575</v>
      </c>
      <c r="E4043" s="3">
        <f t="shared" si="917"/>
        <v>2012</v>
      </c>
      <c r="F4043" s="3">
        <f t="shared" si="918"/>
        <v>8</v>
      </c>
      <c r="G4043" s="3">
        <f t="shared" si="919"/>
        <v>13</v>
      </c>
      <c r="H4043" s="3">
        <f t="shared" si="920"/>
        <v>9</v>
      </c>
      <c r="I4043" s="3">
        <f t="shared" si="921"/>
        <v>18</v>
      </c>
      <c r="J4043" s="3">
        <f t="shared" si="922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23"/>
        <v>YES</v>
      </c>
      <c r="Q4043" t="str">
        <f t="shared" si="924"/>
        <v>YES</v>
      </c>
      <c r="R4043" t="str">
        <f t="shared" si="925"/>
        <v>NO</v>
      </c>
      <c r="T4043" t="s">
        <v>14</v>
      </c>
      <c r="U4043" t="str">
        <f t="shared" si="926"/>
        <v>Massachusetts Ave</v>
      </c>
      <c r="V4043" t="s">
        <v>94</v>
      </c>
      <c r="W4043" t="str">
        <f t="shared" si="927"/>
        <v>Shepard St</v>
      </c>
      <c r="X4043" t="str">
        <f>IF(ISBLANK(S4043),"Intersection","Non-Intersection")</f>
        <v>Intersection</v>
      </c>
      <c r="Y4043" t="s">
        <v>95</v>
      </c>
      <c r="Z4043" t="str">
        <f t="shared" si="928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15"/>
        <v>40909</v>
      </c>
      <c r="D4044" s="4">
        <f t="shared" si="916"/>
        <v>0.61475409836065575</v>
      </c>
      <c r="E4044" s="3">
        <f t="shared" si="917"/>
        <v>2012</v>
      </c>
      <c r="F4044" s="3">
        <f t="shared" si="918"/>
        <v>8</v>
      </c>
      <c r="G4044" s="3">
        <f t="shared" si="919"/>
        <v>13</v>
      </c>
      <c r="H4044" s="3">
        <f t="shared" si="920"/>
        <v>14</v>
      </c>
      <c r="I4044" s="3">
        <f t="shared" si="921"/>
        <v>46</v>
      </c>
      <c r="J4044" s="3">
        <f t="shared" si="922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23"/>
        <v>YES</v>
      </c>
      <c r="Q4044" t="str">
        <f t="shared" si="924"/>
        <v>NO</v>
      </c>
      <c r="R4044" t="str">
        <f t="shared" si="925"/>
        <v>NO</v>
      </c>
      <c r="T4044" t="s">
        <v>19</v>
      </c>
      <c r="U4044" t="str">
        <f t="shared" si="926"/>
        <v>Cambridge St</v>
      </c>
      <c r="V4044" t="s">
        <v>14</v>
      </c>
      <c r="W4044" t="str">
        <f t="shared" si="927"/>
        <v>Massachusetts Ave</v>
      </c>
      <c r="X4044" t="str">
        <f>IF(ISBLANK(S4044),"Intersection","Non-Intersection")</f>
        <v>Intersection</v>
      </c>
      <c r="Y4044" t="s">
        <v>945</v>
      </c>
      <c r="Z4044" t="str">
        <f t="shared" si="928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15"/>
        <v>40909</v>
      </c>
      <c r="D4045" s="4">
        <f t="shared" si="916"/>
        <v>0.61748633879781423</v>
      </c>
      <c r="E4045" s="3">
        <f t="shared" si="917"/>
        <v>2012</v>
      </c>
      <c r="F4045" s="3">
        <f t="shared" si="918"/>
        <v>8</v>
      </c>
      <c r="G4045" s="3">
        <f t="shared" si="919"/>
        <v>14</v>
      </c>
      <c r="H4045" s="3">
        <f t="shared" si="920"/>
        <v>8</v>
      </c>
      <c r="I4045" s="3">
        <f t="shared" si="921"/>
        <v>0</v>
      </c>
      <c r="J4045" s="3">
        <f t="shared" si="922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23"/>
        <v>YES</v>
      </c>
      <c r="Q4045" t="str">
        <f t="shared" si="924"/>
        <v>NO</v>
      </c>
      <c r="R4045" t="str">
        <f t="shared" si="925"/>
        <v>NO</v>
      </c>
      <c r="T4045" t="s">
        <v>4835</v>
      </c>
      <c r="U4045" t="str">
        <f t="shared" si="926"/>
        <v>Miller Ave</v>
      </c>
      <c r="V4045" t="s">
        <v>1976</v>
      </c>
      <c r="W4045" t="str">
        <f t="shared" si="927"/>
        <v>Orchard St</v>
      </c>
      <c r="X4045" t="str">
        <f>IF(ISBLANK(S4045),"Intersection","Non-Intersection")</f>
        <v>Intersection</v>
      </c>
      <c r="Y4045" t="s">
        <v>4836</v>
      </c>
      <c r="Z4045" t="str">
        <f t="shared" si="928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15"/>
        <v>40909</v>
      </c>
      <c r="D4046" s="4">
        <f t="shared" si="916"/>
        <v>0.61748633879781423</v>
      </c>
      <c r="E4046" s="3">
        <f t="shared" si="917"/>
        <v>2012</v>
      </c>
      <c r="F4046" s="3">
        <f t="shared" si="918"/>
        <v>8</v>
      </c>
      <c r="G4046" s="3">
        <f t="shared" si="919"/>
        <v>14</v>
      </c>
      <c r="H4046" s="3">
        <f t="shared" si="920"/>
        <v>12</v>
      </c>
      <c r="I4046" s="3">
        <f t="shared" si="921"/>
        <v>30</v>
      </c>
      <c r="J4046" s="3">
        <f t="shared" si="922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23"/>
        <v>YES</v>
      </c>
      <c r="Q4046" t="str">
        <f t="shared" si="924"/>
        <v>NO</v>
      </c>
      <c r="R4046" t="str">
        <f t="shared" si="925"/>
        <v>NO</v>
      </c>
      <c r="S4046">
        <v>70</v>
      </c>
      <c r="T4046" t="s">
        <v>15</v>
      </c>
      <c r="U4046" t="str">
        <f t="shared" si="926"/>
        <v>Rindge Ave</v>
      </c>
      <c r="W4046" t="str">
        <f t="shared" si="927"/>
        <v/>
      </c>
      <c r="X4046" t="str">
        <f>IF(ISBLANK(S4046),"Intersection","Non-Intersection")</f>
        <v>Non-Intersection</v>
      </c>
      <c r="Y4046" t="s">
        <v>4469</v>
      </c>
      <c r="Z4046" t="str">
        <f t="shared" si="928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15"/>
        <v>40909</v>
      </c>
      <c r="D4047" s="4">
        <f t="shared" si="916"/>
        <v>0.61748633879781423</v>
      </c>
      <c r="E4047" s="3">
        <f t="shared" si="917"/>
        <v>2012</v>
      </c>
      <c r="F4047" s="3">
        <f t="shared" si="918"/>
        <v>8</v>
      </c>
      <c r="G4047" s="3">
        <f t="shared" si="919"/>
        <v>14</v>
      </c>
      <c r="H4047" s="3">
        <f t="shared" si="920"/>
        <v>15</v>
      </c>
      <c r="I4047" s="3">
        <f t="shared" si="921"/>
        <v>10</v>
      </c>
      <c r="J4047" s="3">
        <f t="shared" si="922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23"/>
        <v>YES</v>
      </c>
      <c r="Q4047" t="str">
        <f t="shared" si="924"/>
        <v>YES</v>
      </c>
      <c r="R4047" t="str">
        <f t="shared" si="925"/>
        <v>NO</v>
      </c>
      <c r="T4047" t="s">
        <v>509</v>
      </c>
      <c r="U4047" t="str">
        <f t="shared" si="926"/>
        <v>Green St</v>
      </c>
      <c r="V4047" t="s">
        <v>2240</v>
      </c>
      <c r="W4047" t="str">
        <f t="shared" si="927"/>
        <v>Bay St</v>
      </c>
      <c r="X4047" t="str">
        <f>IF(ISBLANK(S4047),"Intersection","Non-Intersection")</f>
        <v>Intersection</v>
      </c>
      <c r="Y4047" t="s">
        <v>4057</v>
      </c>
      <c r="Z4047" t="str">
        <f t="shared" si="928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15"/>
        <v>40909</v>
      </c>
      <c r="D4048" s="4">
        <f t="shared" si="916"/>
        <v>0.61748633879781423</v>
      </c>
      <c r="E4048" s="3">
        <f t="shared" si="917"/>
        <v>2012</v>
      </c>
      <c r="F4048" s="3">
        <f t="shared" si="918"/>
        <v>8</v>
      </c>
      <c r="G4048" s="3">
        <f t="shared" si="919"/>
        <v>14</v>
      </c>
      <c r="H4048" s="3">
        <f t="shared" si="920"/>
        <v>18</v>
      </c>
      <c r="I4048" s="3">
        <f t="shared" si="921"/>
        <v>14</v>
      </c>
      <c r="J4048" s="3">
        <f t="shared" si="922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23"/>
        <v>YES</v>
      </c>
      <c r="Q4048" t="str">
        <f t="shared" si="924"/>
        <v>NO</v>
      </c>
      <c r="R4048" t="str">
        <f t="shared" si="925"/>
        <v>NO</v>
      </c>
      <c r="S4048">
        <v>1</v>
      </c>
      <c r="T4048" t="s">
        <v>268</v>
      </c>
      <c r="U4048" t="str">
        <f t="shared" si="926"/>
        <v>White St</v>
      </c>
      <c r="V4048" t="s">
        <v>1958</v>
      </c>
      <c r="W4048" t="str">
        <f t="shared" si="927"/>
        <v>Porter Cir</v>
      </c>
      <c r="X4048" t="str">
        <f>IF(ISBLANK(S4048),"Intersection","Non-Intersection")</f>
        <v>Non-Intersection</v>
      </c>
      <c r="Y4048" t="s">
        <v>272</v>
      </c>
      <c r="Z4048" t="str">
        <f t="shared" si="928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15"/>
        <v>40909</v>
      </c>
      <c r="D4049" s="4">
        <f t="shared" si="916"/>
        <v>0.6202185792349727</v>
      </c>
      <c r="E4049" s="3">
        <f t="shared" si="917"/>
        <v>2012</v>
      </c>
      <c r="F4049" s="3">
        <f t="shared" si="918"/>
        <v>8</v>
      </c>
      <c r="G4049" s="3">
        <f t="shared" si="919"/>
        <v>15</v>
      </c>
      <c r="H4049" s="3">
        <f t="shared" si="920"/>
        <v>12</v>
      </c>
      <c r="I4049" s="3">
        <f t="shared" si="921"/>
        <v>30</v>
      </c>
      <c r="J4049" s="3">
        <f t="shared" si="922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23"/>
        <v>YES</v>
      </c>
      <c r="Q4049" t="str">
        <f t="shared" si="924"/>
        <v>NO</v>
      </c>
      <c r="R4049" t="str">
        <f t="shared" si="925"/>
        <v>NO</v>
      </c>
      <c r="T4049" t="s">
        <v>32</v>
      </c>
      <c r="U4049" t="str">
        <f t="shared" si="926"/>
        <v>Main St</v>
      </c>
      <c r="V4049" t="s">
        <v>2524</v>
      </c>
      <c r="W4049" t="str">
        <f t="shared" si="927"/>
        <v>Technology Sq</v>
      </c>
      <c r="X4049" t="str">
        <f>IF(ISBLANK(S4049),"Intersection","Non-Intersection")</f>
        <v>Intersection</v>
      </c>
      <c r="Y4049" t="s">
        <v>4838</v>
      </c>
      <c r="Z4049" t="str">
        <f t="shared" si="928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15"/>
        <v>40909</v>
      </c>
      <c r="D4050" s="4">
        <f t="shared" si="916"/>
        <v>0.6202185792349727</v>
      </c>
      <c r="E4050" s="3">
        <f t="shared" si="917"/>
        <v>2012</v>
      </c>
      <c r="F4050" s="3">
        <f t="shared" si="918"/>
        <v>8</v>
      </c>
      <c r="G4050" s="3">
        <f t="shared" si="919"/>
        <v>15</v>
      </c>
      <c r="H4050" s="3">
        <f t="shared" si="920"/>
        <v>9</v>
      </c>
      <c r="I4050" s="3">
        <f t="shared" si="921"/>
        <v>49</v>
      </c>
      <c r="J4050" s="3">
        <f t="shared" si="922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23"/>
        <v>YES</v>
      </c>
      <c r="Q4050" t="str">
        <f t="shared" si="924"/>
        <v>NO</v>
      </c>
      <c r="R4050" t="str">
        <f t="shared" si="925"/>
        <v>NO</v>
      </c>
      <c r="T4050" t="s">
        <v>19</v>
      </c>
      <c r="U4050" t="str">
        <f t="shared" si="926"/>
        <v>Cambridge St</v>
      </c>
      <c r="V4050" t="s">
        <v>611</v>
      </c>
      <c r="W4050" t="str">
        <f t="shared" si="927"/>
        <v>Berkshire St</v>
      </c>
      <c r="X4050" t="str">
        <f>IF(ISBLANK(S4050),"Intersection","Non-Intersection")</f>
        <v>Intersection</v>
      </c>
      <c r="Y4050" t="s">
        <v>779</v>
      </c>
      <c r="Z4050" t="str">
        <f t="shared" si="928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15"/>
        <v>40909</v>
      </c>
      <c r="D4051" s="4">
        <f t="shared" si="916"/>
        <v>0.6202185792349727</v>
      </c>
      <c r="E4051" s="3">
        <f t="shared" si="917"/>
        <v>2012</v>
      </c>
      <c r="F4051" s="3">
        <f t="shared" si="918"/>
        <v>8</v>
      </c>
      <c r="G4051" s="3">
        <f t="shared" si="919"/>
        <v>15</v>
      </c>
      <c r="H4051" s="3">
        <f t="shared" si="920"/>
        <v>10</v>
      </c>
      <c r="I4051" s="3">
        <f t="shared" si="921"/>
        <v>5</v>
      </c>
      <c r="J4051" s="3">
        <f t="shared" si="922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23"/>
        <v>YES</v>
      </c>
      <c r="Q4051" t="str">
        <f t="shared" si="924"/>
        <v>NO</v>
      </c>
      <c r="R4051" t="str">
        <f t="shared" si="925"/>
        <v>NO</v>
      </c>
      <c r="T4051" t="s">
        <v>19</v>
      </c>
      <c r="U4051" t="str">
        <f t="shared" si="926"/>
        <v>Cambridge St</v>
      </c>
      <c r="V4051" t="s">
        <v>993</v>
      </c>
      <c r="W4051" t="str">
        <f t="shared" si="927"/>
        <v>Fifth St</v>
      </c>
      <c r="X4051" t="str">
        <f>IF(ISBLANK(S4051),"Intersection","Non-Intersection")</f>
        <v>Intersection</v>
      </c>
      <c r="Y4051" t="s">
        <v>1636</v>
      </c>
      <c r="Z4051" t="str">
        <f t="shared" si="928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15"/>
        <v>40909</v>
      </c>
      <c r="D4052" s="4">
        <f t="shared" si="916"/>
        <v>0.6202185792349727</v>
      </c>
      <c r="E4052" s="3">
        <f t="shared" si="917"/>
        <v>2012</v>
      </c>
      <c r="F4052" s="3">
        <f t="shared" si="918"/>
        <v>8</v>
      </c>
      <c r="G4052" s="3">
        <f t="shared" si="919"/>
        <v>15</v>
      </c>
      <c r="H4052" s="3">
        <f t="shared" si="920"/>
        <v>9</v>
      </c>
      <c r="I4052" s="3">
        <f t="shared" si="921"/>
        <v>0</v>
      </c>
      <c r="J4052" s="3">
        <f t="shared" si="922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23"/>
        <v>YES</v>
      </c>
      <c r="Q4052" t="str">
        <f t="shared" si="924"/>
        <v>NO</v>
      </c>
      <c r="R4052" t="str">
        <f t="shared" si="925"/>
        <v>NO</v>
      </c>
      <c r="S4052">
        <v>28</v>
      </c>
      <c r="T4052" t="s">
        <v>326</v>
      </c>
      <c r="U4052" t="str">
        <f t="shared" si="926"/>
        <v>Jfk St</v>
      </c>
      <c r="W4052" t="str">
        <f t="shared" si="927"/>
        <v/>
      </c>
      <c r="X4052" t="str">
        <f>IF(ISBLANK(S4052),"Intersection","Non-Intersection")</f>
        <v>Non-Intersection</v>
      </c>
      <c r="Y4052" t="s">
        <v>4840</v>
      </c>
      <c r="Z4052" t="str">
        <f t="shared" si="928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15"/>
        <v>40909</v>
      </c>
      <c r="D4053" s="4">
        <f t="shared" si="916"/>
        <v>0.6202185792349727</v>
      </c>
      <c r="E4053" s="3">
        <f t="shared" si="917"/>
        <v>2012</v>
      </c>
      <c r="F4053" s="3">
        <f t="shared" si="918"/>
        <v>8</v>
      </c>
      <c r="G4053" s="3">
        <f t="shared" si="919"/>
        <v>15</v>
      </c>
      <c r="H4053" s="3">
        <f t="shared" si="920"/>
        <v>13</v>
      </c>
      <c r="I4053" s="3">
        <f t="shared" si="921"/>
        <v>41</v>
      </c>
      <c r="J4053" s="3">
        <f t="shared" si="922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23"/>
        <v>YES</v>
      </c>
      <c r="Q4053" t="str">
        <f t="shared" si="924"/>
        <v>NO</v>
      </c>
      <c r="R4053" t="str">
        <f t="shared" si="925"/>
        <v>NO</v>
      </c>
      <c r="S4053">
        <v>330</v>
      </c>
      <c r="T4053" t="s">
        <v>198</v>
      </c>
      <c r="U4053" t="str">
        <f t="shared" si="926"/>
        <v>Mount Auburn St</v>
      </c>
      <c r="W4053" t="str">
        <f t="shared" si="927"/>
        <v/>
      </c>
      <c r="X4053" t="str">
        <f>IF(ISBLANK(S4053),"Intersection","Non-Intersection")</f>
        <v>Non-Intersection</v>
      </c>
      <c r="Y4053" t="s">
        <v>1488</v>
      </c>
      <c r="Z4053" t="str">
        <f t="shared" si="928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15"/>
        <v>40909</v>
      </c>
      <c r="D4054" s="4">
        <f t="shared" si="916"/>
        <v>0.6202185792349727</v>
      </c>
      <c r="E4054" s="3">
        <f t="shared" si="917"/>
        <v>2012</v>
      </c>
      <c r="F4054" s="3">
        <f t="shared" si="918"/>
        <v>8</v>
      </c>
      <c r="G4054" s="3">
        <f t="shared" si="919"/>
        <v>15</v>
      </c>
      <c r="H4054" s="3">
        <f t="shared" si="920"/>
        <v>19</v>
      </c>
      <c r="I4054" s="3">
        <f t="shared" si="921"/>
        <v>44</v>
      </c>
      <c r="J4054" s="3">
        <f t="shared" si="922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23"/>
        <v>YES</v>
      </c>
      <c r="Q4054" t="str">
        <f t="shared" si="924"/>
        <v>YES</v>
      </c>
      <c r="R4054" t="str">
        <f t="shared" si="925"/>
        <v>NO</v>
      </c>
      <c r="T4054" t="s">
        <v>14</v>
      </c>
      <c r="U4054" t="str">
        <f t="shared" si="926"/>
        <v>Massachusetts Ave</v>
      </c>
      <c r="V4054" t="s">
        <v>342</v>
      </c>
      <c r="W4054" t="str">
        <f t="shared" si="927"/>
        <v>Prospect St</v>
      </c>
      <c r="X4054" t="str">
        <f>IF(ISBLANK(S4054),"Intersection","Non-Intersection")</f>
        <v>Intersection</v>
      </c>
      <c r="Y4054" t="s">
        <v>2590</v>
      </c>
      <c r="Z4054" t="str">
        <f t="shared" si="928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15"/>
        <v>40909</v>
      </c>
      <c r="D4055" s="4">
        <f t="shared" si="916"/>
        <v>0.6202185792349727</v>
      </c>
      <c r="E4055" s="3">
        <f t="shared" si="917"/>
        <v>2012</v>
      </c>
      <c r="F4055" s="3">
        <f t="shared" si="918"/>
        <v>8</v>
      </c>
      <c r="G4055" s="3">
        <f t="shared" si="919"/>
        <v>15</v>
      </c>
      <c r="H4055" s="3">
        <f t="shared" si="920"/>
        <v>9</v>
      </c>
      <c r="I4055" s="3">
        <f t="shared" si="921"/>
        <v>0</v>
      </c>
      <c r="J4055" s="3">
        <f t="shared" si="922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23"/>
        <v>YES</v>
      </c>
      <c r="Q4055" t="str">
        <f t="shared" si="924"/>
        <v>NO</v>
      </c>
      <c r="R4055" t="str">
        <f t="shared" si="925"/>
        <v>YES</v>
      </c>
      <c r="S4055">
        <v>300</v>
      </c>
      <c r="T4055" t="s">
        <v>209</v>
      </c>
      <c r="U4055" t="str">
        <f t="shared" si="926"/>
        <v>Binney St</v>
      </c>
      <c r="W4055" t="str">
        <f t="shared" si="927"/>
        <v/>
      </c>
      <c r="X4055" t="str">
        <f>IF(ISBLANK(S4055),"Intersection","Non-Intersection")</f>
        <v>Non-Intersection</v>
      </c>
      <c r="Y4055" t="s">
        <v>4842</v>
      </c>
      <c r="Z4055" t="str">
        <f t="shared" si="928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15"/>
        <v>40909</v>
      </c>
      <c r="D4056" s="4">
        <f t="shared" si="916"/>
        <v>0.62295081967213117</v>
      </c>
      <c r="E4056" s="3">
        <f t="shared" si="917"/>
        <v>2012</v>
      </c>
      <c r="F4056" s="3">
        <f t="shared" si="918"/>
        <v>8</v>
      </c>
      <c r="G4056" s="3">
        <f t="shared" si="919"/>
        <v>16</v>
      </c>
      <c r="H4056" s="3">
        <f t="shared" si="920"/>
        <v>7</v>
      </c>
      <c r="I4056" s="3">
        <f t="shared" si="921"/>
        <v>30</v>
      </c>
      <c r="J4056" s="3">
        <f t="shared" si="922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23"/>
        <v>YES</v>
      </c>
      <c r="Q4056" t="str">
        <f t="shared" si="924"/>
        <v>NO</v>
      </c>
      <c r="R4056" t="str">
        <f t="shared" si="925"/>
        <v>NO</v>
      </c>
      <c r="S4056">
        <v>1555</v>
      </c>
      <c r="T4056" t="s">
        <v>14</v>
      </c>
      <c r="U4056" t="str">
        <f t="shared" si="926"/>
        <v>Massachusetts Ave</v>
      </c>
      <c r="W4056" t="str">
        <f t="shared" si="927"/>
        <v/>
      </c>
      <c r="X4056" t="str">
        <f>IF(ISBLANK(S4056),"Intersection","Non-Intersection")</f>
        <v>Non-Intersection</v>
      </c>
      <c r="Y4056" t="s">
        <v>969</v>
      </c>
      <c r="Z4056" t="str">
        <f t="shared" si="928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15"/>
        <v>40909</v>
      </c>
      <c r="D4057" s="4">
        <f t="shared" si="916"/>
        <v>0.62295081967213117</v>
      </c>
      <c r="E4057" s="3">
        <f t="shared" si="917"/>
        <v>2012</v>
      </c>
      <c r="F4057" s="3">
        <f t="shared" si="918"/>
        <v>8</v>
      </c>
      <c r="G4057" s="3">
        <f t="shared" si="919"/>
        <v>16</v>
      </c>
      <c r="H4057" s="3">
        <f t="shared" si="920"/>
        <v>13</v>
      </c>
      <c r="I4057" s="3">
        <f t="shared" si="921"/>
        <v>15</v>
      </c>
      <c r="J4057" s="3">
        <f t="shared" si="922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23"/>
        <v>YES</v>
      </c>
      <c r="Q4057" t="str">
        <f t="shared" si="924"/>
        <v>NO</v>
      </c>
      <c r="R4057" t="str">
        <f t="shared" si="925"/>
        <v>NO</v>
      </c>
      <c r="T4057" t="s">
        <v>142</v>
      </c>
      <c r="U4057" t="str">
        <f t="shared" si="926"/>
        <v>Huron Ave</v>
      </c>
      <c r="V4057" t="s">
        <v>521</v>
      </c>
      <c r="W4057" t="str">
        <f t="shared" si="927"/>
        <v>Lakeview Ave</v>
      </c>
      <c r="X4057" t="str">
        <f>IF(ISBLANK(S4057),"Intersection","Non-Intersection")</f>
        <v>Intersection</v>
      </c>
      <c r="Y4057" t="s">
        <v>2342</v>
      </c>
      <c r="Z4057" t="str">
        <f t="shared" si="928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15"/>
        <v>40909</v>
      </c>
      <c r="D4058" s="4">
        <f t="shared" si="916"/>
        <v>0.62295081967213117</v>
      </c>
      <c r="E4058" s="3">
        <f t="shared" si="917"/>
        <v>2012</v>
      </c>
      <c r="F4058" s="3">
        <f t="shared" si="918"/>
        <v>8</v>
      </c>
      <c r="G4058" s="3">
        <f t="shared" si="919"/>
        <v>16</v>
      </c>
      <c r="H4058" s="3">
        <f t="shared" si="920"/>
        <v>20</v>
      </c>
      <c r="I4058" s="3">
        <f t="shared" si="921"/>
        <v>29</v>
      </c>
      <c r="J4058" s="3">
        <f t="shared" si="922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23"/>
        <v>YES</v>
      </c>
      <c r="Q4058" t="str">
        <f t="shared" si="924"/>
        <v>NO</v>
      </c>
      <c r="R4058" t="str">
        <f t="shared" si="925"/>
        <v>NO</v>
      </c>
      <c r="T4058" t="s">
        <v>105</v>
      </c>
      <c r="U4058" t="str">
        <f t="shared" si="926"/>
        <v>Broadway</v>
      </c>
      <c r="V4058" t="s">
        <v>342</v>
      </c>
      <c r="W4058" t="str">
        <f t="shared" si="927"/>
        <v>Prospect St</v>
      </c>
      <c r="X4058" t="str">
        <f>IF(ISBLANK(S4058),"Intersection","Non-Intersection")</f>
        <v>Intersection</v>
      </c>
      <c r="Y4058" t="s">
        <v>343</v>
      </c>
      <c r="Z4058" t="str">
        <f t="shared" si="928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15"/>
        <v>40909</v>
      </c>
      <c r="D4059" s="4">
        <f t="shared" si="916"/>
        <v>0.62568306010928965</v>
      </c>
      <c r="E4059" s="3">
        <f t="shared" si="917"/>
        <v>2012</v>
      </c>
      <c r="F4059" s="3">
        <f t="shared" si="918"/>
        <v>8</v>
      </c>
      <c r="G4059" s="3">
        <f t="shared" si="919"/>
        <v>17</v>
      </c>
      <c r="H4059" s="3">
        <f t="shared" si="920"/>
        <v>12</v>
      </c>
      <c r="I4059" s="3">
        <f t="shared" si="921"/>
        <v>49</v>
      </c>
      <c r="J4059" s="3">
        <f t="shared" si="922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23"/>
        <v>YES</v>
      </c>
      <c r="Q4059" t="str">
        <f t="shared" si="924"/>
        <v>NO</v>
      </c>
      <c r="R4059" t="str">
        <f t="shared" si="925"/>
        <v>NO</v>
      </c>
      <c r="S4059">
        <v>292</v>
      </c>
      <c r="T4059" t="s">
        <v>19</v>
      </c>
      <c r="U4059" t="str">
        <f t="shared" si="926"/>
        <v>Cambridge St</v>
      </c>
      <c r="W4059" t="str">
        <f t="shared" si="927"/>
        <v/>
      </c>
      <c r="X4059" t="str">
        <f>IF(ISBLANK(S4059),"Intersection","Non-Intersection")</f>
        <v>Non-Intersection</v>
      </c>
      <c r="Y4059" t="s">
        <v>4532</v>
      </c>
      <c r="Z4059" t="str">
        <f t="shared" si="928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15"/>
        <v>40909</v>
      </c>
      <c r="D4060" s="4">
        <f t="shared" si="916"/>
        <v>0.62568306010928965</v>
      </c>
      <c r="E4060" s="3">
        <f t="shared" si="917"/>
        <v>2012</v>
      </c>
      <c r="F4060" s="3">
        <f t="shared" si="918"/>
        <v>8</v>
      </c>
      <c r="G4060" s="3">
        <f t="shared" si="919"/>
        <v>17</v>
      </c>
      <c r="H4060" s="3">
        <f t="shared" si="920"/>
        <v>20</v>
      </c>
      <c r="I4060" s="3">
        <f t="shared" si="921"/>
        <v>0</v>
      </c>
      <c r="J4060" s="3">
        <f t="shared" si="922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23"/>
        <v>YES</v>
      </c>
      <c r="Q4060" t="str">
        <f t="shared" si="924"/>
        <v>YES</v>
      </c>
      <c r="R4060" t="str">
        <f t="shared" si="925"/>
        <v>NO</v>
      </c>
      <c r="S4060">
        <v>711</v>
      </c>
      <c r="T4060" t="s">
        <v>142</v>
      </c>
      <c r="U4060" t="str">
        <f t="shared" si="926"/>
        <v>Huron Ave</v>
      </c>
      <c r="W4060" t="str">
        <f t="shared" si="927"/>
        <v/>
      </c>
      <c r="X4060" t="str">
        <f>IF(ISBLANK(S4060),"Intersection","Non-Intersection")</f>
        <v>Non-Intersection</v>
      </c>
      <c r="Y4060" t="s">
        <v>4844</v>
      </c>
      <c r="Z4060" t="str">
        <f t="shared" si="928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15"/>
        <v>40909</v>
      </c>
      <c r="D4061" s="4">
        <f t="shared" si="916"/>
        <v>0.62841530054644812</v>
      </c>
      <c r="E4061" s="3">
        <f t="shared" si="917"/>
        <v>2012</v>
      </c>
      <c r="F4061" s="3">
        <f t="shared" si="918"/>
        <v>8</v>
      </c>
      <c r="G4061" s="3">
        <f t="shared" si="919"/>
        <v>18</v>
      </c>
      <c r="H4061" s="3">
        <f t="shared" si="920"/>
        <v>17</v>
      </c>
      <c r="I4061" s="3">
        <f t="shared" si="921"/>
        <v>0</v>
      </c>
      <c r="J4061" s="3">
        <f t="shared" si="922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23"/>
        <v>YES</v>
      </c>
      <c r="Q4061" t="str">
        <f t="shared" si="924"/>
        <v>NO</v>
      </c>
      <c r="R4061" t="str">
        <f t="shared" si="925"/>
        <v>NO</v>
      </c>
      <c r="S4061">
        <v>201</v>
      </c>
      <c r="T4061" t="s">
        <v>75</v>
      </c>
      <c r="U4061" t="str">
        <f t="shared" si="926"/>
        <v>Elm St</v>
      </c>
      <c r="W4061" t="str">
        <f t="shared" si="927"/>
        <v/>
      </c>
      <c r="X4061" t="str">
        <f>IF(ISBLANK(S4061),"Intersection","Non-Intersection")</f>
        <v>Non-Intersection</v>
      </c>
      <c r="Y4061" t="s">
        <v>4846</v>
      </c>
      <c r="Z4061" t="str">
        <f t="shared" si="928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15"/>
        <v>40909</v>
      </c>
      <c r="D4062" s="4">
        <f t="shared" si="916"/>
        <v>0.62841530054644812</v>
      </c>
      <c r="E4062" s="3">
        <f t="shared" si="917"/>
        <v>2012</v>
      </c>
      <c r="F4062" s="3">
        <f t="shared" si="918"/>
        <v>8</v>
      </c>
      <c r="G4062" s="3">
        <f t="shared" si="919"/>
        <v>18</v>
      </c>
      <c r="H4062" s="3">
        <f t="shared" si="920"/>
        <v>18</v>
      </c>
      <c r="I4062" s="3">
        <f t="shared" si="921"/>
        <v>0</v>
      </c>
      <c r="J4062" s="3">
        <f t="shared" si="922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23"/>
        <v>NO</v>
      </c>
      <c r="Q4062" t="str">
        <f t="shared" si="924"/>
        <v>NO</v>
      </c>
      <c r="R4062" t="str">
        <f t="shared" si="925"/>
        <v>NO</v>
      </c>
      <c r="T4062" t="s">
        <v>14</v>
      </c>
      <c r="U4062" t="str">
        <f t="shared" si="926"/>
        <v>Massachusetts Ave</v>
      </c>
      <c r="V4062" t="s">
        <v>252</v>
      </c>
      <c r="W4062" t="str">
        <f t="shared" si="927"/>
        <v>Walden St</v>
      </c>
      <c r="X4062" t="str">
        <f>IF(ISBLANK(S4062),"Intersection","Non-Intersection")</f>
        <v>Intersection</v>
      </c>
      <c r="Y4062" t="s">
        <v>2600</v>
      </c>
      <c r="Z4062" t="str">
        <f t="shared" si="928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15"/>
        <v>40909</v>
      </c>
      <c r="D4063" s="4">
        <f t="shared" si="916"/>
        <v>0.62841530054644812</v>
      </c>
      <c r="E4063" s="3">
        <f t="shared" si="917"/>
        <v>2012</v>
      </c>
      <c r="F4063" s="3">
        <f t="shared" si="918"/>
        <v>8</v>
      </c>
      <c r="G4063" s="3">
        <f t="shared" si="919"/>
        <v>18</v>
      </c>
      <c r="H4063" s="3">
        <f t="shared" si="920"/>
        <v>20</v>
      </c>
      <c r="I4063" s="3">
        <f t="shared" si="921"/>
        <v>55</v>
      </c>
      <c r="J4063" s="3">
        <f t="shared" si="922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23"/>
        <v>YES</v>
      </c>
      <c r="Q4063" t="str">
        <f t="shared" si="924"/>
        <v>NO</v>
      </c>
      <c r="R4063" t="str">
        <f t="shared" si="925"/>
        <v>NO</v>
      </c>
      <c r="S4063">
        <v>730</v>
      </c>
      <c r="T4063" t="s">
        <v>203</v>
      </c>
      <c r="U4063" t="str">
        <f t="shared" si="926"/>
        <v>Memorial Dr</v>
      </c>
      <c r="W4063" t="str">
        <f t="shared" si="927"/>
        <v/>
      </c>
      <c r="X4063" t="str">
        <f>IF(ISBLANK(S4063),"Intersection","Non-Intersection")</f>
        <v>Non-Intersection</v>
      </c>
      <c r="Y4063" t="s">
        <v>236</v>
      </c>
      <c r="Z4063" t="str">
        <f t="shared" si="928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15"/>
        <v>40909</v>
      </c>
      <c r="D4064" s="4">
        <f t="shared" si="916"/>
        <v>0.62841530054644812</v>
      </c>
      <c r="E4064" s="3">
        <f t="shared" si="917"/>
        <v>2012</v>
      </c>
      <c r="F4064" s="3">
        <f t="shared" si="918"/>
        <v>8</v>
      </c>
      <c r="G4064" s="3">
        <f t="shared" si="919"/>
        <v>18</v>
      </c>
      <c r="H4064" s="3">
        <f t="shared" si="920"/>
        <v>9</v>
      </c>
      <c r="I4064" s="3">
        <f t="shared" si="921"/>
        <v>1</v>
      </c>
      <c r="J4064" s="3">
        <f t="shared" si="922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23"/>
        <v>YES</v>
      </c>
      <c r="Q4064" t="str">
        <f t="shared" si="924"/>
        <v>NO</v>
      </c>
      <c r="R4064" t="str">
        <f t="shared" si="925"/>
        <v>NO</v>
      </c>
      <c r="T4064" t="s">
        <v>19</v>
      </c>
      <c r="U4064" t="str">
        <f t="shared" si="926"/>
        <v>Cambridge St</v>
      </c>
      <c r="V4064" t="s">
        <v>129</v>
      </c>
      <c r="W4064" t="str">
        <f t="shared" si="927"/>
        <v>Cardinal Medeiros Ave</v>
      </c>
      <c r="X4064" t="str">
        <f>IF(ISBLANK(S4064),"Intersection","Non-Intersection")</f>
        <v>Intersection</v>
      </c>
      <c r="Y4064" t="s">
        <v>130</v>
      </c>
      <c r="Z4064" t="str">
        <f t="shared" si="928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15"/>
        <v>40909</v>
      </c>
      <c r="D4065" s="4">
        <f t="shared" si="916"/>
        <v>0.63114754098360659</v>
      </c>
      <c r="E4065" s="3">
        <f t="shared" si="917"/>
        <v>2012</v>
      </c>
      <c r="F4065" s="3">
        <f t="shared" si="918"/>
        <v>8</v>
      </c>
      <c r="G4065" s="3">
        <f t="shared" si="919"/>
        <v>19</v>
      </c>
      <c r="H4065" s="3">
        <f t="shared" si="920"/>
        <v>7</v>
      </c>
      <c r="I4065" s="3">
        <f t="shared" si="921"/>
        <v>3</v>
      </c>
      <c r="J4065" s="3">
        <f t="shared" si="922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23"/>
        <v>YES</v>
      </c>
      <c r="Q4065" t="str">
        <f t="shared" si="924"/>
        <v>NO</v>
      </c>
      <c r="R4065" t="str">
        <f t="shared" si="925"/>
        <v>NO</v>
      </c>
      <c r="T4065" t="s">
        <v>32</v>
      </c>
      <c r="U4065" t="str">
        <f t="shared" si="926"/>
        <v>Main St</v>
      </c>
      <c r="V4065" t="s">
        <v>796</v>
      </c>
      <c r="W4065" t="str">
        <f t="shared" si="927"/>
        <v>Portland St</v>
      </c>
      <c r="X4065" t="str">
        <f>IF(ISBLANK(S4065),"Intersection","Non-Intersection")</f>
        <v>Intersection</v>
      </c>
      <c r="Y4065" t="s">
        <v>932</v>
      </c>
      <c r="Z4065" t="str">
        <f t="shared" si="928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15"/>
        <v>40909</v>
      </c>
      <c r="D4066" s="4">
        <f t="shared" si="916"/>
        <v>0.63114754098360659</v>
      </c>
      <c r="E4066" s="3">
        <f t="shared" si="917"/>
        <v>2012</v>
      </c>
      <c r="F4066" s="3">
        <f t="shared" si="918"/>
        <v>8</v>
      </c>
      <c r="G4066" s="3">
        <f t="shared" si="919"/>
        <v>19</v>
      </c>
      <c r="H4066" s="3">
        <f t="shared" si="920"/>
        <v>12</v>
      </c>
      <c r="I4066" s="3">
        <f t="shared" si="921"/>
        <v>45</v>
      </c>
      <c r="J4066" s="3">
        <f t="shared" si="922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23"/>
        <v>YES</v>
      </c>
      <c r="Q4066" t="str">
        <f t="shared" si="924"/>
        <v>NO</v>
      </c>
      <c r="R4066" t="str">
        <f t="shared" si="925"/>
        <v>NO</v>
      </c>
      <c r="T4066" t="s">
        <v>70</v>
      </c>
      <c r="U4066" t="str">
        <f t="shared" si="926"/>
        <v>Pearl St</v>
      </c>
      <c r="V4066" t="s">
        <v>1119</v>
      </c>
      <c r="W4066" t="str">
        <f t="shared" si="927"/>
        <v>Cottage St</v>
      </c>
      <c r="X4066" t="str">
        <f>IF(ISBLANK(S4066),"Intersection","Non-Intersection")</f>
        <v>Intersection</v>
      </c>
      <c r="Y4066" t="s">
        <v>4848</v>
      </c>
      <c r="Z4066" t="str">
        <f t="shared" si="928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15"/>
        <v>40909</v>
      </c>
      <c r="D4067" s="4">
        <f t="shared" si="916"/>
        <v>0.63114754098360659</v>
      </c>
      <c r="E4067" s="3">
        <f t="shared" si="917"/>
        <v>2012</v>
      </c>
      <c r="F4067" s="3">
        <f t="shared" si="918"/>
        <v>8</v>
      </c>
      <c r="G4067" s="3">
        <f t="shared" si="919"/>
        <v>19</v>
      </c>
      <c r="H4067" s="3">
        <f t="shared" si="920"/>
        <v>2</v>
      </c>
      <c r="I4067" s="3">
        <f t="shared" si="921"/>
        <v>12</v>
      </c>
      <c r="J4067" s="3">
        <f t="shared" si="922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23"/>
        <v>YES</v>
      </c>
      <c r="Q4067" t="str">
        <f t="shared" si="924"/>
        <v>NO</v>
      </c>
      <c r="R4067" t="str">
        <f t="shared" si="925"/>
        <v>NO</v>
      </c>
      <c r="T4067" t="s">
        <v>209</v>
      </c>
      <c r="U4067" t="str">
        <f t="shared" si="926"/>
        <v>Binney St</v>
      </c>
      <c r="V4067" t="s">
        <v>260</v>
      </c>
      <c r="W4067" t="str">
        <f t="shared" si="927"/>
        <v>Third St</v>
      </c>
      <c r="X4067" t="str">
        <f>IF(ISBLANK(S4067),"Intersection","Non-Intersection")</f>
        <v>Intersection</v>
      </c>
      <c r="Y4067" t="s">
        <v>531</v>
      </c>
      <c r="Z4067" t="str">
        <f t="shared" si="928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15"/>
        <v>40909</v>
      </c>
      <c r="D4068" s="4">
        <f t="shared" si="916"/>
        <v>0.63387978142076506</v>
      </c>
      <c r="E4068" s="3">
        <f t="shared" si="917"/>
        <v>2012</v>
      </c>
      <c r="F4068" s="3">
        <f t="shared" si="918"/>
        <v>8</v>
      </c>
      <c r="G4068" s="3">
        <f t="shared" si="919"/>
        <v>20</v>
      </c>
      <c r="H4068" s="3">
        <f t="shared" si="920"/>
        <v>8</v>
      </c>
      <c r="I4068" s="3">
        <f t="shared" si="921"/>
        <v>29</v>
      </c>
      <c r="J4068" s="3">
        <f t="shared" si="922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23"/>
        <v>YES</v>
      </c>
      <c r="Q4068" t="str">
        <f t="shared" si="924"/>
        <v>YES</v>
      </c>
      <c r="R4068" t="str">
        <f t="shared" si="925"/>
        <v>NO</v>
      </c>
      <c r="T4068" t="s">
        <v>14</v>
      </c>
      <c r="U4068" t="str">
        <f t="shared" si="926"/>
        <v>Massachusetts Ave</v>
      </c>
      <c r="V4068" t="s">
        <v>1492</v>
      </c>
      <c r="W4068" t="str">
        <f t="shared" si="927"/>
        <v>Exeter Park</v>
      </c>
      <c r="X4068" t="str">
        <f>IF(ISBLANK(S4068),"Intersection","Non-Intersection")</f>
        <v>Intersection</v>
      </c>
      <c r="Y4068" t="s">
        <v>1493</v>
      </c>
      <c r="Z4068" t="str">
        <f t="shared" si="928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15"/>
        <v>40909</v>
      </c>
      <c r="D4069" s="4">
        <f t="shared" si="916"/>
        <v>0.63387978142076506</v>
      </c>
      <c r="E4069" s="3">
        <f t="shared" si="917"/>
        <v>2012</v>
      </c>
      <c r="F4069" s="3">
        <f t="shared" si="918"/>
        <v>8</v>
      </c>
      <c r="G4069" s="3">
        <f t="shared" si="919"/>
        <v>20</v>
      </c>
      <c r="H4069" s="3">
        <f t="shared" si="920"/>
        <v>16</v>
      </c>
      <c r="I4069" s="3">
        <f t="shared" si="921"/>
        <v>44</v>
      </c>
      <c r="J4069" s="3">
        <f t="shared" si="922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23"/>
        <v>YES</v>
      </c>
      <c r="Q4069" t="str">
        <f t="shared" si="924"/>
        <v>NO</v>
      </c>
      <c r="R4069" t="str">
        <f t="shared" si="925"/>
        <v>NO</v>
      </c>
      <c r="T4069" t="s">
        <v>342</v>
      </c>
      <c r="U4069" t="str">
        <f t="shared" si="926"/>
        <v>Prospect St</v>
      </c>
      <c r="V4069" t="s">
        <v>19</v>
      </c>
      <c r="W4069" t="str">
        <f t="shared" si="927"/>
        <v>Cambridge St</v>
      </c>
      <c r="X4069" t="str">
        <f>IF(ISBLANK(S4069),"Intersection","Non-Intersection")</f>
        <v>Intersection</v>
      </c>
      <c r="Y4069" t="s">
        <v>3214</v>
      </c>
      <c r="Z4069" t="str">
        <f t="shared" si="928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15"/>
        <v>40909</v>
      </c>
      <c r="D4070" s="4">
        <f t="shared" si="916"/>
        <v>0.63387978142076506</v>
      </c>
      <c r="E4070" s="3">
        <f t="shared" si="917"/>
        <v>2012</v>
      </c>
      <c r="F4070" s="3">
        <f t="shared" si="918"/>
        <v>8</v>
      </c>
      <c r="G4070" s="3">
        <f t="shared" si="919"/>
        <v>20</v>
      </c>
      <c r="H4070" s="3">
        <f t="shared" si="920"/>
        <v>10</v>
      </c>
      <c r="I4070" s="3">
        <f t="shared" si="921"/>
        <v>44</v>
      </c>
      <c r="J4070" s="3">
        <f t="shared" si="922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23"/>
        <v>YES</v>
      </c>
      <c r="Q4070" t="str">
        <f t="shared" si="924"/>
        <v>NO</v>
      </c>
      <c r="R4070" t="str">
        <f t="shared" si="925"/>
        <v>NO</v>
      </c>
      <c r="T4070" t="s">
        <v>186</v>
      </c>
      <c r="U4070" t="str">
        <f t="shared" si="926"/>
        <v>Concord Ave</v>
      </c>
      <c r="V4070" t="s">
        <v>142</v>
      </c>
      <c r="W4070" t="str">
        <f t="shared" si="927"/>
        <v>Huron Ave</v>
      </c>
      <c r="X4070" t="str">
        <f>IF(ISBLANK(S4070),"Intersection","Non-Intersection")</f>
        <v>Intersection</v>
      </c>
      <c r="Y4070" t="s">
        <v>3373</v>
      </c>
      <c r="Z4070" t="str">
        <f t="shared" si="928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15"/>
        <v>40909</v>
      </c>
      <c r="D4071" s="4">
        <f t="shared" si="916"/>
        <v>0.63387978142076506</v>
      </c>
      <c r="E4071" s="3">
        <f t="shared" si="917"/>
        <v>2012</v>
      </c>
      <c r="F4071" s="3">
        <f t="shared" si="918"/>
        <v>8</v>
      </c>
      <c r="G4071" s="3">
        <f t="shared" si="919"/>
        <v>20</v>
      </c>
      <c r="H4071" s="3">
        <f t="shared" si="920"/>
        <v>18</v>
      </c>
      <c r="I4071" s="3">
        <f t="shared" si="921"/>
        <v>11</v>
      </c>
      <c r="J4071" s="3">
        <f t="shared" si="922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23"/>
        <v>YES</v>
      </c>
      <c r="Q4071" t="str">
        <f t="shared" si="924"/>
        <v>YES</v>
      </c>
      <c r="R4071" t="str">
        <f t="shared" si="925"/>
        <v>NO</v>
      </c>
      <c r="T4071" t="s">
        <v>19</v>
      </c>
      <c r="U4071" t="str">
        <f t="shared" si="926"/>
        <v>Cambridge St</v>
      </c>
      <c r="V4071" t="s">
        <v>498</v>
      </c>
      <c r="W4071" t="str">
        <f t="shared" si="927"/>
        <v>Ellery St</v>
      </c>
      <c r="X4071" t="str">
        <f>IF(ISBLANK(S4071),"Intersection","Non-Intersection")</f>
        <v>Intersection</v>
      </c>
      <c r="Y4071" t="s">
        <v>2297</v>
      </c>
      <c r="Z4071" t="str">
        <f t="shared" si="928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15"/>
        <v>40909</v>
      </c>
      <c r="D4072" s="4">
        <f t="shared" si="916"/>
        <v>0.63661202185792354</v>
      </c>
      <c r="E4072" s="3">
        <f t="shared" si="917"/>
        <v>2012</v>
      </c>
      <c r="F4072" s="3">
        <f t="shared" si="918"/>
        <v>8</v>
      </c>
      <c r="G4072" s="3">
        <f t="shared" si="919"/>
        <v>21</v>
      </c>
      <c r="H4072" s="3">
        <f t="shared" si="920"/>
        <v>10</v>
      </c>
      <c r="I4072" s="3">
        <f t="shared" si="921"/>
        <v>56</v>
      </c>
      <c r="J4072" s="3">
        <f t="shared" si="922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23"/>
        <v>YES</v>
      </c>
      <c r="Q4072" t="str">
        <f t="shared" si="924"/>
        <v>YES</v>
      </c>
      <c r="R4072" t="str">
        <f t="shared" si="925"/>
        <v>NO</v>
      </c>
      <c r="T4072" t="s">
        <v>14</v>
      </c>
      <c r="U4072" t="str">
        <f t="shared" si="926"/>
        <v>Massachusetts Ave</v>
      </c>
      <c r="V4072" t="s">
        <v>203</v>
      </c>
      <c r="W4072" t="str">
        <f t="shared" si="927"/>
        <v>Memorial Dr</v>
      </c>
      <c r="X4072" t="str">
        <f>IF(ISBLANK(S4072),"Intersection","Non-Intersection")</f>
        <v>Intersection</v>
      </c>
      <c r="Y4072" t="s">
        <v>3246</v>
      </c>
      <c r="Z4072" t="str">
        <f t="shared" si="928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15"/>
        <v>40909</v>
      </c>
      <c r="D4073" s="4">
        <f t="shared" si="916"/>
        <v>0.63661202185792354</v>
      </c>
      <c r="E4073" s="3">
        <f t="shared" si="917"/>
        <v>2012</v>
      </c>
      <c r="F4073" s="3">
        <f t="shared" si="918"/>
        <v>8</v>
      </c>
      <c r="G4073" s="3">
        <f t="shared" si="919"/>
        <v>21</v>
      </c>
      <c r="H4073" s="3">
        <f t="shared" si="920"/>
        <v>17</v>
      </c>
      <c r="I4073" s="3">
        <f t="shared" si="921"/>
        <v>0</v>
      </c>
      <c r="J4073" s="3">
        <f t="shared" si="922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23"/>
        <v>YES</v>
      </c>
      <c r="Q4073" t="str">
        <f t="shared" si="924"/>
        <v>NO</v>
      </c>
      <c r="R4073" t="str">
        <f t="shared" si="925"/>
        <v>YES</v>
      </c>
      <c r="T4073" t="s">
        <v>105</v>
      </c>
      <c r="U4073" t="str">
        <f t="shared" si="926"/>
        <v>Broadway</v>
      </c>
      <c r="V4073" t="s">
        <v>387</v>
      </c>
      <c r="W4073" t="str">
        <f t="shared" si="927"/>
        <v>Antrim St</v>
      </c>
      <c r="X4073" t="str">
        <f>IF(ISBLANK(S4073),"Intersection","Non-Intersection")</f>
        <v>Intersection</v>
      </c>
      <c r="Y4073" t="s">
        <v>388</v>
      </c>
      <c r="Z4073" t="str">
        <f t="shared" si="928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15"/>
        <v>40909</v>
      </c>
      <c r="D4074" s="4">
        <f t="shared" si="916"/>
        <v>0.63661202185792354</v>
      </c>
      <c r="E4074" s="3">
        <f t="shared" si="917"/>
        <v>2012</v>
      </c>
      <c r="F4074" s="3">
        <f t="shared" si="918"/>
        <v>8</v>
      </c>
      <c r="G4074" s="3">
        <f t="shared" si="919"/>
        <v>21</v>
      </c>
      <c r="H4074" s="3">
        <f t="shared" si="920"/>
        <v>17</v>
      </c>
      <c r="I4074" s="3">
        <f t="shared" si="921"/>
        <v>39</v>
      </c>
      <c r="J4074" s="3">
        <f t="shared" si="922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23"/>
        <v>YES</v>
      </c>
      <c r="Q4074" t="str">
        <f t="shared" si="924"/>
        <v>NO</v>
      </c>
      <c r="R4074" t="str">
        <f t="shared" si="925"/>
        <v>NO</v>
      </c>
      <c r="T4074" t="s">
        <v>14</v>
      </c>
      <c r="U4074" t="str">
        <f t="shared" si="926"/>
        <v>Massachusetts Ave</v>
      </c>
      <c r="V4074" t="s">
        <v>213</v>
      </c>
      <c r="W4074" t="str">
        <f t="shared" si="927"/>
        <v>Washburn Ave</v>
      </c>
      <c r="X4074" t="str">
        <f>IF(ISBLANK(S4074),"Intersection","Non-Intersection")</f>
        <v>Intersection</v>
      </c>
      <c r="Y4074" t="s">
        <v>214</v>
      </c>
      <c r="Z4074" t="str">
        <f t="shared" si="928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15"/>
        <v>40909</v>
      </c>
      <c r="D4075" s="4">
        <f t="shared" si="916"/>
        <v>0.63934426229508201</v>
      </c>
      <c r="E4075" s="3">
        <f t="shared" si="917"/>
        <v>2012</v>
      </c>
      <c r="F4075" s="3">
        <f t="shared" si="918"/>
        <v>8</v>
      </c>
      <c r="G4075" s="3">
        <f t="shared" si="919"/>
        <v>22</v>
      </c>
      <c r="H4075" s="3">
        <f t="shared" si="920"/>
        <v>4</v>
      </c>
      <c r="I4075" s="3">
        <f t="shared" si="921"/>
        <v>5</v>
      </c>
      <c r="J4075" s="3">
        <f t="shared" si="922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23"/>
        <v>YES</v>
      </c>
      <c r="Q4075" t="str">
        <f t="shared" si="924"/>
        <v>NO</v>
      </c>
      <c r="R4075" t="str">
        <f t="shared" si="925"/>
        <v>YES</v>
      </c>
      <c r="T4075" t="s">
        <v>387</v>
      </c>
      <c r="U4075" t="str">
        <f t="shared" si="926"/>
        <v>Antrim St</v>
      </c>
      <c r="V4075" t="s">
        <v>105</v>
      </c>
      <c r="W4075" t="str">
        <f t="shared" si="927"/>
        <v>Broadway</v>
      </c>
      <c r="X4075" t="str">
        <f>IF(ISBLANK(S4075),"Intersection","Non-Intersection")</f>
        <v>Intersection</v>
      </c>
      <c r="Y4075" t="s">
        <v>4850</v>
      </c>
      <c r="Z4075" t="str">
        <f t="shared" si="928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15"/>
        <v>40909</v>
      </c>
      <c r="D4076" s="4">
        <f t="shared" si="916"/>
        <v>0.63934426229508201</v>
      </c>
      <c r="E4076" s="3">
        <f t="shared" si="917"/>
        <v>2012</v>
      </c>
      <c r="F4076" s="3">
        <f t="shared" si="918"/>
        <v>8</v>
      </c>
      <c r="G4076" s="3">
        <f t="shared" si="919"/>
        <v>22</v>
      </c>
      <c r="H4076" s="3">
        <f t="shared" si="920"/>
        <v>7</v>
      </c>
      <c r="I4076" s="3">
        <f t="shared" si="921"/>
        <v>19</v>
      </c>
      <c r="J4076" s="3">
        <f t="shared" si="922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23"/>
        <v>YES</v>
      </c>
      <c r="Q4076" t="str">
        <f t="shared" si="924"/>
        <v>NO</v>
      </c>
      <c r="R4076" t="str">
        <f t="shared" si="925"/>
        <v>NO</v>
      </c>
      <c r="S4076">
        <v>1310</v>
      </c>
      <c r="T4076" t="s">
        <v>19</v>
      </c>
      <c r="U4076" t="str">
        <f t="shared" si="926"/>
        <v>Cambridge St</v>
      </c>
      <c r="W4076" t="str">
        <f t="shared" si="927"/>
        <v/>
      </c>
      <c r="X4076" t="str">
        <f>IF(ISBLANK(S4076),"Intersection","Non-Intersection")</f>
        <v>Non-Intersection</v>
      </c>
      <c r="Y4076" t="s">
        <v>583</v>
      </c>
      <c r="Z4076" t="str">
        <f t="shared" si="928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15"/>
        <v>40909</v>
      </c>
      <c r="D4077" s="4">
        <f t="shared" si="916"/>
        <v>0.63934426229508201</v>
      </c>
      <c r="E4077" s="3">
        <f t="shared" si="917"/>
        <v>2012</v>
      </c>
      <c r="F4077" s="3">
        <f t="shared" si="918"/>
        <v>8</v>
      </c>
      <c r="G4077" s="3">
        <f t="shared" si="919"/>
        <v>22</v>
      </c>
      <c r="H4077" s="3">
        <f t="shared" si="920"/>
        <v>10</v>
      </c>
      <c r="I4077" s="3">
        <f t="shared" si="921"/>
        <v>30</v>
      </c>
      <c r="J4077" s="3">
        <f t="shared" si="922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23"/>
        <v>YES</v>
      </c>
      <c r="Q4077" t="str">
        <f t="shared" si="924"/>
        <v>YES</v>
      </c>
      <c r="R4077" t="str">
        <f t="shared" si="925"/>
        <v>NO</v>
      </c>
      <c r="S4077">
        <v>438</v>
      </c>
      <c r="T4077" t="s">
        <v>14</v>
      </c>
      <c r="U4077" t="str">
        <f t="shared" si="926"/>
        <v>Massachusetts Ave</v>
      </c>
      <c r="W4077" t="str">
        <f t="shared" si="927"/>
        <v/>
      </c>
      <c r="X4077" t="str">
        <f>IF(ISBLANK(S4077),"Intersection","Non-Intersection")</f>
        <v>Non-Intersection</v>
      </c>
      <c r="Y4077" t="s">
        <v>4851</v>
      </c>
      <c r="Z4077" t="str">
        <f t="shared" si="928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15"/>
        <v>40909</v>
      </c>
      <c r="D4078" s="4">
        <f t="shared" si="916"/>
        <v>0.63934426229508201</v>
      </c>
      <c r="E4078" s="3">
        <f t="shared" si="917"/>
        <v>2012</v>
      </c>
      <c r="F4078" s="3">
        <f t="shared" si="918"/>
        <v>8</v>
      </c>
      <c r="G4078" s="3">
        <f t="shared" si="919"/>
        <v>22</v>
      </c>
      <c r="H4078" s="3">
        <f t="shared" si="920"/>
        <v>14</v>
      </c>
      <c r="I4078" s="3">
        <f t="shared" si="921"/>
        <v>10</v>
      </c>
      <c r="J4078" s="3">
        <f t="shared" si="922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23"/>
        <v>YES</v>
      </c>
      <c r="Q4078" t="str">
        <f t="shared" si="924"/>
        <v>NO</v>
      </c>
      <c r="R4078" t="str">
        <f t="shared" si="925"/>
        <v>NO</v>
      </c>
      <c r="S4078">
        <v>20</v>
      </c>
      <c r="T4078" t="s">
        <v>325</v>
      </c>
      <c r="U4078" t="str">
        <f t="shared" si="926"/>
        <v>Eliot St</v>
      </c>
      <c r="V4078" t="s">
        <v>326</v>
      </c>
      <c r="W4078" t="str">
        <f t="shared" si="927"/>
        <v>Jfk St</v>
      </c>
      <c r="X4078" t="str">
        <f>IF(ISBLANK(S4078),"Intersection","Non-Intersection")</f>
        <v>Non-Intersection</v>
      </c>
      <c r="Y4078" t="s">
        <v>3316</v>
      </c>
      <c r="Z4078" t="str">
        <f t="shared" si="928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15"/>
        <v>40909</v>
      </c>
      <c r="D4079" s="4">
        <f t="shared" si="916"/>
        <v>0.63934426229508201</v>
      </c>
      <c r="E4079" s="3">
        <f t="shared" si="917"/>
        <v>2012</v>
      </c>
      <c r="F4079" s="3">
        <f t="shared" si="918"/>
        <v>8</v>
      </c>
      <c r="G4079" s="3">
        <f t="shared" si="919"/>
        <v>22</v>
      </c>
      <c r="H4079" s="3">
        <f t="shared" si="920"/>
        <v>14</v>
      </c>
      <c r="I4079" s="3">
        <f t="shared" si="921"/>
        <v>29</v>
      </c>
      <c r="J4079" s="3">
        <f t="shared" si="922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23"/>
        <v>YES</v>
      </c>
      <c r="Q4079" t="str">
        <f t="shared" si="924"/>
        <v>YES</v>
      </c>
      <c r="R4079" t="str">
        <f t="shared" si="925"/>
        <v>NO</v>
      </c>
      <c r="S4079">
        <v>165</v>
      </c>
      <c r="T4079" t="s">
        <v>74</v>
      </c>
      <c r="U4079" t="str">
        <f t="shared" si="926"/>
        <v>Hampshire St</v>
      </c>
      <c r="W4079" t="str">
        <f t="shared" si="927"/>
        <v/>
      </c>
      <c r="X4079" t="str">
        <f>IF(ISBLANK(S4079),"Intersection","Non-Intersection")</f>
        <v>Non-Intersection</v>
      </c>
      <c r="Y4079" t="s">
        <v>4853</v>
      </c>
      <c r="Z4079" t="str">
        <f t="shared" si="928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15"/>
        <v>40909</v>
      </c>
      <c r="D4080" s="4">
        <f t="shared" si="916"/>
        <v>0.63934426229508201</v>
      </c>
      <c r="E4080" s="3">
        <f t="shared" si="917"/>
        <v>2012</v>
      </c>
      <c r="F4080" s="3">
        <f t="shared" si="918"/>
        <v>8</v>
      </c>
      <c r="G4080" s="3">
        <f t="shared" si="919"/>
        <v>22</v>
      </c>
      <c r="H4080" s="3">
        <f t="shared" si="920"/>
        <v>23</v>
      </c>
      <c r="I4080" s="3">
        <f t="shared" si="921"/>
        <v>16</v>
      </c>
      <c r="J4080" s="3">
        <f t="shared" si="922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23"/>
        <v>YES</v>
      </c>
      <c r="Q4080" t="str">
        <f t="shared" si="924"/>
        <v>YES</v>
      </c>
      <c r="R4080" t="str">
        <f t="shared" si="925"/>
        <v>NO</v>
      </c>
      <c r="T4080" t="s">
        <v>42</v>
      </c>
      <c r="U4080" t="str">
        <f t="shared" si="926"/>
        <v>Putnam Ave</v>
      </c>
      <c r="V4080" t="s">
        <v>27</v>
      </c>
      <c r="W4080" t="str">
        <f t="shared" si="927"/>
        <v>Western Ave</v>
      </c>
      <c r="X4080" t="str">
        <f>IF(ISBLANK(S4080),"Intersection","Non-Intersection")</f>
        <v>Intersection</v>
      </c>
      <c r="Y4080" t="s">
        <v>3749</v>
      </c>
      <c r="Z4080" t="str">
        <f t="shared" si="928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15"/>
        <v>40909</v>
      </c>
      <c r="D4081" s="4">
        <f t="shared" si="916"/>
        <v>0.63934426229508201</v>
      </c>
      <c r="E4081" s="3">
        <f t="shared" si="917"/>
        <v>2012</v>
      </c>
      <c r="F4081" s="3">
        <f t="shared" si="918"/>
        <v>8</v>
      </c>
      <c r="G4081" s="3">
        <f t="shared" si="919"/>
        <v>22</v>
      </c>
      <c r="H4081" s="3">
        <f t="shared" si="920"/>
        <v>13</v>
      </c>
      <c r="I4081" s="3">
        <f t="shared" si="921"/>
        <v>30</v>
      </c>
      <c r="J4081" s="3">
        <f t="shared" si="922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23"/>
        <v>YES</v>
      </c>
      <c r="Q4081" t="str">
        <f t="shared" si="924"/>
        <v>NO</v>
      </c>
      <c r="R4081" t="str">
        <f t="shared" si="925"/>
        <v>NO</v>
      </c>
      <c r="S4081">
        <v>131</v>
      </c>
      <c r="T4081" t="s">
        <v>942</v>
      </c>
      <c r="U4081" t="str">
        <f t="shared" si="926"/>
        <v>Amory St</v>
      </c>
      <c r="W4081" t="str">
        <f t="shared" si="927"/>
        <v/>
      </c>
      <c r="X4081" t="str">
        <f>IF(ISBLANK(S4081),"Intersection","Non-Intersection")</f>
        <v>Non-Intersection</v>
      </c>
      <c r="Y4081" t="s">
        <v>4855</v>
      </c>
      <c r="Z4081" t="str">
        <f t="shared" si="928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15"/>
        <v>40909</v>
      </c>
      <c r="D4082" s="4">
        <f t="shared" si="916"/>
        <v>0.64207650273224048</v>
      </c>
      <c r="E4082" s="3">
        <f t="shared" si="917"/>
        <v>2012</v>
      </c>
      <c r="F4082" s="3">
        <f t="shared" si="918"/>
        <v>8</v>
      </c>
      <c r="G4082" s="3">
        <f t="shared" si="919"/>
        <v>23</v>
      </c>
      <c r="H4082" s="3">
        <f t="shared" si="920"/>
        <v>20</v>
      </c>
      <c r="I4082" s="3">
        <f t="shared" si="921"/>
        <v>0</v>
      </c>
      <c r="J4082" s="3">
        <f t="shared" si="922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23"/>
        <v>YES</v>
      </c>
      <c r="Q4082" t="str">
        <f t="shared" si="924"/>
        <v>NO</v>
      </c>
      <c r="R4082" t="str">
        <f t="shared" si="925"/>
        <v>NO</v>
      </c>
      <c r="S4082">
        <v>22</v>
      </c>
      <c r="T4082" t="s">
        <v>1903</v>
      </c>
      <c r="U4082" t="str">
        <f t="shared" si="926"/>
        <v>Lincoln St</v>
      </c>
      <c r="W4082" t="str">
        <f t="shared" si="927"/>
        <v/>
      </c>
      <c r="X4082" t="str">
        <f>IF(ISBLANK(S4082),"Intersection","Non-Intersection")</f>
        <v>Non-Intersection</v>
      </c>
      <c r="Y4082" t="s">
        <v>4857</v>
      </c>
      <c r="Z4082" t="str">
        <f t="shared" si="928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15"/>
        <v>40909</v>
      </c>
      <c r="D4083" s="4">
        <f t="shared" si="916"/>
        <v>0.64207650273224048</v>
      </c>
      <c r="E4083" s="3">
        <f t="shared" si="917"/>
        <v>2012</v>
      </c>
      <c r="F4083" s="3">
        <f t="shared" si="918"/>
        <v>8</v>
      </c>
      <c r="G4083" s="3">
        <f t="shared" si="919"/>
        <v>23</v>
      </c>
      <c r="H4083" s="3">
        <f t="shared" si="920"/>
        <v>8</v>
      </c>
      <c r="I4083" s="3">
        <f t="shared" si="921"/>
        <v>29</v>
      </c>
      <c r="J4083" s="3">
        <f t="shared" si="922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23"/>
        <v>YES</v>
      </c>
      <c r="Q4083" t="str">
        <f t="shared" si="924"/>
        <v>NO</v>
      </c>
      <c r="R4083" t="str">
        <f t="shared" si="925"/>
        <v>NO</v>
      </c>
      <c r="T4083" t="s">
        <v>126</v>
      </c>
      <c r="U4083" t="str">
        <f t="shared" si="926"/>
        <v>Somerville Ave</v>
      </c>
      <c r="V4083" t="s">
        <v>268</v>
      </c>
      <c r="W4083" t="str">
        <f t="shared" si="927"/>
        <v>White St</v>
      </c>
      <c r="X4083" t="str">
        <f>IF(ISBLANK(S4083),"Intersection","Non-Intersection")</f>
        <v>Intersection</v>
      </c>
      <c r="Y4083" t="s">
        <v>768</v>
      </c>
      <c r="Z4083" t="str">
        <f t="shared" si="928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15"/>
        <v>40909</v>
      </c>
      <c r="D4084" s="4">
        <f t="shared" si="916"/>
        <v>0.64207650273224048</v>
      </c>
      <c r="E4084" s="3">
        <f t="shared" si="917"/>
        <v>2012</v>
      </c>
      <c r="F4084" s="3">
        <f t="shared" si="918"/>
        <v>8</v>
      </c>
      <c r="G4084" s="3">
        <f t="shared" si="919"/>
        <v>23</v>
      </c>
      <c r="H4084" s="3">
        <f t="shared" si="920"/>
        <v>21</v>
      </c>
      <c r="I4084" s="3">
        <f t="shared" si="921"/>
        <v>30</v>
      </c>
      <c r="J4084" s="3">
        <f t="shared" si="922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23"/>
        <v>YES</v>
      </c>
      <c r="Q4084" t="str">
        <f t="shared" si="924"/>
        <v>NO</v>
      </c>
      <c r="R4084" t="str">
        <f t="shared" si="925"/>
        <v>NO</v>
      </c>
      <c r="S4084">
        <v>23</v>
      </c>
      <c r="T4084" t="s">
        <v>3455</v>
      </c>
      <c r="U4084" t="str">
        <f t="shared" si="926"/>
        <v>Harris St</v>
      </c>
      <c r="W4084" t="str">
        <f t="shared" si="927"/>
        <v/>
      </c>
      <c r="X4084" t="str">
        <f>IF(ISBLANK(S4084),"Intersection","Non-Intersection")</f>
        <v>Non-Intersection</v>
      </c>
      <c r="Y4084" t="s">
        <v>4859</v>
      </c>
      <c r="Z4084" t="str">
        <f t="shared" si="928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15"/>
        <v>40909</v>
      </c>
      <c r="D4085" s="4">
        <f t="shared" si="916"/>
        <v>0.64480874316939896</v>
      </c>
      <c r="E4085" s="3">
        <f t="shared" si="917"/>
        <v>2012</v>
      </c>
      <c r="F4085" s="3">
        <f t="shared" si="918"/>
        <v>8</v>
      </c>
      <c r="G4085" s="3">
        <f t="shared" si="919"/>
        <v>24</v>
      </c>
      <c r="H4085" s="3">
        <f t="shared" si="920"/>
        <v>8</v>
      </c>
      <c r="I4085" s="3">
        <f t="shared" si="921"/>
        <v>25</v>
      </c>
      <c r="J4085" s="3">
        <f t="shared" si="922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23"/>
        <v>YES</v>
      </c>
      <c r="Q4085" t="str">
        <f t="shared" si="924"/>
        <v>NO</v>
      </c>
      <c r="R4085" t="str">
        <f t="shared" si="925"/>
        <v>NO</v>
      </c>
      <c r="T4085" t="s">
        <v>14</v>
      </c>
      <c r="U4085" t="str">
        <f t="shared" si="926"/>
        <v>Massachusetts Ave</v>
      </c>
      <c r="V4085" t="s">
        <v>15</v>
      </c>
      <c r="W4085" t="str">
        <f t="shared" si="927"/>
        <v>Rindge Ave</v>
      </c>
      <c r="X4085" t="str">
        <f>IF(ISBLANK(S4085),"Intersection","Non-Intersection")</f>
        <v>Intersection</v>
      </c>
      <c r="Y4085" t="s">
        <v>16</v>
      </c>
      <c r="Z4085" t="str">
        <f t="shared" si="928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15"/>
        <v>40909</v>
      </c>
      <c r="D4086" s="4">
        <f t="shared" si="916"/>
        <v>0.64480874316939896</v>
      </c>
      <c r="E4086" s="3">
        <f t="shared" si="917"/>
        <v>2012</v>
      </c>
      <c r="F4086" s="3">
        <f t="shared" si="918"/>
        <v>8</v>
      </c>
      <c r="G4086" s="3">
        <f t="shared" si="919"/>
        <v>24</v>
      </c>
      <c r="H4086" s="3">
        <f t="shared" si="920"/>
        <v>8</v>
      </c>
      <c r="I4086" s="3">
        <f t="shared" si="921"/>
        <v>0</v>
      </c>
      <c r="J4086" s="3">
        <f t="shared" si="922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23"/>
        <v>YES</v>
      </c>
      <c r="Q4086" t="str">
        <f t="shared" si="924"/>
        <v>NO</v>
      </c>
      <c r="R4086" t="str">
        <f t="shared" si="925"/>
        <v>NO</v>
      </c>
      <c r="S4086">
        <v>87</v>
      </c>
      <c r="T4086" t="s">
        <v>3385</v>
      </c>
      <c r="U4086" t="str">
        <f t="shared" si="926"/>
        <v>Seventh St</v>
      </c>
      <c r="W4086" t="str">
        <f t="shared" si="927"/>
        <v/>
      </c>
      <c r="X4086" t="str">
        <f>IF(ISBLANK(S4086),"Intersection","Non-Intersection")</f>
        <v>Non-Intersection</v>
      </c>
      <c r="Y4086" t="s">
        <v>4861</v>
      </c>
      <c r="Z4086" t="str">
        <f t="shared" si="928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15"/>
        <v>40909</v>
      </c>
      <c r="D4087" s="4">
        <f t="shared" si="916"/>
        <v>0.64480874316939896</v>
      </c>
      <c r="E4087" s="3">
        <f t="shared" si="917"/>
        <v>2012</v>
      </c>
      <c r="F4087" s="3">
        <f t="shared" si="918"/>
        <v>8</v>
      </c>
      <c r="G4087" s="3">
        <f t="shared" si="919"/>
        <v>24</v>
      </c>
      <c r="H4087" s="3">
        <f t="shared" si="920"/>
        <v>9</v>
      </c>
      <c r="I4087" s="3">
        <f t="shared" si="921"/>
        <v>10</v>
      </c>
      <c r="J4087" s="3">
        <f t="shared" si="922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23"/>
        <v>YES</v>
      </c>
      <c r="Q4087" t="str">
        <f t="shared" si="924"/>
        <v>NO</v>
      </c>
      <c r="R4087" t="str">
        <f t="shared" si="925"/>
        <v>NO</v>
      </c>
      <c r="S4087">
        <v>1908</v>
      </c>
      <c r="T4087" t="s">
        <v>14</v>
      </c>
      <c r="U4087" t="str">
        <f t="shared" si="926"/>
        <v>Massachusetts Ave</v>
      </c>
      <c r="W4087" t="str">
        <f t="shared" si="927"/>
        <v/>
      </c>
      <c r="X4087" t="str">
        <f>IF(ISBLANK(S4087),"Intersection","Non-Intersection")</f>
        <v>Non-Intersection</v>
      </c>
      <c r="Y4087" t="s">
        <v>4172</v>
      </c>
      <c r="Z4087" t="str">
        <f t="shared" si="928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15"/>
        <v>40909</v>
      </c>
      <c r="D4088" s="4">
        <f t="shared" si="916"/>
        <v>0.64480874316939896</v>
      </c>
      <c r="E4088" s="3">
        <f t="shared" si="917"/>
        <v>2012</v>
      </c>
      <c r="F4088" s="3">
        <f t="shared" si="918"/>
        <v>8</v>
      </c>
      <c r="G4088" s="3">
        <f t="shared" si="919"/>
        <v>24</v>
      </c>
      <c r="H4088" s="3">
        <f t="shared" si="920"/>
        <v>16</v>
      </c>
      <c r="I4088" s="3">
        <f t="shared" si="921"/>
        <v>35</v>
      </c>
      <c r="J4088" s="3">
        <f t="shared" si="922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23"/>
        <v>YES</v>
      </c>
      <c r="Q4088" t="str">
        <f t="shared" si="924"/>
        <v>NO</v>
      </c>
      <c r="R4088" t="str">
        <f t="shared" si="925"/>
        <v>NO</v>
      </c>
      <c r="S4088">
        <v>799</v>
      </c>
      <c r="T4088" t="s">
        <v>186</v>
      </c>
      <c r="U4088" t="str">
        <f t="shared" si="926"/>
        <v>Concord Ave</v>
      </c>
      <c r="W4088" t="str">
        <f t="shared" si="927"/>
        <v/>
      </c>
      <c r="X4088" t="str">
        <f>IF(ISBLANK(S4088),"Intersection","Non-Intersection")</f>
        <v>Non-Intersection</v>
      </c>
      <c r="Y4088" t="s">
        <v>482</v>
      </c>
      <c r="Z4088" t="str">
        <f t="shared" si="928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15"/>
        <v>40909</v>
      </c>
      <c r="D4089" s="4">
        <f t="shared" si="916"/>
        <v>0.65300546448087426</v>
      </c>
      <c r="E4089" s="3">
        <f t="shared" si="917"/>
        <v>2012</v>
      </c>
      <c r="F4089" s="3">
        <f t="shared" si="918"/>
        <v>8</v>
      </c>
      <c r="G4089" s="3">
        <f t="shared" si="919"/>
        <v>27</v>
      </c>
      <c r="H4089" s="3">
        <f t="shared" si="920"/>
        <v>9</v>
      </c>
      <c r="I4089" s="3">
        <f t="shared" si="921"/>
        <v>27</v>
      </c>
      <c r="J4089" s="3">
        <f t="shared" si="922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23"/>
        <v>YES</v>
      </c>
      <c r="Q4089" t="str">
        <f t="shared" si="924"/>
        <v>NO</v>
      </c>
      <c r="R4089" t="str">
        <f t="shared" si="925"/>
        <v>NO</v>
      </c>
      <c r="S4089">
        <v>442</v>
      </c>
      <c r="T4089" t="s">
        <v>105</v>
      </c>
      <c r="U4089" t="str">
        <f t="shared" si="926"/>
        <v>Broadway</v>
      </c>
      <c r="W4089" t="str">
        <f t="shared" si="927"/>
        <v/>
      </c>
      <c r="X4089" t="str">
        <f>IF(ISBLANK(S4089),"Intersection","Non-Intersection")</f>
        <v>Non-Intersection</v>
      </c>
      <c r="Y4089" t="s">
        <v>4863</v>
      </c>
      <c r="Z4089" t="str">
        <f t="shared" si="928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15"/>
        <v>40909</v>
      </c>
      <c r="D4090" s="4">
        <f t="shared" si="916"/>
        <v>0.65300546448087426</v>
      </c>
      <c r="E4090" s="3">
        <f t="shared" si="917"/>
        <v>2012</v>
      </c>
      <c r="F4090" s="3">
        <f t="shared" si="918"/>
        <v>8</v>
      </c>
      <c r="G4090" s="3">
        <f t="shared" si="919"/>
        <v>27</v>
      </c>
      <c r="H4090" s="3">
        <f t="shared" si="920"/>
        <v>14</v>
      </c>
      <c r="I4090" s="3">
        <f t="shared" si="921"/>
        <v>15</v>
      </c>
      <c r="J4090" s="3">
        <f t="shared" si="922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23"/>
        <v>YES</v>
      </c>
      <c r="Q4090" t="str">
        <f t="shared" si="924"/>
        <v>NO</v>
      </c>
      <c r="R4090" t="str">
        <f t="shared" si="925"/>
        <v>NO</v>
      </c>
      <c r="S4090">
        <v>99</v>
      </c>
      <c r="T4090" t="s">
        <v>28</v>
      </c>
      <c r="U4090" t="str">
        <f t="shared" si="926"/>
        <v>Howard St</v>
      </c>
      <c r="W4090" t="str">
        <f t="shared" si="927"/>
        <v/>
      </c>
      <c r="X4090" t="str">
        <f>IF(ISBLANK(S4090),"Intersection","Non-Intersection")</f>
        <v>Non-Intersection</v>
      </c>
      <c r="Y4090" t="s">
        <v>4865</v>
      </c>
      <c r="Z4090" t="str">
        <f t="shared" si="928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15"/>
        <v>40909</v>
      </c>
      <c r="D4091" s="4">
        <f t="shared" si="916"/>
        <v>0.65300546448087426</v>
      </c>
      <c r="E4091" s="3">
        <f t="shared" si="917"/>
        <v>2012</v>
      </c>
      <c r="F4091" s="3">
        <f t="shared" si="918"/>
        <v>8</v>
      </c>
      <c r="G4091" s="3">
        <f t="shared" si="919"/>
        <v>27</v>
      </c>
      <c r="H4091" s="3">
        <f t="shared" si="920"/>
        <v>8</v>
      </c>
      <c r="I4091" s="3">
        <f t="shared" si="921"/>
        <v>29</v>
      </c>
      <c r="J4091" s="3">
        <f t="shared" si="922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23"/>
        <v>YES</v>
      </c>
      <c r="Q4091" t="str">
        <f t="shared" si="924"/>
        <v>NO</v>
      </c>
      <c r="R4091" t="str">
        <f t="shared" si="925"/>
        <v>NO</v>
      </c>
      <c r="T4091" t="s">
        <v>302</v>
      </c>
      <c r="U4091" t="str">
        <f t="shared" si="926"/>
        <v>Waterhouse St</v>
      </c>
      <c r="V4091" t="s">
        <v>185</v>
      </c>
      <c r="W4091" t="str">
        <f t="shared" si="927"/>
        <v>Garden St</v>
      </c>
      <c r="X4091" t="str">
        <f>IF(ISBLANK(S4091),"Intersection","Non-Intersection")</f>
        <v>Intersection</v>
      </c>
      <c r="Y4091" t="s">
        <v>4867</v>
      </c>
      <c r="Z4091" t="str">
        <f t="shared" si="928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15"/>
        <v>40909</v>
      </c>
      <c r="D4092" s="4">
        <f t="shared" si="916"/>
        <v>0.65300546448087426</v>
      </c>
      <c r="E4092" s="3">
        <f t="shared" si="917"/>
        <v>2012</v>
      </c>
      <c r="F4092" s="3">
        <f t="shared" si="918"/>
        <v>8</v>
      </c>
      <c r="G4092" s="3">
        <f t="shared" si="919"/>
        <v>27</v>
      </c>
      <c r="H4092" s="3">
        <f t="shared" si="920"/>
        <v>8</v>
      </c>
      <c r="I4092" s="3">
        <f t="shared" si="921"/>
        <v>0</v>
      </c>
      <c r="J4092" s="3">
        <f t="shared" si="922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23"/>
        <v>YES</v>
      </c>
      <c r="Q4092" t="str">
        <f t="shared" si="924"/>
        <v>YES</v>
      </c>
      <c r="R4092" t="str">
        <f t="shared" si="925"/>
        <v>NO</v>
      </c>
      <c r="T4092" t="s">
        <v>19</v>
      </c>
      <c r="U4092" t="str">
        <f t="shared" si="926"/>
        <v>Cambridge St</v>
      </c>
      <c r="V4092" t="s">
        <v>224</v>
      </c>
      <c r="W4092" t="str">
        <f t="shared" si="927"/>
        <v>Sumner Rd</v>
      </c>
      <c r="X4092" t="str">
        <f>IF(ISBLANK(S4092),"Intersection","Non-Intersection")</f>
        <v>Intersection</v>
      </c>
      <c r="Y4092" t="s">
        <v>1169</v>
      </c>
      <c r="Z4092" t="str">
        <f t="shared" si="928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15"/>
        <v>40909</v>
      </c>
      <c r="D4093" s="4">
        <f t="shared" si="916"/>
        <v>0.65300546448087426</v>
      </c>
      <c r="E4093" s="3">
        <f t="shared" si="917"/>
        <v>2012</v>
      </c>
      <c r="F4093" s="3">
        <f t="shared" si="918"/>
        <v>8</v>
      </c>
      <c r="G4093" s="3">
        <f t="shared" si="919"/>
        <v>27</v>
      </c>
      <c r="H4093" s="3">
        <f t="shared" si="920"/>
        <v>8</v>
      </c>
      <c r="I4093" s="3">
        <f t="shared" si="921"/>
        <v>45</v>
      </c>
      <c r="J4093" s="3">
        <f t="shared" si="922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23"/>
        <v>YES</v>
      </c>
      <c r="Q4093" t="str">
        <f t="shared" si="924"/>
        <v>NO</v>
      </c>
      <c r="R4093" t="str">
        <f t="shared" si="925"/>
        <v>NO</v>
      </c>
      <c r="T4093" t="s">
        <v>146</v>
      </c>
      <c r="U4093" t="str">
        <f t="shared" si="926"/>
        <v>Spring St</v>
      </c>
      <c r="V4093" t="s">
        <v>260</v>
      </c>
      <c r="W4093" t="str">
        <f t="shared" si="927"/>
        <v>Third St</v>
      </c>
      <c r="X4093" t="str">
        <f>IF(ISBLANK(S4093),"Intersection","Non-Intersection")</f>
        <v>Intersection</v>
      </c>
      <c r="Y4093" t="s">
        <v>1331</v>
      </c>
      <c r="Z4093" t="str">
        <f t="shared" si="928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15"/>
        <v>40909</v>
      </c>
      <c r="D4094" s="4">
        <f t="shared" si="916"/>
        <v>0.65300546448087426</v>
      </c>
      <c r="E4094" s="3">
        <f t="shared" si="917"/>
        <v>2012</v>
      </c>
      <c r="F4094" s="3">
        <f t="shared" si="918"/>
        <v>8</v>
      </c>
      <c r="G4094" s="3">
        <f t="shared" si="919"/>
        <v>27</v>
      </c>
      <c r="H4094" s="3">
        <f t="shared" si="920"/>
        <v>9</v>
      </c>
      <c r="I4094" s="3">
        <f t="shared" si="921"/>
        <v>34</v>
      </c>
      <c r="J4094" s="3">
        <f t="shared" si="922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23"/>
        <v>YES</v>
      </c>
      <c r="Q4094" t="str">
        <f t="shared" si="924"/>
        <v>YES</v>
      </c>
      <c r="R4094" t="str">
        <f t="shared" si="925"/>
        <v>NO</v>
      </c>
      <c r="T4094" t="s">
        <v>14</v>
      </c>
      <c r="U4094" t="str">
        <f t="shared" si="926"/>
        <v>Massachusetts Ave</v>
      </c>
      <c r="V4094" t="s">
        <v>192</v>
      </c>
      <c r="W4094" t="str">
        <f t="shared" si="927"/>
        <v>Hancock St</v>
      </c>
      <c r="X4094" t="str">
        <f>IF(ISBLANK(S4094),"Intersection","Non-Intersection")</f>
        <v>Intersection</v>
      </c>
      <c r="Y4094" t="s">
        <v>193</v>
      </c>
      <c r="Z4094" t="str">
        <f t="shared" si="928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29">EOMONTH(B4095,MONTH(B4095)*-1)+1</f>
        <v>40909</v>
      </c>
      <c r="D4095" s="4">
        <f t="shared" ref="D4095:D4157" si="930">YEARFRAC(C4095,B4095,1)</f>
        <v>0.65573770491803274</v>
      </c>
      <c r="E4095" s="3">
        <f t="shared" ref="E4095:E4157" si="931">YEAR(B4095)</f>
        <v>2012</v>
      </c>
      <c r="F4095" s="3">
        <f t="shared" ref="F4095:F4157" si="932">MONTH(B4095)</f>
        <v>8</v>
      </c>
      <c r="G4095" s="3">
        <f t="shared" ref="G4095:G4157" si="933">DAY(B4095)</f>
        <v>28</v>
      </c>
      <c r="H4095" s="3">
        <f t="shared" ref="H4095:H4157" si="934">HOUR(B4095)</f>
        <v>8</v>
      </c>
      <c r="I4095" s="3">
        <f t="shared" ref="I4095:I4157" si="935">MINUTE(B4095)</f>
        <v>45</v>
      </c>
      <c r="J4095" s="3">
        <f t="shared" ref="J4095:J4157" si="936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937">IF(OR(N4095="Auto",O4095="Auto"),"YES",IF(OR(N4095="Taxi",O4095="Taxi"),"YES",IF(OR(N4095="Van",O4095="Van"),"YES",IF(OR(N4095="Truck",O4095="Truck"),"YES","NO"))))</f>
        <v>YES</v>
      </c>
      <c r="Q4095" t="str">
        <f t="shared" ref="Q4095:Q4157" si="938">IF(OR(N4095="Bicycle",O4095="Bicycle"),"YES","NO")</f>
        <v>NO</v>
      </c>
      <c r="R4095" t="str">
        <f t="shared" ref="R4095:R4157" si="939">IF(OR(N4095="Pedestrian",O4095="Pedestrian"),"YES","NO")</f>
        <v>NO</v>
      </c>
      <c r="S4095">
        <v>175</v>
      </c>
      <c r="T4095" t="s">
        <v>453</v>
      </c>
      <c r="U4095" t="str">
        <f t="shared" si="926"/>
        <v>Brookline St</v>
      </c>
      <c r="W4095" t="str">
        <f t="shared" si="927"/>
        <v/>
      </c>
      <c r="X4095" t="str">
        <f>IF(ISBLANK(S4095),"Intersection","Non-Intersection")</f>
        <v>Non-Intersection</v>
      </c>
      <c r="Y4095" t="s">
        <v>4868</v>
      </c>
      <c r="Z4095" t="str">
        <f t="shared" si="928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29"/>
        <v>40909</v>
      </c>
      <c r="D4096" s="4">
        <f t="shared" si="930"/>
        <v>0.65573770491803274</v>
      </c>
      <c r="E4096" s="3">
        <f t="shared" si="931"/>
        <v>2012</v>
      </c>
      <c r="F4096" s="3">
        <f t="shared" si="932"/>
        <v>8</v>
      </c>
      <c r="G4096" s="3">
        <f t="shared" si="933"/>
        <v>28</v>
      </c>
      <c r="H4096" s="3">
        <f t="shared" si="934"/>
        <v>9</v>
      </c>
      <c r="I4096" s="3">
        <f t="shared" si="935"/>
        <v>17</v>
      </c>
      <c r="J4096" s="3">
        <f t="shared" si="936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937"/>
        <v>YES</v>
      </c>
      <c r="Q4096" t="str">
        <f t="shared" si="938"/>
        <v>YES</v>
      </c>
      <c r="R4096" t="str">
        <f t="shared" si="939"/>
        <v>NO</v>
      </c>
      <c r="T4096" t="s">
        <v>296</v>
      </c>
      <c r="U4096" t="str">
        <f t="shared" si="926"/>
        <v>Mason St</v>
      </c>
      <c r="V4096" t="s">
        <v>119</v>
      </c>
      <c r="W4096" t="str">
        <f t="shared" si="927"/>
        <v>Albany St</v>
      </c>
      <c r="X4096" t="str">
        <f>IF(ISBLANK(S4096),"Intersection","Non-Intersection")</f>
        <v>Intersection</v>
      </c>
      <c r="Y4096" t="s">
        <v>4870</v>
      </c>
      <c r="Z4096" t="str">
        <f t="shared" si="928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29"/>
        <v>40909</v>
      </c>
      <c r="D4097" s="4">
        <f t="shared" si="930"/>
        <v>0.65573770491803274</v>
      </c>
      <c r="E4097" s="3">
        <f t="shared" si="931"/>
        <v>2012</v>
      </c>
      <c r="F4097" s="3">
        <f t="shared" si="932"/>
        <v>8</v>
      </c>
      <c r="G4097" s="3">
        <f t="shared" si="933"/>
        <v>28</v>
      </c>
      <c r="H4097" s="3">
        <f t="shared" si="934"/>
        <v>10</v>
      </c>
      <c r="I4097" s="3">
        <f t="shared" si="935"/>
        <v>44</v>
      </c>
      <c r="J4097" s="3">
        <f t="shared" si="936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937"/>
        <v>NO</v>
      </c>
      <c r="Q4097" t="str">
        <f t="shared" si="938"/>
        <v>NO</v>
      </c>
      <c r="R4097" t="str">
        <f t="shared" si="939"/>
        <v>NO</v>
      </c>
      <c r="T4097" t="s">
        <v>19</v>
      </c>
      <c r="U4097" t="str">
        <f t="shared" si="926"/>
        <v>Cambridge St</v>
      </c>
      <c r="V4097" t="s">
        <v>1226</v>
      </c>
      <c r="W4097" t="str">
        <f t="shared" si="927"/>
        <v>Dana St</v>
      </c>
      <c r="X4097" t="str">
        <f>IF(ISBLANK(S4097),"Intersection","Non-Intersection")</f>
        <v>Intersection</v>
      </c>
      <c r="Y4097" t="s">
        <v>1727</v>
      </c>
      <c r="Z4097" t="str">
        <f t="shared" si="928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29"/>
        <v>40909</v>
      </c>
      <c r="D4098" s="4">
        <f t="shared" si="930"/>
        <v>0.65573770491803274</v>
      </c>
      <c r="E4098" s="3">
        <f t="shared" si="931"/>
        <v>2012</v>
      </c>
      <c r="F4098" s="3">
        <f t="shared" si="932"/>
        <v>8</v>
      </c>
      <c r="G4098" s="3">
        <f t="shared" si="933"/>
        <v>28</v>
      </c>
      <c r="H4098" s="3">
        <f t="shared" si="934"/>
        <v>14</v>
      </c>
      <c r="I4098" s="3">
        <f t="shared" si="935"/>
        <v>39</v>
      </c>
      <c r="J4098" s="3">
        <f t="shared" si="936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937"/>
        <v>YES</v>
      </c>
      <c r="Q4098" t="str">
        <f t="shared" si="938"/>
        <v>NO</v>
      </c>
      <c r="R4098" t="str">
        <f t="shared" si="939"/>
        <v>NO</v>
      </c>
      <c r="T4098" t="s">
        <v>1062</v>
      </c>
      <c r="U4098" t="str">
        <f t="shared" si="926"/>
        <v>Cambridgeside Pl</v>
      </c>
      <c r="V4098" t="s">
        <v>61</v>
      </c>
      <c r="W4098" t="str">
        <f t="shared" si="927"/>
        <v>First St</v>
      </c>
      <c r="X4098" t="str">
        <f>IF(ISBLANK(S4098),"Intersection","Non-Intersection")</f>
        <v>Intersection</v>
      </c>
      <c r="Y4098" t="s">
        <v>4871</v>
      </c>
      <c r="Z4098" t="str">
        <f t="shared" si="928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29"/>
        <v>40909</v>
      </c>
      <c r="D4099" s="4">
        <f t="shared" si="930"/>
        <v>0.65573770491803274</v>
      </c>
      <c r="E4099" s="3">
        <f t="shared" si="931"/>
        <v>2012</v>
      </c>
      <c r="F4099" s="3">
        <f t="shared" si="932"/>
        <v>8</v>
      </c>
      <c r="G4099" s="3">
        <f t="shared" si="933"/>
        <v>28</v>
      </c>
      <c r="H4099" s="3">
        <f t="shared" si="934"/>
        <v>16</v>
      </c>
      <c r="I4099" s="3">
        <f t="shared" si="935"/>
        <v>15</v>
      </c>
      <c r="J4099" s="3">
        <f t="shared" si="936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937"/>
        <v>YES</v>
      </c>
      <c r="Q4099" t="str">
        <f t="shared" si="938"/>
        <v>NO</v>
      </c>
      <c r="R4099" t="str">
        <f t="shared" si="939"/>
        <v>NO</v>
      </c>
      <c r="S4099">
        <v>699</v>
      </c>
      <c r="T4099" t="s">
        <v>198</v>
      </c>
      <c r="U4099" t="str">
        <f t="shared" ref="U4099:U4162" si="940">TRIM(PROPER(T4099))</f>
        <v>Mount Auburn St</v>
      </c>
      <c r="W4099" t="str">
        <f t="shared" ref="W4099:W4162" si="941">TRIM(PROPER(V4099))</f>
        <v/>
      </c>
      <c r="X4099" t="str">
        <f>IF(ISBLANK(S4099),"Intersection","Non-Intersection")</f>
        <v>Non-Intersection</v>
      </c>
      <c r="Y4099" t="s">
        <v>585</v>
      </c>
      <c r="Z4099" t="str">
        <f t="shared" ref="Z4099:Z4162" si="942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29"/>
        <v>40909</v>
      </c>
      <c r="D4100" s="4">
        <f t="shared" si="930"/>
        <v>0.65573770491803274</v>
      </c>
      <c r="E4100" s="3">
        <f t="shared" si="931"/>
        <v>2012</v>
      </c>
      <c r="F4100" s="3">
        <f t="shared" si="932"/>
        <v>8</v>
      </c>
      <c r="G4100" s="3">
        <f t="shared" si="933"/>
        <v>28</v>
      </c>
      <c r="H4100" s="3">
        <f t="shared" si="934"/>
        <v>9</v>
      </c>
      <c r="I4100" s="3">
        <f t="shared" si="935"/>
        <v>30</v>
      </c>
      <c r="J4100" s="3">
        <f t="shared" si="936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937"/>
        <v>YES</v>
      </c>
      <c r="Q4100" t="str">
        <f t="shared" si="938"/>
        <v>NO</v>
      </c>
      <c r="R4100" t="str">
        <f t="shared" si="939"/>
        <v>NO</v>
      </c>
      <c r="T4100" t="s">
        <v>14</v>
      </c>
      <c r="U4100" t="str">
        <f t="shared" si="940"/>
        <v>Massachusetts Ave</v>
      </c>
      <c r="V4100" t="s">
        <v>1032</v>
      </c>
      <c r="W4100" t="str">
        <f t="shared" si="941"/>
        <v>Meacham Rd</v>
      </c>
      <c r="X4100" t="str">
        <f>IF(ISBLANK(S4100),"Intersection","Non-Intersection")</f>
        <v>Intersection</v>
      </c>
      <c r="Y4100" t="s">
        <v>1033</v>
      </c>
      <c r="Z4100" t="str">
        <f t="shared" si="942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29"/>
        <v>40909</v>
      </c>
      <c r="D4101" s="4">
        <f t="shared" si="930"/>
        <v>0.65573770491803274</v>
      </c>
      <c r="E4101" s="3">
        <f t="shared" si="931"/>
        <v>2012</v>
      </c>
      <c r="F4101" s="3">
        <f t="shared" si="932"/>
        <v>8</v>
      </c>
      <c r="G4101" s="3">
        <f t="shared" si="933"/>
        <v>28</v>
      </c>
      <c r="H4101" s="3">
        <f t="shared" si="934"/>
        <v>8</v>
      </c>
      <c r="I4101" s="3">
        <f t="shared" si="935"/>
        <v>29</v>
      </c>
      <c r="J4101" s="3">
        <f t="shared" si="936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937"/>
        <v>YES</v>
      </c>
      <c r="Q4101" t="str">
        <f t="shared" si="938"/>
        <v>NO</v>
      </c>
      <c r="R4101" t="str">
        <f t="shared" si="939"/>
        <v>YES</v>
      </c>
      <c r="T4101" t="s">
        <v>342</v>
      </c>
      <c r="U4101" t="str">
        <f t="shared" si="940"/>
        <v>Prospect St</v>
      </c>
      <c r="W4101" t="str">
        <f t="shared" si="941"/>
        <v/>
      </c>
      <c r="X4101" t="str">
        <f>IF(ISBLANK(S4101),"Intersection","Non-Intersection")</f>
        <v>Intersection</v>
      </c>
      <c r="Y4101" t="s">
        <v>1487</v>
      </c>
      <c r="Z4101" t="str">
        <f t="shared" si="942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29"/>
        <v>40909</v>
      </c>
      <c r="D4102" s="4">
        <f t="shared" si="930"/>
        <v>0.65846994535519121</v>
      </c>
      <c r="E4102" s="3">
        <f t="shared" si="931"/>
        <v>2012</v>
      </c>
      <c r="F4102" s="3">
        <f t="shared" si="932"/>
        <v>8</v>
      </c>
      <c r="G4102" s="3">
        <f t="shared" si="933"/>
        <v>29</v>
      </c>
      <c r="H4102" s="3">
        <f t="shared" si="934"/>
        <v>12</v>
      </c>
      <c r="I4102" s="3">
        <f t="shared" si="935"/>
        <v>59</v>
      </c>
      <c r="J4102" s="3">
        <f t="shared" si="936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937"/>
        <v>YES</v>
      </c>
      <c r="Q4102" t="str">
        <f t="shared" si="938"/>
        <v>NO</v>
      </c>
      <c r="R4102" t="str">
        <f t="shared" si="939"/>
        <v>NO</v>
      </c>
      <c r="T4102" t="s">
        <v>186</v>
      </c>
      <c r="U4102" t="str">
        <f t="shared" si="940"/>
        <v>Concord Ave</v>
      </c>
      <c r="V4102" t="s">
        <v>92</v>
      </c>
      <c r="W4102" t="str">
        <f t="shared" si="941"/>
        <v>Wheeler St</v>
      </c>
      <c r="X4102" t="str">
        <f>IF(ISBLANK(S4102),"Intersection","Non-Intersection")</f>
        <v>Intersection</v>
      </c>
      <c r="Y4102" t="s">
        <v>1072</v>
      </c>
      <c r="Z4102" t="str">
        <f t="shared" si="942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29"/>
        <v>40909</v>
      </c>
      <c r="D4103" s="4">
        <f t="shared" si="930"/>
        <v>0.65846994535519121</v>
      </c>
      <c r="E4103" s="3">
        <f t="shared" si="931"/>
        <v>2012</v>
      </c>
      <c r="F4103" s="3">
        <f t="shared" si="932"/>
        <v>8</v>
      </c>
      <c r="G4103" s="3">
        <f t="shared" si="933"/>
        <v>29</v>
      </c>
      <c r="H4103" s="3">
        <f t="shared" si="934"/>
        <v>12</v>
      </c>
      <c r="I4103" s="3">
        <f t="shared" si="935"/>
        <v>45</v>
      </c>
      <c r="J4103" s="3">
        <f t="shared" si="936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937"/>
        <v>YES</v>
      </c>
      <c r="Q4103" t="str">
        <f t="shared" si="938"/>
        <v>NO</v>
      </c>
      <c r="R4103" t="str">
        <f t="shared" si="939"/>
        <v>NO</v>
      </c>
      <c r="S4103">
        <v>178</v>
      </c>
      <c r="T4103" t="s">
        <v>170</v>
      </c>
      <c r="U4103" t="str">
        <f t="shared" si="940"/>
        <v>Alewife Brook Pky</v>
      </c>
      <c r="W4103" t="str">
        <f t="shared" si="941"/>
        <v/>
      </c>
      <c r="X4103" t="str">
        <f>IF(ISBLANK(S4103),"Intersection","Non-Intersection")</f>
        <v>Non-Intersection</v>
      </c>
      <c r="Y4103" t="s">
        <v>2218</v>
      </c>
      <c r="Z4103" t="str">
        <f t="shared" si="942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29"/>
        <v>40909</v>
      </c>
      <c r="D4104" s="4">
        <f t="shared" si="930"/>
        <v>0.65846994535519121</v>
      </c>
      <c r="E4104" s="3">
        <f t="shared" si="931"/>
        <v>2012</v>
      </c>
      <c r="F4104" s="3">
        <f t="shared" si="932"/>
        <v>8</v>
      </c>
      <c r="G4104" s="3">
        <f t="shared" si="933"/>
        <v>29</v>
      </c>
      <c r="H4104" s="3">
        <f t="shared" si="934"/>
        <v>6</v>
      </c>
      <c r="I4104" s="3">
        <f t="shared" si="935"/>
        <v>34</v>
      </c>
      <c r="J4104" s="3">
        <f t="shared" si="936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937"/>
        <v>YES</v>
      </c>
      <c r="Q4104" t="str">
        <f t="shared" si="938"/>
        <v>NO</v>
      </c>
      <c r="R4104" t="str">
        <f t="shared" si="939"/>
        <v>NO</v>
      </c>
      <c r="T4104" t="s">
        <v>186</v>
      </c>
      <c r="U4104" t="str">
        <f t="shared" si="940"/>
        <v>Concord Ave</v>
      </c>
      <c r="V4104" t="s">
        <v>988</v>
      </c>
      <c r="W4104" t="str">
        <f t="shared" si="941"/>
        <v>Bond St</v>
      </c>
      <c r="X4104" t="str">
        <f>IF(ISBLANK(S4104),"Intersection","Non-Intersection")</f>
        <v>Intersection</v>
      </c>
      <c r="Y4104" t="s">
        <v>1674</v>
      </c>
      <c r="Z4104" t="str">
        <f t="shared" si="942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29"/>
        <v>40909</v>
      </c>
      <c r="D4105" s="4">
        <f t="shared" si="930"/>
        <v>0.66120218579234968</v>
      </c>
      <c r="E4105" s="3">
        <f t="shared" si="931"/>
        <v>2012</v>
      </c>
      <c r="F4105" s="3">
        <f t="shared" si="932"/>
        <v>8</v>
      </c>
      <c r="G4105" s="3">
        <f t="shared" si="933"/>
        <v>30</v>
      </c>
      <c r="H4105" s="3">
        <f t="shared" si="934"/>
        <v>6</v>
      </c>
      <c r="I4105" s="3">
        <f t="shared" si="935"/>
        <v>59</v>
      </c>
      <c r="J4105" s="3">
        <f t="shared" si="936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937"/>
        <v>YES</v>
      </c>
      <c r="Q4105" t="str">
        <f t="shared" si="938"/>
        <v>NO</v>
      </c>
      <c r="R4105" t="str">
        <f t="shared" si="939"/>
        <v>NO</v>
      </c>
      <c r="S4105">
        <v>67</v>
      </c>
      <c r="T4105" t="s">
        <v>1024</v>
      </c>
      <c r="U4105" t="str">
        <f t="shared" si="940"/>
        <v>Kinnaird St</v>
      </c>
      <c r="W4105" t="str">
        <f t="shared" si="941"/>
        <v/>
      </c>
      <c r="X4105" t="str">
        <f>IF(ISBLANK(S4105),"Intersection","Non-Intersection")</f>
        <v>Non-Intersection</v>
      </c>
      <c r="Y4105" t="s">
        <v>4872</v>
      </c>
      <c r="Z4105" t="str">
        <f t="shared" si="942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29"/>
        <v>40909</v>
      </c>
      <c r="D4106" s="4">
        <f t="shared" si="930"/>
        <v>0.66120218579234968</v>
      </c>
      <c r="E4106" s="3">
        <f t="shared" si="931"/>
        <v>2012</v>
      </c>
      <c r="F4106" s="3">
        <f t="shared" si="932"/>
        <v>8</v>
      </c>
      <c r="G4106" s="3">
        <f t="shared" si="933"/>
        <v>30</v>
      </c>
      <c r="H4106" s="3">
        <f t="shared" si="934"/>
        <v>9</v>
      </c>
      <c r="I4106" s="3">
        <f t="shared" si="935"/>
        <v>0</v>
      </c>
      <c r="J4106" s="3">
        <f t="shared" si="936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937"/>
        <v>YES</v>
      </c>
      <c r="Q4106" t="str">
        <f t="shared" si="938"/>
        <v>NO</v>
      </c>
      <c r="R4106" t="str">
        <f t="shared" si="939"/>
        <v>NO</v>
      </c>
      <c r="S4106">
        <v>50</v>
      </c>
      <c r="T4106" t="s">
        <v>124</v>
      </c>
      <c r="U4106" t="str">
        <f t="shared" si="940"/>
        <v>York St</v>
      </c>
      <c r="W4106" t="str">
        <f t="shared" si="941"/>
        <v/>
      </c>
      <c r="X4106" t="str">
        <f>IF(ISBLANK(S4106),"Intersection","Non-Intersection")</f>
        <v>Non-Intersection</v>
      </c>
      <c r="Y4106" t="s">
        <v>4874</v>
      </c>
      <c r="Z4106" t="str">
        <f t="shared" si="942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29"/>
        <v>40909</v>
      </c>
      <c r="D4107" s="4">
        <f t="shared" si="930"/>
        <v>0.66120218579234968</v>
      </c>
      <c r="E4107" s="3">
        <f t="shared" si="931"/>
        <v>2012</v>
      </c>
      <c r="F4107" s="3">
        <f t="shared" si="932"/>
        <v>8</v>
      </c>
      <c r="G4107" s="3">
        <f t="shared" si="933"/>
        <v>30</v>
      </c>
      <c r="H4107" s="3">
        <f t="shared" si="934"/>
        <v>14</v>
      </c>
      <c r="I4107" s="3">
        <f t="shared" si="935"/>
        <v>25</v>
      </c>
      <c r="J4107" s="3">
        <f t="shared" si="936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937"/>
        <v>YES</v>
      </c>
      <c r="Q4107" t="str">
        <f t="shared" si="938"/>
        <v>NO</v>
      </c>
      <c r="R4107" t="str">
        <f t="shared" si="939"/>
        <v>NO</v>
      </c>
      <c r="T4107" t="s">
        <v>142</v>
      </c>
      <c r="U4107" t="str">
        <f t="shared" si="940"/>
        <v>Huron Ave</v>
      </c>
      <c r="V4107" t="s">
        <v>464</v>
      </c>
      <c r="W4107" t="str">
        <f t="shared" si="941"/>
        <v>Aberdeen Way</v>
      </c>
      <c r="X4107" t="str">
        <f>IF(ISBLANK(S4107),"Intersection","Non-Intersection")</f>
        <v>Intersection</v>
      </c>
      <c r="Y4107" t="s">
        <v>2397</v>
      </c>
      <c r="Z4107" t="str">
        <f t="shared" si="942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29"/>
        <v>40909</v>
      </c>
      <c r="D4108" s="4">
        <f t="shared" si="930"/>
        <v>0.66120218579234968</v>
      </c>
      <c r="E4108" s="3">
        <f t="shared" si="931"/>
        <v>2012</v>
      </c>
      <c r="F4108" s="3">
        <f t="shared" si="932"/>
        <v>8</v>
      </c>
      <c r="G4108" s="3">
        <f t="shared" si="933"/>
        <v>30</v>
      </c>
      <c r="H4108" s="3">
        <f t="shared" si="934"/>
        <v>15</v>
      </c>
      <c r="I4108" s="3">
        <f t="shared" si="935"/>
        <v>1</v>
      </c>
      <c r="J4108" s="3">
        <f t="shared" si="936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937"/>
        <v>YES</v>
      </c>
      <c r="Q4108" t="str">
        <f t="shared" si="938"/>
        <v>NO</v>
      </c>
      <c r="R4108" t="str">
        <f t="shared" si="939"/>
        <v>NO</v>
      </c>
      <c r="T4108" t="s">
        <v>15</v>
      </c>
      <c r="U4108" t="str">
        <f t="shared" si="940"/>
        <v>Rindge Ave</v>
      </c>
      <c r="V4108" t="s">
        <v>170</v>
      </c>
      <c r="W4108" t="str">
        <f t="shared" si="941"/>
        <v>Alewife Brook Pky</v>
      </c>
      <c r="X4108" t="str">
        <f>IF(ISBLANK(S4108),"Intersection","Non-Intersection")</f>
        <v>Intersection</v>
      </c>
      <c r="Y4108" t="s">
        <v>2805</v>
      </c>
      <c r="Z4108" t="str">
        <f t="shared" si="942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29"/>
        <v>40909</v>
      </c>
      <c r="D4109" s="4">
        <f t="shared" si="930"/>
        <v>0.66120218579234968</v>
      </c>
      <c r="E4109" s="3">
        <f t="shared" si="931"/>
        <v>2012</v>
      </c>
      <c r="F4109" s="3">
        <f t="shared" si="932"/>
        <v>8</v>
      </c>
      <c r="G4109" s="3">
        <f t="shared" si="933"/>
        <v>30</v>
      </c>
      <c r="H4109" s="3">
        <f t="shared" si="934"/>
        <v>19</v>
      </c>
      <c r="I4109" s="3">
        <f t="shared" si="935"/>
        <v>47</v>
      </c>
      <c r="J4109" s="3">
        <f t="shared" si="936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937"/>
        <v>YES</v>
      </c>
      <c r="Q4109" t="str">
        <f t="shared" si="938"/>
        <v>NO</v>
      </c>
      <c r="R4109" t="str">
        <f t="shared" si="939"/>
        <v>NO</v>
      </c>
      <c r="T4109" t="s">
        <v>105</v>
      </c>
      <c r="U4109" t="str">
        <f t="shared" si="940"/>
        <v>Broadway</v>
      </c>
      <c r="V4109" t="s">
        <v>3980</v>
      </c>
      <c r="W4109" t="str">
        <f t="shared" si="941"/>
        <v>Dana Pl</v>
      </c>
      <c r="X4109" t="str">
        <f>IF(ISBLANK(S4109),"Intersection","Non-Intersection")</f>
        <v>Intersection</v>
      </c>
      <c r="Y4109" t="s">
        <v>4876</v>
      </c>
      <c r="Z4109" t="str">
        <f t="shared" si="942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29"/>
        <v>40909</v>
      </c>
      <c r="D4110" s="4">
        <f t="shared" si="930"/>
        <v>0.66120218579234968</v>
      </c>
      <c r="E4110" s="3">
        <f t="shared" si="931"/>
        <v>2012</v>
      </c>
      <c r="F4110" s="3">
        <f t="shared" si="932"/>
        <v>8</v>
      </c>
      <c r="G4110" s="3">
        <f t="shared" si="933"/>
        <v>30</v>
      </c>
      <c r="H4110" s="3">
        <f t="shared" si="934"/>
        <v>18</v>
      </c>
      <c r="I4110" s="3">
        <f t="shared" si="935"/>
        <v>47</v>
      </c>
      <c r="J4110" s="3">
        <f t="shared" si="936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937"/>
        <v>YES</v>
      </c>
      <c r="Q4110" t="str">
        <f t="shared" si="938"/>
        <v>NO</v>
      </c>
      <c r="R4110" t="str">
        <f t="shared" si="939"/>
        <v>NO</v>
      </c>
      <c r="T4110" t="s">
        <v>74</v>
      </c>
      <c r="U4110" t="str">
        <f t="shared" si="940"/>
        <v>Hampshire St</v>
      </c>
      <c r="V4110" t="s">
        <v>129</v>
      </c>
      <c r="W4110" t="str">
        <f t="shared" si="941"/>
        <v>Cardinal Medeiros Ave</v>
      </c>
      <c r="X4110" t="str">
        <f>IF(ISBLANK(S4110),"Intersection","Non-Intersection")</f>
        <v>Intersection</v>
      </c>
      <c r="Y4110" t="s">
        <v>4878</v>
      </c>
      <c r="Z4110" t="str">
        <f t="shared" si="942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29"/>
        <v>40909</v>
      </c>
      <c r="D4111" s="4">
        <f t="shared" si="930"/>
        <v>0.66120218579234968</v>
      </c>
      <c r="E4111" s="3">
        <f t="shared" si="931"/>
        <v>2012</v>
      </c>
      <c r="F4111" s="3">
        <f t="shared" si="932"/>
        <v>8</v>
      </c>
      <c r="G4111" s="3">
        <f t="shared" si="933"/>
        <v>30</v>
      </c>
      <c r="H4111" s="3">
        <f t="shared" si="934"/>
        <v>18</v>
      </c>
      <c r="I4111" s="3">
        <f t="shared" si="935"/>
        <v>53</v>
      </c>
      <c r="J4111" s="3">
        <f t="shared" si="936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937"/>
        <v>YES</v>
      </c>
      <c r="Q4111" t="str">
        <f t="shared" si="938"/>
        <v>NO</v>
      </c>
      <c r="R4111" t="str">
        <f t="shared" si="939"/>
        <v>NO</v>
      </c>
      <c r="T4111" t="s">
        <v>105</v>
      </c>
      <c r="U4111" t="str">
        <f t="shared" si="940"/>
        <v>Broadway</v>
      </c>
      <c r="V4111" t="s">
        <v>796</v>
      </c>
      <c r="W4111" t="str">
        <f t="shared" si="941"/>
        <v>Portland St</v>
      </c>
      <c r="X4111" t="str">
        <f>IF(ISBLANK(S4111),"Intersection","Non-Intersection")</f>
        <v>Intersection</v>
      </c>
      <c r="Y4111" t="s">
        <v>2561</v>
      </c>
      <c r="Z4111" t="str">
        <f t="shared" si="942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29"/>
        <v>40909</v>
      </c>
      <c r="D4112" s="4">
        <f t="shared" si="930"/>
        <v>0.66120218579234968</v>
      </c>
      <c r="E4112" s="3">
        <f t="shared" si="931"/>
        <v>2012</v>
      </c>
      <c r="F4112" s="3">
        <f t="shared" si="932"/>
        <v>8</v>
      </c>
      <c r="G4112" s="3">
        <f t="shared" si="933"/>
        <v>30</v>
      </c>
      <c r="H4112" s="3">
        <f t="shared" si="934"/>
        <v>20</v>
      </c>
      <c r="I4112" s="3">
        <f t="shared" si="935"/>
        <v>0</v>
      </c>
      <c r="J4112" s="3">
        <f t="shared" si="936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937"/>
        <v>YES</v>
      </c>
      <c r="Q4112" t="str">
        <f t="shared" si="938"/>
        <v>NO</v>
      </c>
      <c r="R4112" t="str">
        <f t="shared" si="939"/>
        <v>NO</v>
      </c>
      <c r="T4112" t="s">
        <v>316</v>
      </c>
      <c r="U4112" t="str">
        <f t="shared" si="940"/>
        <v>Bishop Allen Dr</v>
      </c>
      <c r="W4112" t="str">
        <f t="shared" si="941"/>
        <v/>
      </c>
      <c r="X4112" t="str">
        <f>IF(ISBLANK(S4112),"Intersection","Non-Intersection")</f>
        <v>Intersection</v>
      </c>
      <c r="Y4112" t="s">
        <v>1374</v>
      </c>
      <c r="Z4112" t="str">
        <f t="shared" si="942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29"/>
        <v>40909</v>
      </c>
      <c r="D4113" s="4">
        <f t="shared" si="930"/>
        <v>0.66120218579234968</v>
      </c>
      <c r="E4113" s="3">
        <f t="shared" si="931"/>
        <v>2012</v>
      </c>
      <c r="F4113" s="3">
        <f t="shared" si="932"/>
        <v>8</v>
      </c>
      <c r="G4113" s="3">
        <f t="shared" si="933"/>
        <v>30</v>
      </c>
      <c r="H4113" s="3">
        <f t="shared" si="934"/>
        <v>15</v>
      </c>
      <c r="I4113" s="3">
        <f t="shared" si="935"/>
        <v>47</v>
      </c>
      <c r="J4113" s="3">
        <f t="shared" si="936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937"/>
        <v>YES</v>
      </c>
      <c r="Q4113" t="str">
        <f t="shared" si="938"/>
        <v>NO</v>
      </c>
      <c r="R4113" t="str">
        <f t="shared" si="939"/>
        <v>NO</v>
      </c>
      <c r="S4113">
        <v>10</v>
      </c>
      <c r="T4113" t="s">
        <v>167</v>
      </c>
      <c r="U4113" t="str">
        <f t="shared" si="940"/>
        <v>Wendell St</v>
      </c>
      <c r="W4113" t="str">
        <f t="shared" si="941"/>
        <v/>
      </c>
      <c r="X4113" t="str">
        <f>IF(ISBLANK(S4113),"Intersection","Non-Intersection")</f>
        <v>Non-Intersection</v>
      </c>
      <c r="Y4113" t="s">
        <v>4879</v>
      </c>
      <c r="Z4113" t="str">
        <f t="shared" si="942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29"/>
        <v>40909</v>
      </c>
      <c r="D4114" s="4">
        <f t="shared" si="930"/>
        <v>0.66120218579234968</v>
      </c>
      <c r="E4114" s="3">
        <f t="shared" si="931"/>
        <v>2012</v>
      </c>
      <c r="F4114" s="3">
        <f t="shared" si="932"/>
        <v>8</v>
      </c>
      <c r="G4114" s="3">
        <f t="shared" si="933"/>
        <v>30</v>
      </c>
      <c r="H4114" s="3">
        <f t="shared" si="934"/>
        <v>11</v>
      </c>
      <c r="I4114" s="3">
        <f t="shared" si="935"/>
        <v>4</v>
      </c>
      <c r="J4114" s="3">
        <f t="shared" si="936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937"/>
        <v>YES</v>
      </c>
      <c r="Q4114" t="str">
        <f t="shared" si="938"/>
        <v>YES</v>
      </c>
      <c r="R4114" t="str">
        <f t="shared" si="939"/>
        <v>NO</v>
      </c>
      <c r="T4114" t="s">
        <v>4881</v>
      </c>
      <c r="U4114" t="str">
        <f t="shared" si="940"/>
        <v>Divinity Ave</v>
      </c>
      <c r="V4114" t="s">
        <v>238</v>
      </c>
      <c r="W4114" t="str">
        <f t="shared" si="941"/>
        <v>Kirkland St</v>
      </c>
      <c r="X4114" t="str">
        <f>IF(ISBLANK(S4114),"Intersection","Non-Intersection")</f>
        <v>Intersection</v>
      </c>
      <c r="Y4114" t="s">
        <v>4882</v>
      </c>
      <c r="Z4114" t="str">
        <f t="shared" si="942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29"/>
        <v>40909</v>
      </c>
      <c r="D4115" s="4">
        <f t="shared" si="930"/>
        <v>0.66393442622950816</v>
      </c>
      <c r="E4115" s="3">
        <f t="shared" si="931"/>
        <v>2012</v>
      </c>
      <c r="F4115" s="3">
        <f t="shared" si="932"/>
        <v>8</v>
      </c>
      <c r="G4115" s="3">
        <f t="shared" si="933"/>
        <v>31</v>
      </c>
      <c r="H4115" s="3">
        <f t="shared" si="934"/>
        <v>13</v>
      </c>
      <c r="I4115" s="3">
        <f t="shared" si="935"/>
        <v>24</v>
      </c>
      <c r="J4115" s="3">
        <f t="shared" si="936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937"/>
        <v>YES</v>
      </c>
      <c r="Q4115" t="str">
        <f t="shared" si="938"/>
        <v>NO</v>
      </c>
      <c r="R4115" t="str">
        <f t="shared" si="939"/>
        <v>NO</v>
      </c>
      <c r="S4115">
        <v>239</v>
      </c>
      <c r="T4115" t="s">
        <v>53</v>
      </c>
      <c r="U4115" t="str">
        <f t="shared" si="940"/>
        <v>Monsignor Obrien Hwy</v>
      </c>
      <c r="W4115" t="str">
        <f t="shared" si="941"/>
        <v/>
      </c>
      <c r="X4115" t="str">
        <f>IF(ISBLANK(S4115),"Intersection","Non-Intersection")</f>
        <v>Non-Intersection</v>
      </c>
      <c r="Y4115" t="s">
        <v>4884</v>
      </c>
      <c r="Z4115" t="str">
        <f t="shared" si="942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29"/>
        <v>40909</v>
      </c>
      <c r="D4116" s="4">
        <f t="shared" si="930"/>
        <v>0.66393442622950816</v>
      </c>
      <c r="E4116" s="3">
        <f t="shared" si="931"/>
        <v>2012</v>
      </c>
      <c r="F4116" s="3">
        <f t="shared" si="932"/>
        <v>8</v>
      </c>
      <c r="G4116" s="3">
        <f t="shared" si="933"/>
        <v>31</v>
      </c>
      <c r="H4116" s="3">
        <f t="shared" si="934"/>
        <v>23</v>
      </c>
      <c r="I4116" s="3">
        <f t="shared" si="935"/>
        <v>51</v>
      </c>
      <c r="J4116" s="3">
        <f t="shared" si="936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937"/>
        <v>YES</v>
      </c>
      <c r="Q4116" t="str">
        <f t="shared" si="938"/>
        <v>NO</v>
      </c>
      <c r="R4116" t="str">
        <f t="shared" si="939"/>
        <v>NO</v>
      </c>
      <c r="S4116">
        <v>247</v>
      </c>
      <c r="T4116" t="s">
        <v>185</v>
      </c>
      <c r="U4116" t="str">
        <f t="shared" si="940"/>
        <v>Garden St</v>
      </c>
      <c r="W4116" t="str">
        <f t="shared" si="941"/>
        <v/>
      </c>
      <c r="X4116" t="str">
        <f>IF(ISBLANK(S4116),"Intersection","Non-Intersection")</f>
        <v>Non-Intersection</v>
      </c>
      <c r="Y4116" t="s">
        <v>4886</v>
      </c>
      <c r="Z4116" t="str">
        <f t="shared" si="942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29"/>
        <v>40909</v>
      </c>
      <c r="D4117" s="4">
        <f t="shared" si="930"/>
        <v>0.66393442622950816</v>
      </c>
      <c r="E4117" s="3">
        <f t="shared" si="931"/>
        <v>2012</v>
      </c>
      <c r="F4117" s="3">
        <f t="shared" si="932"/>
        <v>8</v>
      </c>
      <c r="G4117" s="3">
        <f t="shared" si="933"/>
        <v>31</v>
      </c>
      <c r="H4117" s="3">
        <f t="shared" si="934"/>
        <v>11</v>
      </c>
      <c r="I4117" s="3">
        <f t="shared" si="935"/>
        <v>15</v>
      </c>
      <c r="J4117" s="3">
        <f t="shared" si="936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937"/>
        <v>YES</v>
      </c>
      <c r="Q4117" t="str">
        <f t="shared" si="938"/>
        <v>NO</v>
      </c>
      <c r="R4117" t="str">
        <f t="shared" si="939"/>
        <v>NO</v>
      </c>
      <c r="T4117" t="s">
        <v>19</v>
      </c>
      <c r="U4117" t="str">
        <f t="shared" si="940"/>
        <v>Cambridge St</v>
      </c>
      <c r="V4117" t="s">
        <v>61</v>
      </c>
      <c r="W4117" t="str">
        <f t="shared" si="941"/>
        <v>First St</v>
      </c>
      <c r="X4117" t="str">
        <f>IF(ISBLANK(S4117),"Intersection","Non-Intersection")</f>
        <v>Intersection</v>
      </c>
      <c r="Y4117" t="s">
        <v>494</v>
      </c>
      <c r="Z4117" t="str">
        <f t="shared" si="942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29"/>
        <v>40909</v>
      </c>
      <c r="D4118" s="4">
        <f t="shared" si="930"/>
        <v>0.66666666666666663</v>
      </c>
      <c r="E4118" s="3">
        <f t="shared" si="931"/>
        <v>2012</v>
      </c>
      <c r="F4118" s="3">
        <f t="shared" si="932"/>
        <v>9</v>
      </c>
      <c r="G4118" s="3">
        <f t="shared" si="933"/>
        <v>1</v>
      </c>
      <c r="H4118" s="3">
        <f t="shared" si="934"/>
        <v>14</v>
      </c>
      <c r="I4118" s="3">
        <f t="shared" si="935"/>
        <v>15</v>
      </c>
      <c r="J4118" s="3">
        <f t="shared" si="936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937"/>
        <v>YES</v>
      </c>
      <c r="Q4118" t="str">
        <f t="shared" si="938"/>
        <v>YES</v>
      </c>
      <c r="R4118" t="str">
        <f t="shared" si="939"/>
        <v>NO</v>
      </c>
      <c r="T4118" t="s">
        <v>14</v>
      </c>
      <c r="U4118" t="str">
        <f t="shared" si="940"/>
        <v>Massachusetts Ave</v>
      </c>
      <c r="V4118" t="s">
        <v>740</v>
      </c>
      <c r="W4118" t="str">
        <f t="shared" si="941"/>
        <v>Hudson St</v>
      </c>
      <c r="X4118" t="str">
        <f>IF(ISBLANK(S4118),"Intersection","Non-Intersection")</f>
        <v>Intersection</v>
      </c>
      <c r="Y4118" t="s">
        <v>4888</v>
      </c>
      <c r="Z4118" t="str">
        <f t="shared" si="942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29"/>
        <v>40909</v>
      </c>
      <c r="D4119" s="4">
        <f t="shared" si="930"/>
        <v>0.66666666666666663</v>
      </c>
      <c r="E4119" s="3">
        <f t="shared" si="931"/>
        <v>2012</v>
      </c>
      <c r="F4119" s="3">
        <f t="shared" si="932"/>
        <v>9</v>
      </c>
      <c r="G4119" s="3">
        <f t="shared" si="933"/>
        <v>1</v>
      </c>
      <c r="H4119" s="3">
        <f t="shared" si="934"/>
        <v>19</v>
      </c>
      <c r="I4119" s="3">
        <f t="shared" si="935"/>
        <v>50</v>
      </c>
      <c r="J4119" s="3">
        <f t="shared" si="936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937"/>
        <v>YES</v>
      </c>
      <c r="Q4119" t="str">
        <f t="shared" si="938"/>
        <v>NO</v>
      </c>
      <c r="R4119" t="str">
        <f t="shared" si="939"/>
        <v>NO</v>
      </c>
      <c r="T4119" t="s">
        <v>326</v>
      </c>
      <c r="U4119" t="str">
        <f t="shared" si="940"/>
        <v>Jfk St</v>
      </c>
      <c r="W4119" t="str">
        <f t="shared" si="941"/>
        <v/>
      </c>
      <c r="X4119" t="str">
        <f>IF(ISBLANK(S4119),"Intersection","Non-Intersection")</f>
        <v>Intersection</v>
      </c>
      <c r="Y4119" t="s">
        <v>2551</v>
      </c>
      <c r="Z4119" t="str">
        <f t="shared" si="942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29"/>
        <v>40909</v>
      </c>
      <c r="D4120" s="4">
        <f t="shared" si="930"/>
        <v>0.66666666666666663</v>
      </c>
      <c r="E4120" s="3">
        <f t="shared" si="931"/>
        <v>2012</v>
      </c>
      <c r="F4120" s="3">
        <f t="shared" si="932"/>
        <v>9</v>
      </c>
      <c r="G4120" s="3">
        <f t="shared" si="933"/>
        <v>1</v>
      </c>
      <c r="H4120" s="3">
        <f t="shared" si="934"/>
        <v>22</v>
      </c>
      <c r="I4120" s="3">
        <f t="shared" si="935"/>
        <v>41</v>
      </c>
      <c r="J4120" s="3">
        <f t="shared" si="936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937"/>
        <v>YES</v>
      </c>
      <c r="Q4120" t="str">
        <f t="shared" si="938"/>
        <v>NO</v>
      </c>
      <c r="R4120" t="str">
        <f t="shared" si="939"/>
        <v>NO</v>
      </c>
      <c r="S4120">
        <v>1001</v>
      </c>
      <c r="T4120" t="s">
        <v>19</v>
      </c>
      <c r="U4120" t="str">
        <f t="shared" si="940"/>
        <v>Cambridge St</v>
      </c>
      <c r="W4120" t="str">
        <f t="shared" si="941"/>
        <v/>
      </c>
      <c r="X4120" t="str">
        <f>IF(ISBLANK(S4120),"Intersection","Non-Intersection")</f>
        <v>Non-Intersection</v>
      </c>
      <c r="Y4120" t="s">
        <v>2171</v>
      </c>
      <c r="Z4120" t="str">
        <f t="shared" si="942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29"/>
        <v>40909</v>
      </c>
      <c r="D4121" s="4">
        <f t="shared" si="930"/>
        <v>0.6693989071038251</v>
      </c>
      <c r="E4121" s="3">
        <f t="shared" si="931"/>
        <v>2012</v>
      </c>
      <c r="F4121" s="3">
        <f t="shared" si="932"/>
        <v>9</v>
      </c>
      <c r="G4121" s="3">
        <f t="shared" si="933"/>
        <v>2</v>
      </c>
      <c r="H4121" s="3">
        <f t="shared" si="934"/>
        <v>13</v>
      </c>
      <c r="I4121" s="3">
        <f t="shared" si="935"/>
        <v>34</v>
      </c>
      <c r="J4121" s="3">
        <f t="shared" si="936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937"/>
        <v>YES</v>
      </c>
      <c r="Q4121" t="str">
        <f t="shared" si="938"/>
        <v>NO</v>
      </c>
      <c r="R4121" t="str">
        <f t="shared" si="939"/>
        <v>NO</v>
      </c>
      <c r="S4121">
        <v>220</v>
      </c>
      <c r="T4121" t="s">
        <v>342</v>
      </c>
      <c r="U4121" t="str">
        <f t="shared" si="940"/>
        <v>Prospect St</v>
      </c>
      <c r="W4121" t="str">
        <f t="shared" si="941"/>
        <v/>
      </c>
      <c r="X4121" t="str">
        <f>IF(ISBLANK(S4121),"Intersection","Non-Intersection")</f>
        <v>Non-Intersection</v>
      </c>
      <c r="Y4121" t="s">
        <v>4890</v>
      </c>
      <c r="Z4121" t="str">
        <f t="shared" si="942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29"/>
        <v>40909</v>
      </c>
      <c r="D4122" s="4">
        <f t="shared" si="930"/>
        <v>0.67213114754098358</v>
      </c>
      <c r="E4122" s="3">
        <f t="shared" si="931"/>
        <v>2012</v>
      </c>
      <c r="F4122" s="3">
        <f t="shared" si="932"/>
        <v>9</v>
      </c>
      <c r="G4122" s="3">
        <f t="shared" si="933"/>
        <v>3</v>
      </c>
      <c r="H4122" s="3">
        <f t="shared" si="934"/>
        <v>15</v>
      </c>
      <c r="I4122" s="3">
        <f t="shared" si="935"/>
        <v>53</v>
      </c>
      <c r="J4122" s="3">
        <f t="shared" si="936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937"/>
        <v>YES</v>
      </c>
      <c r="Q4122" t="str">
        <f t="shared" si="938"/>
        <v>NO</v>
      </c>
      <c r="R4122" t="str">
        <f t="shared" si="939"/>
        <v>NO</v>
      </c>
      <c r="T4122" t="s">
        <v>1438</v>
      </c>
      <c r="U4122" t="str">
        <f t="shared" si="940"/>
        <v>Dunster St</v>
      </c>
      <c r="V4122" t="s">
        <v>198</v>
      </c>
      <c r="W4122" t="str">
        <f t="shared" si="941"/>
        <v>Mount Auburn St</v>
      </c>
      <c r="X4122" t="str">
        <f>IF(ISBLANK(S4122),"Intersection","Non-Intersection")</f>
        <v>Intersection</v>
      </c>
      <c r="Y4122" t="s">
        <v>1786</v>
      </c>
      <c r="Z4122" t="str">
        <f t="shared" si="942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29"/>
        <v>40909</v>
      </c>
      <c r="D4123" s="4">
        <f t="shared" si="930"/>
        <v>0.67213114754098358</v>
      </c>
      <c r="E4123" s="3">
        <f t="shared" si="931"/>
        <v>2012</v>
      </c>
      <c r="F4123" s="3">
        <f t="shared" si="932"/>
        <v>9</v>
      </c>
      <c r="G4123" s="3">
        <f t="shared" si="933"/>
        <v>3</v>
      </c>
      <c r="H4123" s="3">
        <f t="shared" si="934"/>
        <v>17</v>
      </c>
      <c r="I4123" s="3">
        <f t="shared" si="935"/>
        <v>29</v>
      </c>
      <c r="J4123" s="3">
        <f t="shared" si="936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937"/>
        <v>YES</v>
      </c>
      <c r="Q4123" t="str">
        <f t="shared" si="938"/>
        <v>NO</v>
      </c>
      <c r="R4123" t="str">
        <f t="shared" si="939"/>
        <v>NO</v>
      </c>
      <c r="S4123">
        <v>238</v>
      </c>
      <c r="T4123" t="s">
        <v>101</v>
      </c>
      <c r="U4123" t="str">
        <f t="shared" si="940"/>
        <v>Columbia St</v>
      </c>
      <c r="W4123" t="str">
        <f t="shared" si="941"/>
        <v/>
      </c>
      <c r="X4123" t="str">
        <f>IF(ISBLANK(S4123),"Intersection","Non-Intersection")</f>
        <v>Non-Intersection</v>
      </c>
      <c r="Y4123" t="s">
        <v>661</v>
      </c>
      <c r="Z4123" t="str">
        <f t="shared" si="942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29"/>
        <v>40909</v>
      </c>
      <c r="D4124" s="4">
        <f t="shared" si="930"/>
        <v>0.67213114754098358</v>
      </c>
      <c r="E4124" s="3">
        <f t="shared" si="931"/>
        <v>2012</v>
      </c>
      <c r="F4124" s="3">
        <f t="shared" si="932"/>
        <v>9</v>
      </c>
      <c r="G4124" s="3">
        <f t="shared" si="933"/>
        <v>3</v>
      </c>
      <c r="H4124" s="3">
        <f t="shared" si="934"/>
        <v>6</v>
      </c>
      <c r="I4124" s="3">
        <f t="shared" si="935"/>
        <v>55</v>
      </c>
      <c r="J4124" s="3">
        <f t="shared" si="936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937"/>
        <v>YES</v>
      </c>
      <c r="Q4124" t="str">
        <f t="shared" si="938"/>
        <v>NO</v>
      </c>
      <c r="R4124" t="str">
        <f t="shared" si="939"/>
        <v>NO</v>
      </c>
      <c r="U4124" t="str">
        <f t="shared" si="940"/>
        <v/>
      </c>
      <c r="W4124" t="str">
        <f t="shared" si="941"/>
        <v/>
      </c>
      <c r="X4124" t="str">
        <f>IF(ISBLANK(S4124),"Intersection","Non-Intersection")</f>
        <v>Intersection</v>
      </c>
      <c r="Y4124" t="s">
        <v>717</v>
      </c>
      <c r="Z4124" t="str">
        <f t="shared" si="942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29"/>
        <v>40909</v>
      </c>
      <c r="D4125" s="4">
        <f t="shared" si="930"/>
        <v>0.67213114754098358</v>
      </c>
      <c r="E4125" s="3">
        <f t="shared" si="931"/>
        <v>2012</v>
      </c>
      <c r="F4125" s="3">
        <f t="shared" si="932"/>
        <v>9</v>
      </c>
      <c r="G4125" s="3">
        <f t="shared" si="933"/>
        <v>3</v>
      </c>
      <c r="H4125" s="3">
        <f t="shared" si="934"/>
        <v>17</v>
      </c>
      <c r="I4125" s="3">
        <f t="shared" si="935"/>
        <v>0</v>
      </c>
      <c r="J4125" s="3">
        <f t="shared" si="936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937"/>
        <v>NO</v>
      </c>
      <c r="Q4125" t="str">
        <f t="shared" si="938"/>
        <v>NO</v>
      </c>
      <c r="R4125" t="str">
        <f t="shared" si="939"/>
        <v>NO</v>
      </c>
      <c r="S4125">
        <v>55</v>
      </c>
      <c r="T4125" t="s">
        <v>2060</v>
      </c>
      <c r="U4125" t="str">
        <f t="shared" si="940"/>
        <v>Harvey St</v>
      </c>
      <c r="W4125" t="str">
        <f t="shared" si="941"/>
        <v/>
      </c>
      <c r="X4125" t="str">
        <f>IF(ISBLANK(S4125),"Intersection","Non-Intersection")</f>
        <v>Non-Intersection</v>
      </c>
      <c r="Y4125" t="s">
        <v>4892</v>
      </c>
      <c r="Z4125" t="str">
        <f t="shared" si="942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29"/>
        <v>40909</v>
      </c>
      <c r="D4126" s="4">
        <f t="shared" si="930"/>
        <v>0.67213114754098358</v>
      </c>
      <c r="E4126" s="3">
        <f t="shared" si="931"/>
        <v>2012</v>
      </c>
      <c r="F4126" s="3">
        <f t="shared" si="932"/>
        <v>9</v>
      </c>
      <c r="G4126" s="3">
        <f t="shared" si="933"/>
        <v>3</v>
      </c>
      <c r="H4126" s="3">
        <f t="shared" si="934"/>
        <v>12</v>
      </c>
      <c r="I4126" s="3">
        <f t="shared" si="935"/>
        <v>0</v>
      </c>
      <c r="J4126" s="3">
        <f t="shared" si="936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937"/>
        <v>YES</v>
      </c>
      <c r="Q4126" t="str">
        <f t="shared" si="938"/>
        <v>NO</v>
      </c>
      <c r="R4126" t="str">
        <f t="shared" si="939"/>
        <v>NO</v>
      </c>
      <c r="S4126">
        <v>71</v>
      </c>
      <c r="T4126" t="s">
        <v>760</v>
      </c>
      <c r="U4126" t="str">
        <f t="shared" si="940"/>
        <v>Fulkerson St</v>
      </c>
      <c r="W4126" t="str">
        <f t="shared" si="941"/>
        <v/>
      </c>
      <c r="X4126" t="str">
        <f>IF(ISBLANK(S4126),"Intersection","Non-Intersection")</f>
        <v>Non-Intersection</v>
      </c>
      <c r="Y4126" t="s">
        <v>1080</v>
      </c>
      <c r="Z4126" t="str">
        <f t="shared" si="942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29"/>
        <v>40909</v>
      </c>
      <c r="D4127" s="4">
        <f t="shared" si="930"/>
        <v>0.67486338797814205</v>
      </c>
      <c r="E4127" s="3">
        <f t="shared" si="931"/>
        <v>2012</v>
      </c>
      <c r="F4127" s="3">
        <f t="shared" si="932"/>
        <v>9</v>
      </c>
      <c r="G4127" s="3">
        <f t="shared" si="933"/>
        <v>4</v>
      </c>
      <c r="H4127" s="3">
        <f t="shared" si="934"/>
        <v>8</v>
      </c>
      <c r="I4127" s="3">
        <f t="shared" si="935"/>
        <v>12</v>
      </c>
      <c r="J4127" s="3">
        <f t="shared" si="936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937"/>
        <v>YES</v>
      </c>
      <c r="Q4127" t="str">
        <f t="shared" si="938"/>
        <v>NO</v>
      </c>
      <c r="R4127" t="str">
        <f t="shared" si="939"/>
        <v>NO</v>
      </c>
      <c r="T4127" t="s">
        <v>147</v>
      </c>
      <c r="U4127" t="str">
        <f t="shared" si="940"/>
        <v>Sixth St</v>
      </c>
      <c r="V4127" t="s">
        <v>60</v>
      </c>
      <c r="W4127" t="str">
        <f t="shared" si="941"/>
        <v>Rogers St</v>
      </c>
      <c r="X4127" t="str">
        <f>IF(ISBLANK(S4127),"Intersection","Non-Intersection")</f>
        <v>Intersection</v>
      </c>
      <c r="Y4127" t="s">
        <v>1424</v>
      </c>
      <c r="Z4127" t="str">
        <f t="shared" si="942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29"/>
        <v>40909</v>
      </c>
      <c r="D4128" s="4">
        <f t="shared" si="930"/>
        <v>0.67486338797814205</v>
      </c>
      <c r="E4128" s="3">
        <f t="shared" si="931"/>
        <v>2012</v>
      </c>
      <c r="F4128" s="3">
        <f t="shared" si="932"/>
        <v>9</v>
      </c>
      <c r="G4128" s="3">
        <f t="shared" si="933"/>
        <v>4</v>
      </c>
      <c r="H4128" s="3">
        <f t="shared" si="934"/>
        <v>12</v>
      </c>
      <c r="I4128" s="3">
        <f t="shared" si="935"/>
        <v>59</v>
      </c>
      <c r="J4128" s="3">
        <f t="shared" si="936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937"/>
        <v>YES</v>
      </c>
      <c r="Q4128" t="str">
        <f t="shared" si="938"/>
        <v>NO</v>
      </c>
      <c r="R4128" t="str">
        <f t="shared" si="939"/>
        <v>NO</v>
      </c>
      <c r="S4128">
        <v>748</v>
      </c>
      <c r="T4128" t="s">
        <v>203</v>
      </c>
      <c r="U4128" t="str">
        <f t="shared" si="940"/>
        <v>Memorial Dr</v>
      </c>
      <c r="W4128" t="str">
        <f t="shared" si="941"/>
        <v/>
      </c>
      <c r="X4128" t="str">
        <f>IF(ISBLANK(S4128),"Intersection","Non-Intersection")</f>
        <v>Non-Intersection</v>
      </c>
      <c r="Y4128" t="s">
        <v>1731</v>
      </c>
      <c r="Z4128" t="str">
        <f t="shared" si="942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29"/>
        <v>40909</v>
      </c>
      <c r="D4129" s="4">
        <f t="shared" si="930"/>
        <v>0.67486338797814205</v>
      </c>
      <c r="E4129" s="3">
        <f t="shared" si="931"/>
        <v>2012</v>
      </c>
      <c r="F4129" s="3">
        <f t="shared" si="932"/>
        <v>9</v>
      </c>
      <c r="G4129" s="3">
        <f t="shared" si="933"/>
        <v>4</v>
      </c>
      <c r="H4129" s="3">
        <f t="shared" si="934"/>
        <v>14</v>
      </c>
      <c r="I4129" s="3">
        <f t="shared" si="935"/>
        <v>45</v>
      </c>
      <c r="J4129" s="3">
        <f t="shared" si="936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937"/>
        <v>YES</v>
      </c>
      <c r="Q4129" t="str">
        <f t="shared" si="938"/>
        <v>NO</v>
      </c>
      <c r="R4129" t="str">
        <f t="shared" si="939"/>
        <v>NO</v>
      </c>
      <c r="T4129" t="s">
        <v>14</v>
      </c>
      <c r="U4129" t="str">
        <f t="shared" si="940"/>
        <v>Massachusetts Ave</v>
      </c>
      <c r="V4129" t="s">
        <v>745</v>
      </c>
      <c r="W4129" t="str">
        <f t="shared" si="941"/>
        <v>Norfolk St</v>
      </c>
      <c r="X4129" t="str">
        <f>IF(ISBLANK(S4129),"Intersection","Non-Intersection")</f>
        <v>Intersection</v>
      </c>
      <c r="Y4129" t="s">
        <v>873</v>
      </c>
      <c r="Z4129" t="str">
        <f t="shared" si="942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29"/>
        <v>40909</v>
      </c>
      <c r="D4130" s="4">
        <f t="shared" si="930"/>
        <v>0.67486338797814205</v>
      </c>
      <c r="E4130" s="3">
        <f t="shared" si="931"/>
        <v>2012</v>
      </c>
      <c r="F4130" s="3">
        <f t="shared" si="932"/>
        <v>9</v>
      </c>
      <c r="G4130" s="3">
        <f t="shared" si="933"/>
        <v>4</v>
      </c>
      <c r="H4130" s="3">
        <f t="shared" si="934"/>
        <v>13</v>
      </c>
      <c r="I4130" s="3">
        <f t="shared" si="935"/>
        <v>25</v>
      </c>
      <c r="J4130" s="3">
        <f t="shared" si="936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937"/>
        <v>YES</v>
      </c>
      <c r="Q4130" t="str">
        <f t="shared" si="938"/>
        <v>NO</v>
      </c>
      <c r="R4130" t="str">
        <f t="shared" si="939"/>
        <v>NO</v>
      </c>
      <c r="T4130" t="s">
        <v>14</v>
      </c>
      <c r="U4130" t="str">
        <f t="shared" si="940"/>
        <v>Massachusetts Ave</v>
      </c>
      <c r="V4130" t="s">
        <v>354</v>
      </c>
      <c r="W4130" t="str">
        <f t="shared" si="941"/>
        <v>Linnaean St</v>
      </c>
      <c r="X4130" t="str">
        <f>IF(ISBLANK(S4130),"Intersection","Non-Intersection")</f>
        <v>Intersection</v>
      </c>
      <c r="Y4130" t="s">
        <v>1234</v>
      </c>
      <c r="Z4130" t="str">
        <f t="shared" si="942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29"/>
        <v>40909</v>
      </c>
      <c r="D4131" s="4">
        <f t="shared" si="930"/>
        <v>0.67486338797814205</v>
      </c>
      <c r="E4131" s="3">
        <f t="shared" si="931"/>
        <v>2012</v>
      </c>
      <c r="F4131" s="3">
        <f t="shared" si="932"/>
        <v>9</v>
      </c>
      <c r="G4131" s="3">
        <f t="shared" si="933"/>
        <v>4</v>
      </c>
      <c r="H4131" s="3">
        <f t="shared" si="934"/>
        <v>16</v>
      </c>
      <c r="I4131" s="3">
        <f t="shared" si="935"/>
        <v>9</v>
      </c>
      <c r="J4131" s="3">
        <f t="shared" si="936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937"/>
        <v>YES</v>
      </c>
      <c r="Q4131" t="str">
        <f t="shared" si="938"/>
        <v>NO</v>
      </c>
      <c r="R4131" t="str">
        <f t="shared" si="939"/>
        <v>NO</v>
      </c>
      <c r="T4131" t="s">
        <v>380</v>
      </c>
      <c r="U4131" t="str">
        <f t="shared" si="940"/>
        <v>Charles St</v>
      </c>
      <c r="V4131" t="s">
        <v>20</v>
      </c>
      <c r="W4131" t="str">
        <f t="shared" si="941"/>
        <v>Sciarappa St</v>
      </c>
      <c r="X4131" t="str">
        <f>IF(ISBLANK(S4131),"Intersection","Non-Intersection")</f>
        <v>Intersection</v>
      </c>
      <c r="Y4131" t="s">
        <v>4894</v>
      </c>
      <c r="Z4131" t="str">
        <f t="shared" si="942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29"/>
        <v>40909</v>
      </c>
      <c r="D4132" s="4">
        <f t="shared" si="930"/>
        <v>0.67759562841530052</v>
      </c>
      <c r="E4132" s="3">
        <f t="shared" si="931"/>
        <v>2012</v>
      </c>
      <c r="F4132" s="3">
        <f t="shared" si="932"/>
        <v>9</v>
      </c>
      <c r="G4132" s="3">
        <f t="shared" si="933"/>
        <v>5</v>
      </c>
      <c r="H4132" s="3">
        <f t="shared" si="934"/>
        <v>1</v>
      </c>
      <c r="I4132" s="3">
        <f t="shared" si="935"/>
        <v>21</v>
      </c>
      <c r="J4132" s="3">
        <f t="shared" si="936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937"/>
        <v>YES</v>
      </c>
      <c r="Q4132" t="str">
        <f t="shared" si="938"/>
        <v>NO</v>
      </c>
      <c r="R4132" t="str">
        <f t="shared" si="939"/>
        <v>NO</v>
      </c>
      <c r="T4132" t="s">
        <v>14</v>
      </c>
      <c r="U4132" t="str">
        <f t="shared" si="940"/>
        <v>Massachusetts Ave</v>
      </c>
      <c r="V4132" t="s">
        <v>19</v>
      </c>
      <c r="W4132" t="str">
        <f t="shared" si="941"/>
        <v>Cambridge St</v>
      </c>
      <c r="X4132" t="str">
        <f>IF(ISBLANK(S4132),"Intersection","Non-Intersection")</f>
        <v>Intersection</v>
      </c>
      <c r="Y4132" t="s">
        <v>4896</v>
      </c>
      <c r="Z4132" t="str">
        <f t="shared" si="942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29"/>
        <v>40909</v>
      </c>
      <c r="D4133" s="4">
        <f t="shared" si="930"/>
        <v>0.67759562841530052</v>
      </c>
      <c r="E4133" s="3">
        <f t="shared" si="931"/>
        <v>2012</v>
      </c>
      <c r="F4133" s="3">
        <f t="shared" si="932"/>
        <v>9</v>
      </c>
      <c r="G4133" s="3">
        <f t="shared" si="933"/>
        <v>5</v>
      </c>
      <c r="H4133" s="3">
        <f t="shared" si="934"/>
        <v>7</v>
      </c>
      <c r="I4133" s="3">
        <f t="shared" si="935"/>
        <v>32</v>
      </c>
      <c r="J4133" s="3">
        <f t="shared" si="936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937"/>
        <v>YES</v>
      </c>
      <c r="Q4133" t="str">
        <f t="shared" si="938"/>
        <v>YES</v>
      </c>
      <c r="R4133" t="str">
        <f t="shared" si="939"/>
        <v>NO</v>
      </c>
      <c r="T4133" t="s">
        <v>74</v>
      </c>
      <c r="U4133" t="str">
        <f t="shared" si="940"/>
        <v>Hampshire St</v>
      </c>
      <c r="V4133" t="s">
        <v>796</v>
      </c>
      <c r="W4133" t="str">
        <f t="shared" si="941"/>
        <v>Portland St</v>
      </c>
      <c r="X4133" t="str">
        <f>IF(ISBLANK(S4133),"Intersection","Non-Intersection")</f>
        <v>Intersection</v>
      </c>
      <c r="Y4133" t="s">
        <v>3889</v>
      </c>
      <c r="Z4133" t="str">
        <f t="shared" si="942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29"/>
        <v>40909</v>
      </c>
      <c r="D4134" s="4">
        <f t="shared" si="930"/>
        <v>0.67759562841530052</v>
      </c>
      <c r="E4134" s="3">
        <f t="shared" si="931"/>
        <v>2012</v>
      </c>
      <c r="F4134" s="3">
        <f t="shared" si="932"/>
        <v>9</v>
      </c>
      <c r="G4134" s="3">
        <f t="shared" si="933"/>
        <v>5</v>
      </c>
      <c r="H4134" s="3">
        <f t="shared" si="934"/>
        <v>8</v>
      </c>
      <c r="I4134" s="3">
        <f t="shared" si="935"/>
        <v>33</v>
      </c>
      <c r="J4134" s="3">
        <f t="shared" si="936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937"/>
        <v>YES</v>
      </c>
      <c r="Q4134" t="str">
        <f t="shared" si="938"/>
        <v>NO</v>
      </c>
      <c r="R4134" t="str">
        <f t="shared" si="939"/>
        <v>NO</v>
      </c>
      <c r="T4134" t="s">
        <v>15</v>
      </c>
      <c r="U4134" t="str">
        <f t="shared" si="940"/>
        <v>Rindge Ave</v>
      </c>
      <c r="V4134" t="s">
        <v>45</v>
      </c>
      <c r="W4134" t="str">
        <f t="shared" si="941"/>
        <v>Sherman St</v>
      </c>
      <c r="X4134" t="str">
        <f>IF(ISBLANK(S4134),"Intersection","Non-Intersection")</f>
        <v>Intersection</v>
      </c>
      <c r="Y4134" t="s">
        <v>3724</v>
      </c>
      <c r="Z4134" t="str">
        <f t="shared" si="942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29"/>
        <v>40909</v>
      </c>
      <c r="D4135" s="4">
        <f t="shared" si="930"/>
        <v>0.67759562841530052</v>
      </c>
      <c r="E4135" s="3">
        <f t="shared" si="931"/>
        <v>2012</v>
      </c>
      <c r="F4135" s="3">
        <f t="shared" si="932"/>
        <v>9</v>
      </c>
      <c r="G4135" s="3">
        <f t="shared" si="933"/>
        <v>5</v>
      </c>
      <c r="H4135" s="3">
        <f t="shared" si="934"/>
        <v>10</v>
      </c>
      <c r="I4135" s="3">
        <f t="shared" si="935"/>
        <v>9</v>
      </c>
      <c r="J4135" s="3">
        <f t="shared" si="936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937"/>
        <v>YES</v>
      </c>
      <c r="Q4135" t="str">
        <f t="shared" si="938"/>
        <v>NO</v>
      </c>
      <c r="R4135" t="str">
        <f t="shared" si="939"/>
        <v>NO</v>
      </c>
      <c r="T4135" t="s">
        <v>42</v>
      </c>
      <c r="U4135" t="str">
        <f t="shared" si="940"/>
        <v>Putnam Ave</v>
      </c>
      <c r="V4135" t="s">
        <v>453</v>
      </c>
      <c r="W4135" t="str">
        <f t="shared" si="941"/>
        <v>Brookline St</v>
      </c>
      <c r="X4135" t="str">
        <f>IF(ISBLANK(S4135),"Intersection","Non-Intersection")</f>
        <v>Intersection</v>
      </c>
      <c r="Y4135" t="s">
        <v>1411</v>
      </c>
      <c r="Z4135" t="str">
        <f t="shared" si="942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29"/>
        <v>40909</v>
      </c>
      <c r="D4136" s="4">
        <f t="shared" si="930"/>
        <v>0.67759562841530052</v>
      </c>
      <c r="E4136" s="3">
        <f t="shared" si="931"/>
        <v>2012</v>
      </c>
      <c r="F4136" s="3">
        <f t="shared" si="932"/>
        <v>9</v>
      </c>
      <c r="G4136" s="3">
        <f t="shared" si="933"/>
        <v>5</v>
      </c>
      <c r="H4136" s="3">
        <f t="shared" si="934"/>
        <v>13</v>
      </c>
      <c r="I4136" s="3">
        <f t="shared" si="935"/>
        <v>44</v>
      </c>
      <c r="J4136" s="3">
        <f t="shared" si="936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937"/>
        <v>YES</v>
      </c>
      <c r="Q4136" t="str">
        <f t="shared" si="938"/>
        <v>NO</v>
      </c>
      <c r="R4136" t="str">
        <f t="shared" si="939"/>
        <v>YES</v>
      </c>
      <c r="T4136" t="s">
        <v>14</v>
      </c>
      <c r="U4136" t="str">
        <f t="shared" si="940"/>
        <v>Massachusetts Ave</v>
      </c>
      <c r="V4136" t="s">
        <v>315</v>
      </c>
      <c r="W4136" t="str">
        <f t="shared" si="941"/>
        <v>Essex St</v>
      </c>
      <c r="X4136" t="str">
        <f>IF(ISBLANK(S4136),"Intersection","Non-Intersection")</f>
        <v>Intersection</v>
      </c>
      <c r="Y4136" t="s">
        <v>1383</v>
      </c>
      <c r="Z4136" t="str">
        <f t="shared" si="942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29"/>
        <v>40909</v>
      </c>
      <c r="D4137" s="4">
        <f t="shared" si="930"/>
        <v>0.67759562841530052</v>
      </c>
      <c r="E4137" s="3">
        <f t="shared" si="931"/>
        <v>2012</v>
      </c>
      <c r="F4137" s="3">
        <f t="shared" si="932"/>
        <v>9</v>
      </c>
      <c r="G4137" s="3">
        <f t="shared" si="933"/>
        <v>5</v>
      </c>
      <c r="H4137" s="3">
        <f t="shared" si="934"/>
        <v>7</v>
      </c>
      <c r="I4137" s="3">
        <f t="shared" si="935"/>
        <v>9</v>
      </c>
      <c r="J4137" s="3">
        <f t="shared" si="936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937"/>
        <v>YES</v>
      </c>
      <c r="Q4137" t="str">
        <f t="shared" si="938"/>
        <v>NO</v>
      </c>
      <c r="R4137" t="str">
        <f t="shared" si="939"/>
        <v>NO</v>
      </c>
      <c r="T4137" t="s">
        <v>260</v>
      </c>
      <c r="U4137" t="str">
        <f t="shared" si="940"/>
        <v>Third St</v>
      </c>
      <c r="V4137" t="s">
        <v>1502</v>
      </c>
      <c r="W4137" t="str">
        <f t="shared" si="941"/>
        <v>Gore St</v>
      </c>
      <c r="X4137" t="str">
        <f>IF(ISBLANK(S4137),"Intersection","Non-Intersection")</f>
        <v>Intersection</v>
      </c>
      <c r="Y4137" t="s">
        <v>1503</v>
      </c>
      <c r="Z4137" t="str">
        <f t="shared" si="942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29"/>
        <v>40909</v>
      </c>
      <c r="D4138" s="4">
        <f t="shared" si="930"/>
        <v>0.67759562841530052</v>
      </c>
      <c r="E4138" s="3">
        <f t="shared" si="931"/>
        <v>2012</v>
      </c>
      <c r="F4138" s="3">
        <f t="shared" si="932"/>
        <v>9</v>
      </c>
      <c r="G4138" s="3">
        <f t="shared" si="933"/>
        <v>5</v>
      </c>
      <c r="H4138" s="3">
        <f t="shared" si="934"/>
        <v>8</v>
      </c>
      <c r="I4138" s="3">
        <f t="shared" si="935"/>
        <v>16</v>
      </c>
      <c r="J4138" s="3">
        <f t="shared" si="936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937"/>
        <v>YES</v>
      </c>
      <c r="Q4138" t="str">
        <f t="shared" si="938"/>
        <v>NO</v>
      </c>
      <c r="R4138" t="str">
        <f t="shared" si="939"/>
        <v>NO</v>
      </c>
      <c r="T4138" t="s">
        <v>453</v>
      </c>
      <c r="U4138" t="str">
        <f t="shared" si="940"/>
        <v>Brookline St</v>
      </c>
      <c r="V4138" t="s">
        <v>332</v>
      </c>
      <c r="W4138" t="str">
        <f t="shared" si="941"/>
        <v>Allston St</v>
      </c>
      <c r="X4138" t="str">
        <f>IF(ISBLANK(S4138),"Intersection","Non-Intersection")</f>
        <v>Intersection</v>
      </c>
      <c r="Y4138" t="s">
        <v>1629</v>
      </c>
      <c r="Z4138" t="str">
        <f t="shared" si="942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29"/>
        <v>40909</v>
      </c>
      <c r="D4139" s="4">
        <f t="shared" si="930"/>
        <v>0.67759562841530052</v>
      </c>
      <c r="E4139" s="3">
        <f t="shared" si="931"/>
        <v>2012</v>
      </c>
      <c r="F4139" s="3">
        <f t="shared" si="932"/>
        <v>9</v>
      </c>
      <c r="G4139" s="3">
        <f t="shared" si="933"/>
        <v>5</v>
      </c>
      <c r="H4139" s="3">
        <f t="shared" si="934"/>
        <v>8</v>
      </c>
      <c r="I4139" s="3">
        <f t="shared" si="935"/>
        <v>45</v>
      </c>
      <c r="J4139" s="3">
        <f t="shared" si="936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937"/>
        <v>YES</v>
      </c>
      <c r="Q4139" t="str">
        <f t="shared" si="938"/>
        <v>NO</v>
      </c>
      <c r="R4139" t="str">
        <f t="shared" si="939"/>
        <v>NO</v>
      </c>
      <c r="S4139">
        <v>2645</v>
      </c>
      <c r="T4139" t="s">
        <v>14</v>
      </c>
      <c r="U4139" t="str">
        <f t="shared" si="940"/>
        <v>Massachusetts Ave</v>
      </c>
      <c r="W4139" t="str">
        <f t="shared" si="941"/>
        <v/>
      </c>
      <c r="X4139" t="str">
        <f>IF(ISBLANK(S4139),"Intersection","Non-Intersection")</f>
        <v>Non-Intersection</v>
      </c>
      <c r="Y4139" t="s">
        <v>4897</v>
      </c>
      <c r="Z4139" t="str">
        <f t="shared" si="942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29"/>
        <v>40909</v>
      </c>
      <c r="D4140" s="4">
        <f t="shared" si="930"/>
        <v>0.67759562841530052</v>
      </c>
      <c r="E4140" s="3">
        <f t="shared" si="931"/>
        <v>2012</v>
      </c>
      <c r="F4140" s="3">
        <f t="shared" si="932"/>
        <v>9</v>
      </c>
      <c r="G4140" s="3">
        <f t="shared" si="933"/>
        <v>5</v>
      </c>
      <c r="H4140" s="3">
        <f t="shared" si="934"/>
        <v>18</v>
      </c>
      <c r="I4140" s="3">
        <f t="shared" si="935"/>
        <v>2</v>
      </c>
      <c r="J4140" s="3">
        <f t="shared" si="936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937"/>
        <v>YES</v>
      </c>
      <c r="Q4140" t="str">
        <f t="shared" si="938"/>
        <v>NO</v>
      </c>
      <c r="R4140" t="str">
        <f t="shared" si="939"/>
        <v>NO</v>
      </c>
      <c r="T4140" t="s">
        <v>42</v>
      </c>
      <c r="U4140" t="str">
        <f t="shared" si="940"/>
        <v>Putnam Ave</v>
      </c>
      <c r="V4140" t="s">
        <v>41</v>
      </c>
      <c r="W4140" t="str">
        <f t="shared" si="941"/>
        <v>River St</v>
      </c>
      <c r="X4140" t="str">
        <f>IF(ISBLANK(S4140),"Intersection","Non-Intersection")</f>
        <v>Intersection</v>
      </c>
      <c r="Y4140" t="s">
        <v>2398</v>
      </c>
      <c r="Z4140" t="str">
        <f t="shared" si="942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29"/>
        <v>40909</v>
      </c>
      <c r="D4141" s="4">
        <f t="shared" si="930"/>
        <v>0.67759562841530052</v>
      </c>
      <c r="E4141" s="3">
        <f t="shared" si="931"/>
        <v>2012</v>
      </c>
      <c r="F4141" s="3">
        <f t="shared" si="932"/>
        <v>9</v>
      </c>
      <c r="G4141" s="3">
        <f t="shared" si="933"/>
        <v>5</v>
      </c>
      <c r="H4141" s="3">
        <f t="shared" si="934"/>
        <v>19</v>
      </c>
      <c r="I4141" s="3">
        <f t="shared" si="935"/>
        <v>11</v>
      </c>
      <c r="J4141" s="3">
        <f t="shared" si="936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937"/>
        <v>YES</v>
      </c>
      <c r="Q4141" t="str">
        <f t="shared" si="938"/>
        <v>YES</v>
      </c>
      <c r="R4141" t="str">
        <f t="shared" si="939"/>
        <v>NO</v>
      </c>
      <c r="T4141" t="s">
        <v>238</v>
      </c>
      <c r="U4141" t="str">
        <f t="shared" si="940"/>
        <v>Kirkland St</v>
      </c>
      <c r="V4141" t="s">
        <v>1006</v>
      </c>
      <c r="W4141" t="str">
        <f t="shared" si="941"/>
        <v>Irving St</v>
      </c>
      <c r="X4141" t="str">
        <f>IF(ISBLANK(S4141),"Intersection","Non-Intersection")</f>
        <v>Intersection</v>
      </c>
      <c r="Y4141" t="s">
        <v>4898</v>
      </c>
      <c r="Z4141" t="str">
        <f t="shared" si="942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29"/>
        <v>40909</v>
      </c>
      <c r="D4142" s="4">
        <f t="shared" si="930"/>
        <v>0.67759562841530052</v>
      </c>
      <c r="E4142" s="3">
        <f t="shared" si="931"/>
        <v>2012</v>
      </c>
      <c r="F4142" s="3">
        <f t="shared" si="932"/>
        <v>9</v>
      </c>
      <c r="G4142" s="3">
        <f t="shared" si="933"/>
        <v>5</v>
      </c>
      <c r="H4142" s="3">
        <f t="shared" si="934"/>
        <v>12</v>
      </c>
      <c r="I4142" s="3">
        <f t="shared" si="935"/>
        <v>27</v>
      </c>
      <c r="J4142" s="3">
        <f t="shared" si="936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937"/>
        <v>YES</v>
      </c>
      <c r="Q4142" t="str">
        <f t="shared" si="938"/>
        <v>NO</v>
      </c>
      <c r="R4142" t="str">
        <f t="shared" si="939"/>
        <v>NO</v>
      </c>
      <c r="T4142" t="s">
        <v>2136</v>
      </c>
      <c r="U4142" t="str">
        <f t="shared" si="940"/>
        <v>Gurney St</v>
      </c>
      <c r="V4142" t="s">
        <v>142</v>
      </c>
      <c r="W4142" t="str">
        <f t="shared" si="941"/>
        <v>Huron Ave</v>
      </c>
      <c r="X4142" t="str">
        <f>IF(ISBLANK(S4142),"Intersection","Non-Intersection")</f>
        <v>Intersection</v>
      </c>
      <c r="Y4142" t="s">
        <v>4900</v>
      </c>
      <c r="Z4142" t="str">
        <f t="shared" si="942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29"/>
        <v>40909</v>
      </c>
      <c r="D4143" s="4">
        <f t="shared" si="930"/>
        <v>0.68306010928961747</v>
      </c>
      <c r="E4143" s="3">
        <f t="shared" si="931"/>
        <v>2012</v>
      </c>
      <c r="F4143" s="3">
        <f t="shared" si="932"/>
        <v>9</v>
      </c>
      <c r="G4143" s="3">
        <f t="shared" si="933"/>
        <v>7</v>
      </c>
      <c r="H4143" s="3">
        <f t="shared" si="934"/>
        <v>8</v>
      </c>
      <c r="I4143" s="3">
        <f t="shared" si="935"/>
        <v>10</v>
      </c>
      <c r="J4143" s="3">
        <f t="shared" si="936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937"/>
        <v>YES</v>
      </c>
      <c r="Q4143" t="str">
        <f t="shared" si="938"/>
        <v>NO</v>
      </c>
      <c r="R4143" t="str">
        <f t="shared" si="939"/>
        <v>NO</v>
      </c>
      <c r="T4143" t="s">
        <v>509</v>
      </c>
      <c r="U4143" t="str">
        <f t="shared" si="940"/>
        <v>Green St</v>
      </c>
      <c r="V4143" t="s">
        <v>70</v>
      </c>
      <c r="W4143" t="str">
        <f t="shared" si="941"/>
        <v>Pearl St</v>
      </c>
      <c r="X4143" t="str">
        <f>IF(ISBLANK(S4143),"Intersection","Non-Intersection")</f>
        <v>Intersection</v>
      </c>
      <c r="Y4143" t="s">
        <v>4901</v>
      </c>
      <c r="Z4143" t="str">
        <f t="shared" si="942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29"/>
        <v>40909</v>
      </c>
      <c r="D4144" s="4">
        <f t="shared" si="930"/>
        <v>0.68306010928961747</v>
      </c>
      <c r="E4144" s="3">
        <f t="shared" si="931"/>
        <v>2012</v>
      </c>
      <c r="F4144" s="3">
        <f t="shared" si="932"/>
        <v>9</v>
      </c>
      <c r="G4144" s="3">
        <f t="shared" si="933"/>
        <v>7</v>
      </c>
      <c r="H4144" s="3">
        <f t="shared" si="934"/>
        <v>12</v>
      </c>
      <c r="I4144" s="3">
        <f t="shared" si="935"/>
        <v>0</v>
      </c>
      <c r="J4144" s="3">
        <f t="shared" si="936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937"/>
        <v>YES</v>
      </c>
      <c r="Q4144" t="str">
        <f t="shared" si="938"/>
        <v>YES</v>
      </c>
      <c r="R4144" t="str">
        <f t="shared" si="939"/>
        <v>NO</v>
      </c>
      <c r="T4144" t="s">
        <v>406</v>
      </c>
      <c r="U4144" t="str">
        <f t="shared" si="940"/>
        <v>Marion St</v>
      </c>
      <c r="V4144" t="s">
        <v>1149</v>
      </c>
      <c r="W4144" t="str">
        <f t="shared" si="941"/>
        <v>Jefferson St</v>
      </c>
      <c r="X4144" t="str">
        <f>IF(ISBLANK(S4144),"Intersection","Non-Intersection")</f>
        <v>Intersection</v>
      </c>
      <c r="Y4144" t="s">
        <v>4902</v>
      </c>
      <c r="Z4144" t="str">
        <f t="shared" si="942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29"/>
        <v>40909</v>
      </c>
      <c r="D4145" s="4">
        <f t="shared" si="930"/>
        <v>0.68306010928961747</v>
      </c>
      <c r="E4145" s="3">
        <f t="shared" si="931"/>
        <v>2012</v>
      </c>
      <c r="F4145" s="3">
        <f t="shared" si="932"/>
        <v>9</v>
      </c>
      <c r="G4145" s="3">
        <f t="shared" si="933"/>
        <v>7</v>
      </c>
      <c r="H4145" s="3">
        <f t="shared" si="934"/>
        <v>14</v>
      </c>
      <c r="I4145" s="3">
        <f t="shared" si="935"/>
        <v>10</v>
      </c>
      <c r="J4145" s="3">
        <f t="shared" si="936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937"/>
        <v>YES</v>
      </c>
      <c r="Q4145" t="str">
        <f t="shared" si="938"/>
        <v>NO</v>
      </c>
      <c r="R4145" t="str">
        <f t="shared" si="939"/>
        <v>NO</v>
      </c>
      <c r="T4145" t="s">
        <v>326</v>
      </c>
      <c r="U4145" t="str">
        <f t="shared" si="940"/>
        <v>Jfk St</v>
      </c>
      <c r="V4145" t="s">
        <v>203</v>
      </c>
      <c r="W4145" t="str">
        <f t="shared" si="941"/>
        <v>Memorial Dr</v>
      </c>
      <c r="X4145" t="str">
        <f>IF(ISBLANK(S4145),"Intersection","Non-Intersection")</f>
        <v>Intersection</v>
      </c>
      <c r="Y4145" t="s">
        <v>2827</v>
      </c>
      <c r="Z4145" t="str">
        <f t="shared" si="942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29"/>
        <v>40909</v>
      </c>
      <c r="D4146" s="4">
        <f t="shared" si="930"/>
        <v>0.68306010928961747</v>
      </c>
      <c r="E4146" s="3">
        <f t="shared" si="931"/>
        <v>2012</v>
      </c>
      <c r="F4146" s="3">
        <f t="shared" si="932"/>
        <v>9</v>
      </c>
      <c r="G4146" s="3">
        <f t="shared" si="933"/>
        <v>7</v>
      </c>
      <c r="H4146" s="3">
        <f t="shared" si="934"/>
        <v>20</v>
      </c>
      <c r="I4146" s="3">
        <f t="shared" si="935"/>
        <v>29</v>
      </c>
      <c r="J4146" s="3">
        <f t="shared" si="936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937"/>
        <v>YES</v>
      </c>
      <c r="Q4146" t="str">
        <f t="shared" si="938"/>
        <v>NO</v>
      </c>
      <c r="R4146" t="str">
        <f t="shared" si="939"/>
        <v>NO</v>
      </c>
      <c r="S4146">
        <v>200</v>
      </c>
      <c r="T4146" t="s">
        <v>170</v>
      </c>
      <c r="U4146" t="str">
        <f t="shared" si="940"/>
        <v>Alewife Brook Pky</v>
      </c>
      <c r="W4146" t="str">
        <f t="shared" si="941"/>
        <v/>
      </c>
      <c r="X4146" t="str">
        <f>IF(ISBLANK(S4146),"Intersection","Non-Intersection")</f>
        <v>Non-Intersection</v>
      </c>
      <c r="Y4146" t="s">
        <v>2274</v>
      </c>
      <c r="Z4146" t="str">
        <f t="shared" si="942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29"/>
        <v>40909</v>
      </c>
      <c r="D4147" s="4">
        <f t="shared" si="930"/>
        <v>0.68306010928961747</v>
      </c>
      <c r="E4147" s="3">
        <f t="shared" si="931"/>
        <v>2012</v>
      </c>
      <c r="F4147" s="3">
        <f t="shared" si="932"/>
        <v>9</v>
      </c>
      <c r="G4147" s="3">
        <f t="shared" si="933"/>
        <v>7</v>
      </c>
      <c r="H4147" s="3">
        <f t="shared" si="934"/>
        <v>20</v>
      </c>
      <c r="I4147" s="3">
        <f t="shared" si="935"/>
        <v>45</v>
      </c>
      <c r="J4147" s="3">
        <f t="shared" si="936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937"/>
        <v>YES</v>
      </c>
      <c r="Q4147" t="str">
        <f t="shared" si="938"/>
        <v>NO</v>
      </c>
      <c r="R4147" t="str">
        <f t="shared" si="939"/>
        <v>NO</v>
      </c>
      <c r="T4147" t="s">
        <v>41</v>
      </c>
      <c r="U4147" t="str">
        <f t="shared" si="940"/>
        <v>River St</v>
      </c>
      <c r="V4147" t="s">
        <v>27</v>
      </c>
      <c r="W4147" t="str">
        <f t="shared" si="941"/>
        <v>Western Ave</v>
      </c>
      <c r="X4147" t="str">
        <f>IF(ISBLANK(S4147),"Intersection","Non-Intersection")</f>
        <v>Intersection</v>
      </c>
      <c r="Y4147" t="s">
        <v>4903</v>
      </c>
      <c r="Z4147" t="str">
        <f t="shared" si="942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29"/>
        <v>40909</v>
      </c>
      <c r="D4148" s="4">
        <f t="shared" si="930"/>
        <v>0.68306010928961747</v>
      </c>
      <c r="E4148" s="3">
        <f t="shared" si="931"/>
        <v>2012</v>
      </c>
      <c r="F4148" s="3">
        <f t="shared" si="932"/>
        <v>9</v>
      </c>
      <c r="G4148" s="3">
        <f t="shared" si="933"/>
        <v>7</v>
      </c>
      <c r="H4148" s="3">
        <f t="shared" si="934"/>
        <v>18</v>
      </c>
      <c r="I4148" s="3">
        <f t="shared" si="935"/>
        <v>5</v>
      </c>
      <c r="J4148" s="3">
        <f t="shared" si="936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937"/>
        <v>YES</v>
      </c>
      <c r="Q4148" t="str">
        <f t="shared" si="938"/>
        <v>NO</v>
      </c>
      <c r="R4148" t="str">
        <f t="shared" si="939"/>
        <v>NO</v>
      </c>
      <c r="T4148" t="s">
        <v>326</v>
      </c>
      <c r="U4148" t="str">
        <f t="shared" si="940"/>
        <v>Jfk St</v>
      </c>
      <c r="V4148" t="s">
        <v>325</v>
      </c>
      <c r="W4148" t="str">
        <f t="shared" si="941"/>
        <v>Eliot St</v>
      </c>
      <c r="X4148" t="str">
        <f>IF(ISBLANK(S4148),"Intersection","Non-Intersection")</f>
        <v>Intersection</v>
      </c>
      <c r="Y4148" t="s">
        <v>1420</v>
      </c>
      <c r="Z4148" t="str">
        <f t="shared" si="942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29"/>
        <v>40909</v>
      </c>
      <c r="D4149" s="4">
        <f t="shared" si="930"/>
        <v>0.68306010928961747</v>
      </c>
      <c r="E4149" s="3">
        <f t="shared" si="931"/>
        <v>2012</v>
      </c>
      <c r="F4149" s="3">
        <f t="shared" si="932"/>
        <v>9</v>
      </c>
      <c r="G4149" s="3">
        <f t="shared" si="933"/>
        <v>7</v>
      </c>
      <c r="H4149" s="3">
        <f t="shared" si="934"/>
        <v>7</v>
      </c>
      <c r="I4149" s="3">
        <f t="shared" si="935"/>
        <v>30</v>
      </c>
      <c r="J4149" s="3">
        <f t="shared" si="936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937"/>
        <v>YES</v>
      </c>
      <c r="Q4149" t="str">
        <f t="shared" si="938"/>
        <v>YES</v>
      </c>
      <c r="R4149" t="str">
        <f t="shared" si="939"/>
        <v>NO</v>
      </c>
      <c r="T4149" t="s">
        <v>42</v>
      </c>
      <c r="U4149" t="str">
        <f t="shared" si="940"/>
        <v>Putnam Ave</v>
      </c>
      <c r="V4149" t="s">
        <v>453</v>
      </c>
      <c r="W4149" t="str">
        <f t="shared" si="941"/>
        <v>Brookline St</v>
      </c>
      <c r="X4149" t="str">
        <f>IF(ISBLANK(S4149),"Intersection","Non-Intersection")</f>
        <v>Intersection</v>
      </c>
      <c r="Y4149" t="s">
        <v>1411</v>
      </c>
      <c r="Z4149" t="str">
        <f t="shared" si="942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29"/>
        <v>40909</v>
      </c>
      <c r="D4150" s="4">
        <f t="shared" si="930"/>
        <v>0.68579234972677594</v>
      </c>
      <c r="E4150" s="3">
        <f t="shared" si="931"/>
        <v>2012</v>
      </c>
      <c r="F4150" s="3">
        <f t="shared" si="932"/>
        <v>9</v>
      </c>
      <c r="G4150" s="3">
        <f t="shared" si="933"/>
        <v>8</v>
      </c>
      <c r="H4150" s="3">
        <f t="shared" si="934"/>
        <v>15</v>
      </c>
      <c r="I4150" s="3">
        <f t="shared" si="935"/>
        <v>0</v>
      </c>
      <c r="J4150" s="3">
        <f t="shared" si="936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937"/>
        <v>NO</v>
      </c>
      <c r="Q4150" t="str">
        <f t="shared" si="938"/>
        <v>NO</v>
      </c>
      <c r="R4150" t="str">
        <f t="shared" si="939"/>
        <v>NO</v>
      </c>
      <c r="T4150" t="s">
        <v>14</v>
      </c>
      <c r="U4150" t="str">
        <f t="shared" si="940"/>
        <v>Massachusetts Ave</v>
      </c>
      <c r="V4150" t="s">
        <v>4905</v>
      </c>
      <c r="W4150" t="str">
        <f t="shared" si="941"/>
        <v>Trowbridge Pl</v>
      </c>
      <c r="X4150" t="str">
        <f>IF(ISBLANK(S4150),"Intersection","Non-Intersection")</f>
        <v>Intersection</v>
      </c>
      <c r="Y4150" t="s">
        <v>4906</v>
      </c>
      <c r="Z4150" t="str">
        <f t="shared" si="942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29"/>
        <v>40909</v>
      </c>
      <c r="D4151" s="4">
        <f t="shared" si="930"/>
        <v>0.68579234972677594</v>
      </c>
      <c r="E4151" s="3">
        <f t="shared" si="931"/>
        <v>2012</v>
      </c>
      <c r="F4151" s="3">
        <f t="shared" si="932"/>
        <v>9</v>
      </c>
      <c r="G4151" s="3">
        <f t="shared" si="933"/>
        <v>8</v>
      </c>
      <c r="H4151" s="3">
        <f t="shared" si="934"/>
        <v>15</v>
      </c>
      <c r="I4151" s="3">
        <f t="shared" si="935"/>
        <v>40</v>
      </c>
      <c r="J4151" s="3">
        <f t="shared" si="936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937"/>
        <v>YES</v>
      </c>
      <c r="Q4151" t="str">
        <f t="shared" si="938"/>
        <v>NO</v>
      </c>
      <c r="R4151" t="str">
        <f t="shared" si="939"/>
        <v>YES</v>
      </c>
      <c r="S4151">
        <v>310</v>
      </c>
      <c r="T4151" t="s">
        <v>15</v>
      </c>
      <c r="U4151" t="str">
        <f t="shared" si="940"/>
        <v>Rindge Ave</v>
      </c>
      <c r="W4151" t="str">
        <f t="shared" si="941"/>
        <v/>
      </c>
      <c r="X4151" t="str">
        <f>IF(ISBLANK(S4151),"Intersection","Non-Intersection")</f>
        <v>Non-Intersection</v>
      </c>
      <c r="Y4151" t="s">
        <v>4907</v>
      </c>
      <c r="Z4151" t="str">
        <f t="shared" si="942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29"/>
        <v>40909</v>
      </c>
      <c r="D4152" s="4">
        <f t="shared" si="930"/>
        <v>0.68579234972677594</v>
      </c>
      <c r="E4152" s="3">
        <f t="shared" si="931"/>
        <v>2012</v>
      </c>
      <c r="F4152" s="3">
        <f t="shared" si="932"/>
        <v>9</v>
      </c>
      <c r="G4152" s="3">
        <f t="shared" si="933"/>
        <v>8</v>
      </c>
      <c r="H4152" s="3">
        <f t="shared" si="934"/>
        <v>18</v>
      </c>
      <c r="I4152" s="3">
        <f t="shared" si="935"/>
        <v>30</v>
      </c>
      <c r="J4152" s="3">
        <f t="shared" si="936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937"/>
        <v>YES</v>
      </c>
      <c r="Q4152" t="str">
        <f t="shared" si="938"/>
        <v>YES</v>
      </c>
      <c r="R4152" t="str">
        <f t="shared" si="939"/>
        <v>NO</v>
      </c>
      <c r="S4152">
        <v>1668</v>
      </c>
      <c r="T4152" t="s">
        <v>14</v>
      </c>
      <c r="U4152" t="str">
        <f t="shared" si="940"/>
        <v>Massachusetts Ave</v>
      </c>
      <c r="W4152" t="str">
        <f t="shared" si="941"/>
        <v/>
      </c>
      <c r="X4152" t="str">
        <f>IF(ISBLANK(S4152),"Intersection","Non-Intersection")</f>
        <v>Non-Intersection</v>
      </c>
      <c r="Y4152" t="s">
        <v>4909</v>
      </c>
      <c r="Z4152" t="str">
        <f t="shared" si="942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29"/>
        <v>40909</v>
      </c>
      <c r="D4153" s="4">
        <f t="shared" si="930"/>
        <v>0.68579234972677594</v>
      </c>
      <c r="E4153" s="3">
        <f t="shared" si="931"/>
        <v>2012</v>
      </c>
      <c r="F4153" s="3">
        <f t="shared" si="932"/>
        <v>9</v>
      </c>
      <c r="G4153" s="3">
        <f t="shared" si="933"/>
        <v>8</v>
      </c>
      <c r="H4153" s="3">
        <f t="shared" si="934"/>
        <v>19</v>
      </c>
      <c r="I4153" s="3">
        <f t="shared" si="935"/>
        <v>40</v>
      </c>
      <c r="J4153" s="3">
        <f t="shared" si="936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937"/>
        <v>YES</v>
      </c>
      <c r="Q4153" t="str">
        <f t="shared" si="938"/>
        <v>NO</v>
      </c>
      <c r="R4153" t="str">
        <f t="shared" si="939"/>
        <v>NO</v>
      </c>
      <c r="T4153" t="s">
        <v>316</v>
      </c>
      <c r="U4153" t="str">
        <f t="shared" si="940"/>
        <v>Bishop Allen Dr</v>
      </c>
      <c r="V4153" t="s">
        <v>4911</v>
      </c>
      <c r="W4153" t="str">
        <f t="shared" si="941"/>
        <v>Douglass Ct</v>
      </c>
      <c r="X4153" t="str">
        <f>IF(ISBLANK(S4153),"Intersection","Non-Intersection")</f>
        <v>Intersection</v>
      </c>
      <c r="Y4153" t="s">
        <v>4912</v>
      </c>
      <c r="Z4153" t="str">
        <f t="shared" si="942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29"/>
        <v>40909</v>
      </c>
      <c r="D4154" s="4">
        <f t="shared" si="930"/>
        <v>0.68579234972677594</v>
      </c>
      <c r="E4154" s="3">
        <f t="shared" si="931"/>
        <v>2012</v>
      </c>
      <c r="F4154" s="3">
        <f t="shared" si="932"/>
        <v>9</v>
      </c>
      <c r="G4154" s="3">
        <f t="shared" si="933"/>
        <v>8</v>
      </c>
      <c r="H4154" s="3">
        <f t="shared" si="934"/>
        <v>18</v>
      </c>
      <c r="I4154" s="3">
        <f t="shared" si="935"/>
        <v>0</v>
      </c>
      <c r="J4154" s="3">
        <f t="shared" si="936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937"/>
        <v>YES</v>
      </c>
      <c r="Q4154" t="str">
        <f t="shared" si="938"/>
        <v>NO</v>
      </c>
      <c r="R4154" t="str">
        <f t="shared" si="939"/>
        <v>NO</v>
      </c>
      <c r="S4154">
        <v>380</v>
      </c>
      <c r="T4154" t="s">
        <v>509</v>
      </c>
      <c r="U4154" t="str">
        <f t="shared" si="940"/>
        <v>Green St</v>
      </c>
      <c r="V4154" t="s">
        <v>4913</v>
      </c>
      <c r="W4154" t="str">
        <f t="shared" si="941"/>
        <v>Pleasant Pl</v>
      </c>
      <c r="X4154" t="str">
        <f>IF(ISBLANK(S4154),"Intersection","Non-Intersection")</f>
        <v>Non-Intersection</v>
      </c>
      <c r="Y4154" t="s">
        <v>4914</v>
      </c>
      <c r="Z4154" t="str">
        <f t="shared" si="942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29"/>
        <v>40909</v>
      </c>
      <c r="D4155" s="4">
        <f t="shared" si="930"/>
        <v>0.68579234972677594</v>
      </c>
      <c r="E4155" s="3">
        <f t="shared" si="931"/>
        <v>2012</v>
      </c>
      <c r="F4155" s="3">
        <f t="shared" si="932"/>
        <v>9</v>
      </c>
      <c r="G4155" s="3">
        <f t="shared" si="933"/>
        <v>8</v>
      </c>
      <c r="H4155" s="3">
        <f t="shared" si="934"/>
        <v>3</v>
      </c>
      <c r="I4155" s="3">
        <f t="shared" si="935"/>
        <v>49</v>
      </c>
      <c r="J4155" s="3">
        <f t="shared" si="936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937"/>
        <v>YES</v>
      </c>
      <c r="Q4155" t="str">
        <f t="shared" si="938"/>
        <v>NO</v>
      </c>
      <c r="R4155" t="str">
        <f t="shared" si="939"/>
        <v>NO</v>
      </c>
      <c r="T4155" t="s">
        <v>133</v>
      </c>
      <c r="U4155" t="str">
        <f t="shared" si="940"/>
        <v>Harvard St</v>
      </c>
      <c r="V4155" t="s">
        <v>342</v>
      </c>
      <c r="W4155" t="str">
        <f t="shared" si="941"/>
        <v>Prospect St</v>
      </c>
      <c r="X4155" t="str">
        <f>IF(ISBLANK(S4155),"Intersection","Non-Intersection")</f>
        <v>Intersection</v>
      </c>
      <c r="Y4155" t="s">
        <v>1084</v>
      </c>
      <c r="Z4155" t="str">
        <f t="shared" si="942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29"/>
        <v>40909</v>
      </c>
      <c r="D4156" s="4">
        <f t="shared" si="930"/>
        <v>0.68852459016393441</v>
      </c>
      <c r="E4156" s="3">
        <f t="shared" si="931"/>
        <v>2012</v>
      </c>
      <c r="F4156" s="3">
        <f t="shared" si="932"/>
        <v>9</v>
      </c>
      <c r="G4156" s="3">
        <f t="shared" si="933"/>
        <v>9</v>
      </c>
      <c r="H4156" s="3">
        <f t="shared" si="934"/>
        <v>21</v>
      </c>
      <c r="I4156" s="3">
        <f t="shared" si="935"/>
        <v>4</v>
      </c>
      <c r="J4156" s="3">
        <f t="shared" si="936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937"/>
        <v>YES</v>
      </c>
      <c r="Q4156" t="str">
        <f t="shared" si="938"/>
        <v>NO</v>
      </c>
      <c r="R4156" t="str">
        <f t="shared" si="939"/>
        <v>NO</v>
      </c>
      <c r="T4156" t="s">
        <v>19</v>
      </c>
      <c r="U4156" t="str">
        <f t="shared" si="940"/>
        <v>Cambridge St</v>
      </c>
      <c r="V4156" t="s">
        <v>1739</v>
      </c>
      <c r="W4156" t="str">
        <f t="shared" si="941"/>
        <v>Harding St</v>
      </c>
      <c r="X4156" t="str">
        <f>IF(ISBLANK(S4156),"Intersection","Non-Intersection")</f>
        <v>Intersection</v>
      </c>
      <c r="Y4156" t="s">
        <v>1740</v>
      </c>
      <c r="Z4156" t="str">
        <f t="shared" si="942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29"/>
        <v>40909</v>
      </c>
      <c r="D4157" s="4">
        <f t="shared" si="930"/>
        <v>0.69125683060109289</v>
      </c>
      <c r="E4157" s="3">
        <f t="shared" si="931"/>
        <v>2012</v>
      </c>
      <c r="F4157" s="3">
        <f t="shared" si="932"/>
        <v>9</v>
      </c>
      <c r="G4157" s="3">
        <f t="shared" si="933"/>
        <v>10</v>
      </c>
      <c r="H4157" s="3">
        <f t="shared" si="934"/>
        <v>17</v>
      </c>
      <c r="I4157" s="3">
        <f t="shared" si="935"/>
        <v>49</v>
      </c>
      <c r="J4157" s="3">
        <f t="shared" si="936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937"/>
        <v>YES</v>
      </c>
      <c r="Q4157" t="str">
        <f t="shared" si="938"/>
        <v>NO</v>
      </c>
      <c r="R4157" t="str">
        <f t="shared" si="939"/>
        <v>NO</v>
      </c>
      <c r="T4157" t="s">
        <v>133</v>
      </c>
      <c r="U4157" t="str">
        <f t="shared" si="940"/>
        <v>Harvard St</v>
      </c>
      <c r="V4157" t="s">
        <v>192</v>
      </c>
      <c r="W4157" t="str">
        <f t="shared" si="941"/>
        <v>Hancock St</v>
      </c>
      <c r="X4157" t="str">
        <f>IF(ISBLANK(S4157),"Intersection","Non-Intersection")</f>
        <v>Intersection</v>
      </c>
      <c r="Y4157" t="s">
        <v>370</v>
      </c>
      <c r="Z4157" t="str">
        <f t="shared" si="942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943">EOMONTH(B4158,MONTH(B4158)*-1)+1</f>
        <v>40909</v>
      </c>
      <c r="D4158" s="4">
        <f t="shared" ref="D4158:D4219" si="944">YEARFRAC(C4158,B4158,1)</f>
        <v>0.69125683060109289</v>
      </c>
      <c r="E4158" s="3">
        <f t="shared" ref="E4158:E4219" si="945">YEAR(B4158)</f>
        <v>2012</v>
      </c>
      <c r="F4158" s="3">
        <f t="shared" ref="F4158:F4219" si="946">MONTH(B4158)</f>
        <v>9</v>
      </c>
      <c r="G4158" s="3">
        <f t="shared" ref="G4158:G4219" si="947">DAY(B4158)</f>
        <v>10</v>
      </c>
      <c r="H4158" s="3">
        <f t="shared" ref="H4158:H4219" si="948">HOUR(B4158)</f>
        <v>16</v>
      </c>
      <c r="I4158" s="3">
        <f t="shared" ref="I4158:I4219" si="949">MINUTE(B4158)</f>
        <v>2</v>
      </c>
      <c r="J4158" s="3">
        <f t="shared" ref="J4158:J4219" si="950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951">IF(OR(N4158="Auto",O4158="Auto"),"YES",IF(OR(N4158="Taxi",O4158="Taxi"),"YES",IF(OR(N4158="Van",O4158="Van"),"YES",IF(OR(N4158="Truck",O4158="Truck"),"YES","NO"))))</f>
        <v>YES</v>
      </c>
      <c r="Q4158" t="str">
        <f t="shared" ref="Q4158:Q4219" si="952">IF(OR(N4158="Bicycle",O4158="Bicycle"),"YES","NO")</f>
        <v>NO</v>
      </c>
      <c r="R4158" t="str">
        <f t="shared" ref="R4158:R4219" si="953">IF(OR(N4158="Pedestrian",O4158="Pedestrian"),"YES","NO")</f>
        <v>NO</v>
      </c>
      <c r="S4158">
        <v>6</v>
      </c>
      <c r="T4158" t="s">
        <v>185</v>
      </c>
      <c r="U4158" t="str">
        <f t="shared" si="940"/>
        <v>Garden St</v>
      </c>
      <c r="W4158" t="str">
        <f t="shared" si="941"/>
        <v/>
      </c>
      <c r="X4158" t="str">
        <f>IF(ISBLANK(S4158),"Intersection","Non-Intersection")</f>
        <v>Non-Intersection</v>
      </c>
      <c r="Y4158" t="s">
        <v>4916</v>
      </c>
      <c r="Z4158" t="str">
        <f t="shared" si="942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943"/>
        <v>40909</v>
      </c>
      <c r="D4159" s="4">
        <f t="shared" si="944"/>
        <v>0.69125683060109289</v>
      </c>
      <c r="E4159" s="3">
        <f t="shared" si="945"/>
        <v>2012</v>
      </c>
      <c r="F4159" s="3">
        <f t="shared" si="946"/>
        <v>9</v>
      </c>
      <c r="G4159" s="3">
        <f t="shared" si="947"/>
        <v>10</v>
      </c>
      <c r="H4159" s="3">
        <f t="shared" si="948"/>
        <v>18</v>
      </c>
      <c r="I4159" s="3">
        <f t="shared" si="949"/>
        <v>0</v>
      </c>
      <c r="J4159" s="3">
        <f t="shared" si="950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951"/>
        <v>YES</v>
      </c>
      <c r="Q4159" t="str">
        <f t="shared" si="952"/>
        <v>NO</v>
      </c>
      <c r="R4159" t="str">
        <f t="shared" si="953"/>
        <v>NO</v>
      </c>
      <c r="S4159">
        <v>32</v>
      </c>
      <c r="T4159" t="s">
        <v>4918</v>
      </c>
      <c r="U4159" t="str">
        <f t="shared" si="940"/>
        <v>Holden St</v>
      </c>
      <c r="W4159" t="str">
        <f t="shared" si="941"/>
        <v/>
      </c>
      <c r="X4159" t="str">
        <f>IF(ISBLANK(S4159),"Intersection","Non-Intersection")</f>
        <v>Non-Intersection</v>
      </c>
      <c r="Y4159" t="s">
        <v>4919</v>
      </c>
      <c r="Z4159" t="str">
        <f t="shared" si="942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943"/>
        <v>40909</v>
      </c>
      <c r="D4160" s="4">
        <f t="shared" si="944"/>
        <v>0.69125683060109289</v>
      </c>
      <c r="E4160" s="3">
        <f t="shared" si="945"/>
        <v>2012</v>
      </c>
      <c r="F4160" s="3">
        <f t="shared" si="946"/>
        <v>9</v>
      </c>
      <c r="G4160" s="3">
        <f t="shared" si="947"/>
        <v>10</v>
      </c>
      <c r="H4160" s="3">
        <f t="shared" si="948"/>
        <v>5</v>
      </c>
      <c r="I4160" s="3">
        <f t="shared" si="949"/>
        <v>57</v>
      </c>
      <c r="J4160" s="3">
        <f t="shared" si="950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951"/>
        <v>YES</v>
      </c>
      <c r="Q4160" t="str">
        <f t="shared" si="952"/>
        <v>NO</v>
      </c>
      <c r="R4160" t="str">
        <f t="shared" si="953"/>
        <v>NO</v>
      </c>
      <c r="T4160" t="s">
        <v>1053</v>
      </c>
      <c r="U4160" t="str">
        <f t="shared" si="940"/>
        <v>Clark St</v>
      </c>
      <c r="V4160" t="s">
        <v>587</v>
      </c>
      <c r="W4160" t="str">
        <f t="shared" si="941"/>
        <v>Webster Ave</v>
      </c>
      <c r="X4160" t="str">
        <f>IF(ISBLANK(S4160),"Intersection","Non-Intersection")</f>
        <v>Intersection</v>
      </c>
      <c r="Y4160" t="s">
        <v>4921</v>
      </c>
      <c r="Z4160" t="str">
        <f t="shared" si="942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943"/>
        <v>40909</v>
      </c>
      <c r="D4161" s="4">
        <f t="shared" si="944"/>
        <v>0.69125683060109289</v>
      </c>
      <c r="E4161" s="3">
        <f t="shared" si="945"/>
        <v>2012</v>
      </c>
      <c r="F4161" s="3">
        <f t="shared" si="946"/>
        <v>9</v>
      </c>
      <c r="G4161" s="3">
        <f t="shared" si="947"/>
        <v>10</v>
      </c>
      <c r="H4161" s="3">
        <f t="shared" si="948"/>
        <v>22</v>
      </c>
      <c r="I4161" s="3">
        <f t="shared" si="949"/>
        <v>30</v>
      </c>
      <c r="J4161" s="3">
        <f t="shared" si="950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951"/>
        <v>YES</v>
      </c>
      <c r="Q4161" t="str">
        <f t="shared" si="952"/>
        <v>NO</v>
      </c>
      <c r="R4161" t="str">
        <f t="shared" si="953"/>
        <v>NO</v>
      </c>
      <c r="T4161" t="s">
        <v>14</v>
      </c>
      <c r="U4161" t="str">
        <f t="shared" si="940"/>
        <v>Massachusetts Ave</v>
      </c>
      <c r="V4161" t="s">
        <v>195</v>
      </c>
      <c r="W4161" t="str">
        <f t="shared" si="941"/>
        <v>Sidney St</v>
      </c>
      <c r="X4161" t="str">
        <f>IF(ISBLANK(S4161),"Intersection","Non-Intersection")</f>
        <v>Intersection</v>
      </c>
      <c r="Y4161" t="s">
        <v>196</v>
      </c>
      <c r="Z4161" t="str">
        <f t="shared" si="942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943"/>
        <v>40909</v>
      </c>
      <c r="D4162" s="4">
        <f t="shared" si="944"/>
        <v>0.69398907103825136</v>
      </c>
      <c r="E4162" s="3">
        <f t="shared" si="945"/>
        <v>2012</v>
      </c>
      <c r="F4162" s="3">
        <f t="shared" si="946"/>
        <v>9</v>
      </c>
      <c r="G4162" s="3">
        <f t="shared" si="947"/>
        <v>11</v>
      </c>
      <c r="H4162" s="3">
        <f t="shared" si="948"/>
        <v>12</v>
      </c>
      <c r="I4162" s="3">
        <f t="shared" si="949"/>
        <v>36</v>
      </c>
      <c r="J4162" s="3">
        <f t="shared" si="950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951"/>
        <v>YES</v>
      </c>
      <c r="Q4162" t="str">
        <f t="shared" si="952"/>
        <v>NO</v>
      </c>
      <c r="R4162" t="str">
        <f t="shared" si="953"/>
        <v>NO</v>
      </c>
      <c r="S4162">
        <v>220</v>
      </c>
      <c r="T4162" t="s">
        <v>14</v>
      </c>
      <c r="U4162" t="str">
        <f t="shared" si="940"/>
        <v>Massachusetts Ave</v>
      </c>
      <c r="W4162" t="str">
        <f t="shared" si="941"/>
        <v/>
      </c>
      <c r="X4162" t="str">
        <f>IF(ISBLANK(S4162),"Intersection","Non-Intersection")</f>
        <v>Non-Intersection</v>
      </c>
      <c r="Y4162" t="s">
        <v>113</v>
      </c>
      <c r="Z4162" t="str">
        <f t="shared" si="942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943"/>
        <v>40909</v>
      </c>
      <c r="D4163" s="4">
        <f t="shared" si="944"/>
        <v>0.69398907103825136</v>
      </c>
      <c r="E4163" s="3">
        <f t="shared" si="945"/>
        <v>2012</v>
      </c>
      <c r="F4163" s="3">
        <f t="shared" si="946"/>
        <v>9</v>
      </c>
      <c r="G4163" s="3">
        <f t="shared" si="947"/>
        <v>11</v>
      </c>
      <c r="H4163" s="3">
        <f t="shared" si="948"/>
        <v>17</v>
      </c>
      <c r="I4163" s="3">
        <f t="shared" si="949"/>
        <v>45</v>
      </c>
      <c r="J4163" s="3">
        <f t="shared" si="950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951"/>
        <v>YES</v>
      </c>
      <c r="Q4163" t="str">
        <f t="shared" si="952"/>
        <v>NO</v>
      </c>
      <c r="R4163" t="str">
        <f t="shared" si="953"/>
        <v>NO</v>
      </c>
      <c r="S4163">
        <v>2</v>
      </c>
      <c r="T4163" t="s">
        <v>1780</v>
      </c>
      <c r="U4163" t="str">
        <f t="shared" ref="U4163:U4226" si="954">TRIM(PROPER(T4163))</f>
        <v>Worthington St</v>
      </c>
      <c r="W4163" t="str">
        <f t="shared" ref="W4163:W4226" si="955">TRIM(PROPER(V4163))</f>
        <v/>
      </c>
      <c r="X4163" t="str">
        <f>IF(ISBLANK(S4163),"Intersection","Non-Intersection")</f>
        <v>Non-Intersection</v>
      </c>
      <c r="Y4163" t="s">
        <v>4923</v>
      </c>
      <c r="Z4163" t="str">
        <f t="shared" ref="Z4163:Z4226" si="956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943"/>
        <v>40909</v>
      </c>
      <c r="D4164" s="4">
        <f t="shared" si="944"/>
        <v>0.69672131147540983</v>
      </c>
      <c r="E4164" s="3">
        <f t="shared" si="945"/>
        <v>2012</v>
      </c>
      <c r="F4164" s="3">
        <f t="shared" si="946"/>
        <v>9</v>
      </c>
      <c r="G4164" s="3">
        <f t="shared" si="947"/>
        <v>12</v>
      </c>
      <c r="H4164" s="3">
        <f t="shared" si="948"/>
        <v>8</v>
      </c>
      <c r="I4164" s="3">
        <f t="shared" si="949"/>
        <v>0</v>
      </c>
      <c r="J4164" s="3">
        <f t="shared" si="950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951"/>
        <v>YES</v>
      </c>
      <c r="Q4164" t="str">
        <f t="shared" si="952"/>
        <v>NO</v>
      </c>
      <c r="R4164" t="str">
        <f t="shared" si="953"/>
        <v>NO</v>
      </c>
      <c r="T4164" t="s">
        <v>3385</v>
      </c>
      <c r="U4164" t="str">
        <f t="shared" si="954"/>
        <v>Seventh St</v>
      </c>
      <c r="V4164" t="s">
        <v>261</v>
      </c>
      <c r="W4164" t="str">
        <f t="shared" si="955"/>
        <v>Otis St</v>
      </c>
      <c r="X4164" t="str">
        <f>IF(ISBLANK(S4164),"Intersection","Non-Intersection")</f>
        <v>Intersection</v>
      </c>
      <c r="Y4164" t="s">
        <v>4925</v>
      </c>
      <c r="Z4164" t="str">
        <f t="shared" si="956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943"/>
        <v>40909</v>
      </c>
      <c r="D4165" s="4">
        <f t="shared" si="944"/>
        <v>0.69672131147540983</v>
      </c>
      <c r="E4165" s="3">
        <f t="shared" si="945"/>
        <v>2012</v>
      </c>
      <c r="F4165" s="3">
        <f t="shared" si="946"/>
        <v>9</v>
      </c>
      <c r="G4165" s="3">
        <f t="shared" si="947"/>
        <v>12</v>
      </c>
      <c r="H4165" s="3">
        <f t="shared" si="948"/>
        <v>18</v>
      </c>
      <c r="I4165" s="3">
        <f t="shared" si="949"/>
        <v>20</v>
      </c>
      <c r="J4165" s="3">
        <f t="shared" si="950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951"/>
        <v>YES</v>
      </c>
      <c r="Q4165" t="str">
        <f t="shared" si="952"/>
        <v>NO</v>
      </c>
      <c r="R4165" t="str">
        <f t="shared" si="953"/>
        <v>NO</v>
      </c>
      <c r="T4165" t="s">
        <v>105</v>
      </c>
      <c r="U4165" t="str">
        <f t="shared" si="954"/>
        <v>Broadway</v>
      </c>
      <c r="V4165" t="s">
        <v>288</v>
      </c>
      <c r="W4165" t="str">
        <f t="shared" si="955"/>
        <v>Galileo Galilei Way</v>
      </c>
      <c r="X4165" t="str">
        <f>IF(ISBLANK(S4165),"Intersection","Non-Intersection")</f>
        <v>Intersection</v>
      </c>
      <c r="Y4165" t="s">
        <v>289</v>
      </c>
      <c r="Z4165" t="str">
        <f t="shared" si="956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943"/>
        <v>40909</v>
      </c>
      <c r="D4166" s="4">
        <f t="shared" si="944"/>
        <v>0.69672131147540983</v>
      </c>
      <c r="E4166" s="3">
        <f t="shared" si="945"/>
        <v>2012</v>
      </c>
      <c r="F4166" s="3">
        <f t="shared" si="946"/>
        <v>9</v>
      </c>
      <c r="G4166" s="3">
        <f t="shared" si="947"/>
        <v>12</v>
      </c>
      <c r="H4166" s="3">
        <f t="shared" si="948"/>
        <v>21</v>
      </c>
      <c r="I4166" s="3">
        <f t="shared" si="949"/>
        <v>33</v>
      </c>
      <c r="J4166" s="3">
        <f t="shared" si="950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951"/>
        <v>YES</v>
      </c>
      <c r="Q4166" t="str">
        <f t="shared" si="952"/>
        <v>NO</v>
      </c>
      <c r="R4166" t="str">
        <f t="shared" si="953"/>
        <v>NO</v>
      </c>
      <c r="S4166">
        <v>227</v>
      </c>
      <c r="T4166" t="s">
        <v>170</v>
      </c>
      <c r="U4166" t="str">
        <f t="shared" si="954"/>
        <v>Alewife Brook Pky</v>
      </c>
      <c r="W4166" t="str">
        <f t="shared" si="955"/>
        <v/>
      </c>
      <c r="X4166" t="str">
        <f>IF(ISBLANK(S4166),"Intersection","Non-Intersection")</f>
        <v>Non-Intersection</v>
      </c>
      <c r="Y4166" t="s">
        <v>4927</v>
      </c>
      <c r="Z4166" t="str">
        <f t="shared" si="956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943"/>
        <v>40909</v>
      </c>
      <c r="D4167" s="4">
        <f t="shared" si="944"/>
        <v>0.69672131147540983</v>
      </c>
      <c r="E4167" s="3">
        <f t="shared" si="945"/>
        <v>2012</v>
      </c>
      <c r="F4167" s="3">
        <f t="shared" si="946"/>
        <v>9</v>
      </c>
      <c r="G4167" s="3">
        <f t="shared" si="947"/>
        <v>12</v>
      </c>
      <c r="H4167" s="3">
        <f t="shared" si="948"/>
        <v>21</v>
      </c>
      <c r="I4167" s="3">
        <f t="shared" si="949"/>
        <v>59</v>
      </c>
      <c r="J4167" s="3">
        <f t="shared" si="950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951"/>
        <v>YES</v>
      </c>
      <c r="Q4167" t="str">
        <f t="shared" si="952"/>
        <v>NO</v>
      </c>
      <c r="R4167" t="str">
        <f t="shared" si="953"/>
        <v>NO</v>
      </c>
      <c r="S4167">
        <v>14</v>
      </c>
      <c r="T4167" t="s">
        <v>512</v>
      </c>
      <c r="U4167" t="str">
        <f t="shared" si="954"/>
        <v>Mount Vernon St</v>
      </c>
      <c r="W4167" t="str">
        <f t="shared" si="955"/>
        <v/>
      </c>
      <c r="X4167" t="str">
        <f>IF(ISBLANK(S4167),"Intersection","Non-Intersection")</f>
        <v>Non-Intersection</v>
      </c>
      <c r="Y4167" t="s">
        <v>4929</v>
      </c>
      <c r="Z4167" t="str">
        <f t="shared" si="956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943"/>
        <v>40909</v>
      </c>
      <c r="D4168" s="4">
        <f t="shared" si="944"/>
        <v>0.69672131147540983</v>
      </c>
      <c r="E4168" s="3">
        <f t="shared" si="945"/>
        <v>2012</v>
      </c>
      <c r="F4168" s="3">
        <f t="shared" si="946"/>
        <v>9</v>
      </c>
      <c r="G4168" s="3">
        <f t="shared" si="947"/>
        <v>12</v>
      </c>
      <c r="H4168" s="3">
        <f t="shared" si="948"/>
        <v>14</v>
      </c>
      <c r="I4168" s="3">
        <f t="shared" si="949"/>
        <v>19</v>
      </c>
      <c r="J4168" s="3">
        <f t="shared" si="950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951"/>
        <v>YES</v>
      </c>
      <c r="Q4168" t="str">
        <f t="shared" si="952"/>
        <v>NO</v>
      </c>
      <c r="R4168" t="str">
        <f t="shared" si="953"/>
        <v>NO</v>
      </c>
      <c r="T4168" t="s">
        <v>14</v>
      </c>
      <c r="U4168" t="str">
        <f t="shared" si="954"/>
        <v>Massachusetts Ave</v>
      </c>
      <c r="V4168" t="s">
        <v>15</v>
      </c>
      <c r="W4168" t="str">
        <f t="shared" si="955"/>
        <v>Rindge Ave</v>
      </c>
      <c r="X4168" t="str">
        <f>IF(ISBLANK(S4168),"Intersection","Non-Intersection")</f>
        <v>Intersection</v>
      </c>
      <c r="Y4168" t="s">
        <v>16</v>
      </c>
      <c r="Z4168" t="str">
        <f t="shared" si="956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943"/>
        <v>40909</v>
      </c>
      <c r="D4169" s="4">
        <f t="shared" si="944"/>
        <v>0.69672131147540983</v>
      </c>
      <c r="E4169" s="3">
        <f t="shared" si="945"/>
        <v>2012</v>
      </c>
      <c r="F4169" s="3">
        <f t="shared" si="946"/>
        <v>9</v>
      </c>
      <c r="G4169" s="3">
        <f t="shared" si="947"/>
        <v>12</v>
      </c>
      <c r="H4169" s="3">
        <f t="shared" si="948"/>
        <v>10</v>
      </c>
      <c r="I4169" s="3">
        <f t="shared" si="949"/>
        <v>15</v>
      </c>
      <c r="J4169" s="3">
        <f t="shared" si="950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951"/>
        <v>YES</v>
      </c>
      <c r="Q4169" t="str">
        <f t="shared" si="952"/>
        <v>NO</v>
      </c>
      <c r="R4169" t="str">
        <f t="shared" si="953"/>
        <v>NO</v>
      </c>
      <c r="S4169">
        <v>53</v>
      </c>
      <c r="T4169" t="s">
        <v>268</v>
      </c>
      <c r="U4169" t="str">
        <f t="shared" si="954"/>
        <v>White St</v>
      </c>
      <c r="W4169" t="str">
        <f t="shared" si="955"/>
        <v/>
      </c>
      <c r="X4169" t="str">
        <f>IF(ISBLANK(S4169),"Intersection","Non-Intersection")</f>
        <v>Non-Intersection</v>
      </c>
      <c r="Y4169" t="s">
        <v>4931</v>
      </c>
      <c r="Z4169" t="str">
        <f t="shared" si="956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943"/>
        <v>40909</v>
      </c>
      <c r="D4170" s="4">
        <f t="shared" si="944"/>
        <v>0.69945355191256831</v>
      </c>
      <c r="E4170" s="3">
        <f t="shared" si="945"/>
        <v>2012</v>
      </c>
      <c r="F4170" s="3">
        <f t="shared" si="946"/>
        <v>9</v>
      </c>
      <c r="G4170" s="3">
        <f t="shared" si="947"/>
        <v>13</v>
      </c>
      <c r="H4170" s="3">
        <f t="shared" si="948"/>
        <v>8</v>
      </c>
      <c r="I4170" s="3">
        <f t="shared" si="949"/>
        <v>19</v>
      </c>
      <c r="J4170" s="3">
        <f t="shared" si="950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951"/>
        <v>YES</v>
      </c>
      <c r="Q4170" t="str">
        <f t="shared" si="952"/>
        <v>NO</v>
      </c>
      <c r="R4170" t="str">
        <f t="shared" si="953"/>
        <v>YES</v>
      </c>
      <c r="T4170" t="s">
        <v>186</v>
      </c>
      <c r="U4170" t="str">
        <f t="shared" si="954"/>
        <v>Concord Ave</v>
      </c>
      <c r="V4170" t="s">
        <v>4933</v>
      </c>
      <c r="W4170" t="str">
        <f t="shared" si="955"/>
        <v>Griswold St</v>
      </c>
      <c r="X4170" t="str">
        <f>IF(ISBLANK(S4170),"Intersection","Non-Intersection")</f>
        <v>Intersection</v>
      </c>
      <c r="Y4170" t="s">
        <v>4934</v>
      </c>
      <c r="Z4170" t="str">
        <f t="shared" si="956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943"/>
        <v>40909</v>
      </c>
      <c r="D4171" s="4">
        <f t="shared" si="944"/>
        <v>0.69945355191256831</v>
      </c>
      <c r="E4171" s="3">
        <f t="shared" si="945"/>
        <v>2012</v>
      </c>
      <c r="F4171" s="3">
        <f t="shared" si="946"/>
        <v>9</v>
      </c>
      <c r="G4171" s="3">
        <f t="shared" si="947"/>
        <v>13</v>
      </c>
      <c r="H4171" s="3">
        <f t="shared" si="948"/>
        <v>12</v>
      </c>
      <c r="I4171" s="3">
        <f t="shared" si="949"/>
        <v>30</v>
      </c>
      <c r="J4171" s="3">
        <f t="shared" si="950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951"/>
        <v>YES</v>
      </c>
      <c r="Q4171" t="str">
        <f t="shared" si="952"/>
        <v>NO</v>
      </c>
      <c r="R4171" t="str">
        <f t="shared" si="953"/>
        <v>NO</v>
      </c>
      <c r="S4171">
        <v>395</v>
      </c>
      <c r="T4171" t="s">
        <v>105</v>
      </c>
      <c r="U4171" t="str">
        <f t="shared" si="954"/>
        <v>Broadway</v>
      </c>
      <c r="W4171" t="str">
        <f t="shared" si="955"/>
        <v/>
      </c>
      <c r="X4171" t="str">
        <f>IF(ISBLANK(S4171),"Intersection","Non-Intersection")</f>
        <v>Non-Intersection</v>
      </c>
      <c r="Y4171" t="s">
        <v>4935</v>
      </c>
      <c r="Z4171" t="str">
        <f t="shared" si="956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943"/>
        <v>40909</v>
      </c>
      <c r="D4172" s="4">
        <f t="shared" si="944"/>
        <v>0.69945355191256831</v>
      </c>
      <c r="E4172" s="3">
        <f t="shared" si="945"/>
        <v>2012</v>
      </c>
      <c r="F4172" s="3">
        <f t="shared" si="946"/>
        <v>9</v>
      </c>
      <c r="G4172" s="3">
        <f t="shared" si="947"/>
        <v>13</v>
      </c>
      <c r="H4172" s="3">
        <f t="shared" si="948"/>
        <v>13</v>
      </c>
      <c r="I4172" s="3">
        <f t="shared" si="949"/>
        <v>18</v>
      </c>
      <c r="J4172" s="3">
        <f t="shared" si="950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951"/>
        <v>YES</v>
      </c>
      <c r="Q4172" t="str">
        <f t="shared" si="952"/>
        <v>NO</v>
      </c>
      <c r="R4172" t="str">
        <f t="shared" si="953"/>
        <v>NO</v>
      </c>
      <c r="S4172">
        <v>211</v>
      </c>
      <c r="T4172" t="s">
        <v>170</v>
      </c>
      <c r="U4172" t="str">
        <f t="shared" si="954"/>
        <v>Alewife Brook Pky</v>
      </c>
      <c r="W4172" t="str">
        <f t="shared" si="955"/>
        <v/>
      </c>
      <c r="X4172" t="str">
        <f>IF(ISBLANK(S4172),"Intersection","Non-Intersection")</f>
        <v>Non-Intersection</v>
      </c>
      <c r="Y4172" t="s">
        <v>1359</v>
      </c>
      <c r="Z4172" t="str">
        <f t="shared" si="956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943"/>
        <v>40909</v>
      </c>
      <c r="D4173" s="4">
        <f t="shared" si="944"/>
        <v>0.70218579234972678</v>
      </c>
      <c r="E4173" s="3">
        <f t="shared" si="945"/>
        <v>2012</v>
      </c>
      <c r="F4173" s="3">
        <f t="shared" si="946"/>
        <v>9</v>
      </c>
      <c r="G4173" s="3">
        <f t="shared" si="947"/>
        <v>14</v>
      </c>
      <c r="H4173" s="3">
        <f t="shared" si="948"/>
        <v>7</v>
      </c>
      <c r="I4173" s="3">
        <f t="shared" si="949"/>
        <v>50</v>
      </c>
      <c r="J4173" s="3">
        <f t="shared" si="950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951"/>
        <v>NO</v>
      </c>
      <c r="Q4173" t="str">
        <f t="shared" si="952"/>
        <v>NO</v>
      </c>
      <c r="R4173" t="str">
        <f t="shared" si="953"/>
        <v>NO</v>
      </c>
      <c r="S4173">
        <v>64</v>
      </c>
      <c r="T4173" t="s">
        <v>1155</v>
      </c>
      <c r="U4173" t="str">
        <f t="shared" si="954"/>
        <v>Matignon Rd</v>
      </c>
      <c r="W4173" t="str">
        <f t="shared" si="955"/>
        <v/>
      </c>
      <c r="X4173" t="str">
        <f>IF(ISBLANK(S4173),"Intersection","Non-Intersection")</f>
        <v>Non-Intersection</v>
      </c>
      <c r="Y4173" t="s">
        <v>4937</v>
      </c>
      <c r="Z4173" t="str">
        <f t="shared" si="956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943"/>
        <v>40909</v>
      </c>
      <c r="D4174" s="4">
        <f t="shared" si="944"/>
        <v>0.70218579234972678</v>
      </c>
      <c r="E4174" s="3">
        <f t="shared" si="945"/>
        <v>2012</v>
      </c>
      <c r="F4174" s="3">
        <f t="shared" si="946"/>
        <v>9</v>
      </c>
      <c r="G4174" s="3">
        <f t="shared" si="947"/>
        <v>14</v>
      </c>
      <c r="H4174" s="3">
        <f t="shared" si="948"/>
        <v>13</v>
      </c>
      <c r="I4174" s="3">
        <f t="shared" si="949"/>
        <v>34</v>
      </c>
      <c r="J4174" s="3">
        <f t="shared" si="950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951"/>
        <v>YES</v>
      </c>
      <c r="Q4174" t="str">
        <f t="shared" si="952"/>
        <v>YES</v>
      </c>
      <c r="R4174" t="str">
        <f t="shared" si="953"/>
        <v>NO</v>
      </c>
      <c r="S4174">
        <v>141</v>
      </c>
      <c r="T4174" t="s">
        <v>342</v>
      </c>
      <c r="U4174" t="str">
        <f t="shared" si="954"/>
        <v>Prospect St</v>
      </c>
      <c r="W4174" t="str">
        <f t="shared" si="955"/>
        <v/>
      </c>
      <c r="X4174" t="str">
        <f>IF(ISBLANK(S4174),"Intersection","Non-Intersection")</f>
        <v>Non-Intersection</v>
      </c>
      <c r="Y4174" t="s">
        <v>4939</v>
      </c>
      <c r="Z4174" t="str">
        <f t="shared" si="956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943"/>
        <v>40909</v>
      </c>
      <c r="D4175" s="4">
        <f t="shared" si="944"/>
        <v>0.70218579234972678</v>
      </c>
      <c r="E4175" s="3">
        <f t="shared" si="945"/>
        <v>2012</v>
      </c>
      <c r="F4175" s="3">
        <f t="shared" si="946"/>
        <v>9</v>
      </c>
      <c r="G4175" s="3">
        <f t="shared" si="947"/>
        <v>14</v>
      </c>
      <c r="H4175" s="3">
        <f t="shared" si="948"/>
        <v>14</v>
      </c>
      <c r="I4175" s="3">
        <f t="shared" si="949"/>
        <v>45</v>
      </c>
      <c r="J4175" s="3">
        <f t="shared" si="950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951"/>
        <v>YES</v>
      </c>
      <c r="Q4175" t="str">
        <f t="shared" si="952"/>
        <v>NO</v>
      </c>
      <c r="R4175" t="str">
        <f t="shared" si="953"/>
        <v>NO</v>
      </c>
      <c r="S4175">
        <v>145</v>
      </c>
      <c r="T4175" t="s">
        <v>199</v>
      </c>
      <c r="U4175" t="str">
        <f t="shared" si="954"/>
        <v>Brattle St</v>
      </c>
      <c r="W4175" t="str">
        <f t="shared" si="955"/>
        <v/>
      </c>
      <c r="X4175" t="str">
        <f>IF(ISBLANK(S4175),"Intersection","Non-Intersection")</f>
        <v>Non-Intersection</v>
      </c>
      <c r="Y4175" t="s">
        <v>3677</v>
      </c>
      <c r="Z4175" t="str">
        <f t="shared" si="956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943"/>
        <v>40909</v>
      </c>
      <c r="D4176" s="4">
        <f t="shared" si="944"/>
        <v>0.70218579234972678</v>
      </c>
      <c r="E4176" s="3">
        <f t="shared" si="945"/>
        <v>2012</v>
      </c>
      <c r="F4176" s="3">
        <f t="shared" si="946"/>
        <v>9</v>
      </c>
      <c r="G4176" s="3">
        <f t="shared" si="947"/>
        <v>14</v>
      </c>
      <c r="H4176" s="3">
        <f t="shared" si="948"/>
        <v>16</v>
      </c>
      <c r="I4176" s="3">
        <f t="shared" si="949"/>
        <v>40</v>
      </c>
      <c r="J4176" s="3">
        <f t="shared" si="950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951"/>
        <v>YES</v>
      </c>
      <c r="Q4176" t="str">
        <f t="shared" si="952"/>
        <v>NO</v>
      </c>
      <c r="R4176" t="str">
        <f t="shared" si="953"/>
        <v>NO</v>
      </c>
      <c r="S4176">
        <v>5</v>
      </c>
      <c r="T4176" t="s">
        <v>4941</v>
      </c>
      <c r="U4176" t="str">
        <f t="shared" si="954"/>
        <v>Gerry St</v>
      </c>
      <c r="W4176" t="str">
        <f t="shared" si="955"/>
        <v/>
      </c>
      <c r="X4176" t="str">
        <f>IF(ISBLANK(S4176),"Intersection","Non-Intersection")</f>
        <v>Non-Intersection</v>
      </c>
      <c r="Y4176" t="s">
        <v>4942</v>
      </c>
      <c r="Z4176" t="str">
        <f t="shared" si="956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943"/>
        <v>40909</v>
      </c>
      <c r="D4177" s="4">
        <f t="shared" si="944"/>
        <v>0.70218579234972678</v>
      </c>
      <c r="E4177" s="3">
        <f t="shared" si="945"/>
        <v>2012</v>
      </c>
      <c r="F4177" s="3">
        <f t="shared" si="946"/>
        <v>9</v>
      </c>
      <c r="G4177" s="3">
        <f t="shared" si="947"/>
        <v>14</v>
      </c>
      <c r="H4177" s="3">
        <f t="shared" si="948"/>
        <v>19</v>
      </c>
      <c r="I4177" s="3">
        <f t="shared" si="949"/>
        <v>48</v>
      </c>
      <c r="J4177" s="3">
        <f t="shared" si="950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951"/>
        <v>YES</v>
      </c>
      <c r="Q4177" t="str">
        <f t="shared" si="952"/>
        <v>NO</v>
      </c>
      <c r="R4177" t="str">
        <f t="shared" si="953"/>
        <v>NO</v>
      </c>
      <c r="T4177" t="s">
        <v>14</v>
      </c>
      <c r="U4177" t="str">
        <f t="shared" si="954"/>
        <v>Massachusetts Ave</v>
      </c>
      <c r="V4177" t="s">
        <v>487</v>
      </c>
      <c r="W4177" t="str">
        <f t="shared" si="955"/>
        <v>Beech St</v>
      </c>
      <c r="X4177" t="str">
        <f>IF(ISBLANK(S4177),"Intersection","Non-Intersection")</f>
        <v>Intersection</v>
      </c>
      <c r="Y4177" t="s">
        <v>787</v>
      </c>
      <c r="Z4177" t="str">
        <f t="shared" si="956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943"/>
        <v>40909</v>
      </c>
      <c r="D4178" s="4">
        <f t="shared" si="944"/>
        <v>0.70218579234972678</v>
      </c>
      <c r="E4178" s="3">
        <f t="shared" si="945"/>
        <v>2012</v>
      </c>
      <c r="F4178" s="3">
        <f t="shared" si="946"/>
        <v>9</v>
      </c>
      <c r="G4178" s="3">
        <f t="shared" si="947"/>
        <v>14</v>
      </c>
      <c r="H4178" s="3">
        <f t="shared" si="948"/>
        <v>8</v>
      </c>
      <c r="I4178" s="3">
        <f t="shared" si="949"/>
        <v>0</v>
      </c>
      <c r="J4178" s="3">
        <f t="shared" si="950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951"/>
        <v>YES</v>
      </c>
      <c r="Q4178" t="str">
        <f t="shared" si="952"/>
        <v>NO</v>
      </c>
      <c r="R4178" t="str">
        <f t="shared" si="953"/>
        <v>NO</v>
      </c>
      <c r="T4178" t="s">
        <v>14</v>
      </c>
      <c r="U4178" t="str">
        <f t="shared" si="954"/>
        <v>Massachusetts Ave</v>
      </c>
      <c r="V4178" t="s">
        <v>202</v>
      </c>
      <c r="W4178" t="str">
        <f t="shared" si="955"/>
        <v>Vassar St</v>
      </c>
      <c r="X4178" t="str">
        <f>IF(ISBLANK(S4178),"Intersection","Non-Intersection")</f>
        <v>Intersection</v>
      </c>
      <c r="Y4178" t="s">
        <v>361</v>
      </c>
      <c r="Z4178" t="str">
        <f t="shared" si="956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943"/>
        <v>40909</v>
      </c>
      <c r="D4179" s="4">
        <f t="shared" si="944"/>
        <v>0.70491803278688525</v>
      </c>
      <c r="E4179" s="3">
        <f t="shared" si="945"/>
        <v>2012</v>
      </c>
      <c r="F4179" s="3">
        <f t="shared" si="946"/>
        <v>9</v>
      </c>
      <c r="G4179" s="3">
        <f t="shared" si="947"/>
        <v>15</v>
      </c>
      <c r="H4179" s="3">
        <f t="shared" si="948"/>
        <v>3</v>
      </c>
      <c r="I4179" s="3">
        <f t="shared" si="949"/>
        <v>10</v>
      </c>
      <c r="J4179" s="3">
        <f t="shared" si="950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951"/>
        <v>YES</v>
      </c>
      <c r="Q4179" t="str">
        <f t="shared" si="952"/>
        <v>NO</v>
      </c>
      <c r="R4179" t="str">
        <f t="shared" si="953"/>
        <v>NO</v>
      </c>
      <c r="S4179">
        <v>284</v>
      </c>
      <c r="T4179" t="s">
        <v>202</v>
      </c>
      <c r="U4179" t="str">
        <f t="shared" si="954"/>
        <v>Vassar St</v>
      </c>
      <c r="W4179" t="str">
        <f t="shared" si="955"/>
        <v/>
      </c>
      <c r="X4179" t="str">
        <f>IF(ISBLANK(S4179),"Intersection","Non-Intersection")</f>
        <v>Non-Intersection</v>
      </c>
      <c r="Y4179" t="s">
        <v>4944</v>
      </c>
      <c r="Z4179" t="str">
        <f t="shared" si="956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943"/>
        <v>40909</v>
      </c>
      <c r="D4180" s="4">
        <f t="shared" si="944"/>
        <v>0.70491803278688525</v>
      </c>
      <c r="E4180" s="3">
        <f t="shared" si="945"/>
        <v>2012</v>
      </c>
      <c r="F4180" s="3">
        <f t="shared" si="946"/>
        <v>9</v>
      </c>
      <c r="G4180" s="3">
        <f t="shared" si="947"/>
        <v>15</v>
      </c>
      <c r="H4180" s="3">
        <f t="shared" si="948"/>
        <v>6</v>
      </c>
      <c r="I4180" s="3">
        <f t="shared" si="949"/>
        <v>30</v>
      </c>
      <c r="J4180" s="3">
        <f t="shared" si="950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951"/>
        <v>YES</v>
      </c>
      <c r="Q4180" t="str">
        <f t="shared" si="952"/>
        <v>NO</v>
      </c>
      <c r="R4180" t="str">
        <f t="shared" si="953"/>
        <v>NO</v>
      </c>
      <c r="T4180" t="s">
        <v>142</v>
      </c>
      <c r="U4180" t="str">
        <f t="shared" si="954"/>
        <v>Huron Ave</v>
      </c>
      <c r="V4180" t="s">
        <v>464</v>
      </c>
      <c r="W4180" t="str">
        <f t="shared" si="955"/>
        <v>Aberdeen Way</v>
      </c>
      <c r="X4180" t="str">
        <f>IF(ISBLANK(S4180),"Intersection","Non-Intersection")</f>
        <v>Intersection</v>
      </c>
      <c r="Y4180" t="s">
        <v>2397</v>
      </c>
      <c r="Z4180" t="str">
        <f t="shared" si="956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943"/>
        <v>40909</v>
      </c>
      <c r="D4181" s="4">
        <f t="shared" si="944"/>
        <v>0.70491803278688525</v>
      </c>
      <c r="E4181" s="3">
        <f t="shared" si="945"/>
        <v>2012</v>
      </c>
      <c r="F4181" s="3">
        <f t="shared" si="946"/>
        <v>9</v>
      </c>
      <c r="G4181" s="3">
        <f t="shared" si="947"/>
        <v>15</v>
      </c>
      <c r="H4181" s="3">
        <f t="shared" si="948"/>
        <v>16</v>
      </c>
      <c r="I4181" s="3">
        <f t="shared" si="949"/>
        <v>9</v>
      </c>
      <c r="J4181" s="3">
        <f t="shared" si="950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951"/>
        <v>YES</v>
      </c>
      <c r="Q4181" t="str">
        <f t="shared" si="952"/>
        <v>YES</v>
      </c>
      <c r="R4181" t="str">
        <f t="shared" si="953"/>
        <v>NO</v>
      </c>
      <c r="S4181">
        <v>2055</v>
      </c>
      <c r="T4181" t="s">
        <v>14</v>
      </c>
      <c r="U4181" t="str">
        <f t="shared" si="954"/>
        <v>Massachusetts Ave</v>
      </c>
      <c r="W4181" t="str">
        <f t="shared" si="955"/>
        <v/>
      </c>
      <c r="X4181" t="str">
        <f>IF(ISBLANK(S4181),"Intersection","Non-Intersection")</f>
        <v>Non-Intersection</v>
      </c>
      <c r="Y4181" t="s">
        <v>3399</v>
      </c>
      <c r="Z4181" t="str">
        <f t="shared" si="956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943"/>
        <v>40909</v>
      </c>
      <c r="D4182" s="4">
        <f t="shared" si="944"/>
        <v>0.70491803278688525</v>
      </c>
      <c r="E4182" s="3">
        <f t="shared" si="945"/>
        <v>2012</v>
      </c>
      <c r="F4182" s="3">
        <f t="shared" si="946"/>
        <v>9</v>
      </c>
      <c r="G4182" s="3">
        <f t="shared" si="947"/>
        <v>15</v>
      </c>
      <c r="H4182" s="3">
        <f t="shared" si="948"/>
        <v>10</v>
      </c>
      <c r="I4182" s="3">
        <f t="shared" si="949"/>
        <v>38</v>
      </c>
      <c r="J4182" s="3">
        <f t="shared" si="950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951"/>
        <v>YES</v>
      </c>
      <c r="Q4182" t="str">
        <f t="shared" si="952"/>
        <v>YES</v>
      </c>
      <c r="R4182" t="str">
        <f t="shared" si="953"/>
        <v>NO</v>
      </c>
      <c r="T4182" t="s">
        <v>1389</v>
      </c>
      <c r="U4182" t="str">
        <f t="shared" si="954"/>
        <v>Dover St</v>
      </c>
      <c r="V4182" t="s">
        <v>14</v>
      </c>
      <c r="W4182" t="str">
        <f t="shared" si="955"/>
        <v>Massachusetts Ave</v>
      </c>
      <c r="X4182" t="str">
        <f>IF(ISBLANK(S4182),"Intersection","Non-Intersection")</f>
        <v>Intersection</v>
      </c>
      <c r="Y4182" t="s">
        <v>2455</v>
      </c>
      <c r="Z4182" t="str">
        <f t="shared" si="956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943"/>
        <v>40909</v>
      </c>
      <c r="D4183" s="4">
        <f t="shared" si="944"/>
        <v>0.70765027322404372</v>
      </c>
      <c r="E4183" s="3">
        <f t="shared" si="945"/>
        <v>2012</v>
      </c>
      <c r="F4183" s="3">
        <f t="shared" si="946"/>
        <v>9</v>
      </c>
      <c r="G4183" s="3">
        <f t="shared" si="947"/>
        <v>16</v>
      </c>
      <c r="H4183" s="3">
        <f t="shared" si="948"/>
        <v>15</v>
      </c>
      <c r="I4183" s="3">
        <f t="shared" si="949"/>
        <v>10</v>
      </c>
      <c r="J4183" s="3">
        <f t="shared" si="950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951"/>
        <v>YES</v>
      </c>
      <c r="Q4183" t="str">
        <f t="shared" si="952"/>
        <v>NO</v>
      </c>
      <c r="R4183" t="str">
        <f t="shared" si="953"/>
        <v>NO</v>
      </c>
      <c r="T4183" t="s">
        <v>316</v>
      </c>
      <c r="U4183" t="str">
        <f t="shared" si="954"/>
        <v>Bishop Allen Dr</v>
      </c>
      <c r="V4183" t="s">
        <v>315</v>
      </c>
      <c r="W4183" t="str">
        <f t="shared" si="955"/>
        <v>Essex St</v>
      </c>
      <c r="X4183" t="str">
        <f>IF(ISBLANK(S4183),"Intersection","Non-Intersection")</f>
        <v>Intersection</v>
      </c>
      <c r="Y4183" t="s">
        <v>3185</v>
      </c>
      <c r="Z4183" t="str">
        <f t="shared" si="956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943"/>
        <v>40909</v>
      </c>
      <c r="D4184" s="4">
        <f t="shared" si="944"/>
        <v>0.7103825136612022</v>
      </c>
      <c r="E4184" s="3">
        <f t="shared" si="945"/>
        <v>2012</v>
      </c>
      <c r="F4184" s="3">
        <f t="shared" si="946"/>
        <v>9</v>
      </c>
      <c r="G4184" s="3">
        <f t="shared" si="947"/>
        <v>17</v>
      </c>
      <c r="H4184" s="3">
        <f t="shared" si="948"/>
        <v>11</v>
      </c>
      <c r="I4184" s="3">
        <f t="shared" si="949"/>
        <v>16</v>
      </c>
      <c r="J4184" s="3">
        <f t="shared" si="950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951"/>
        <v>YES</v>
      </c>
      <c r="Q4184" t="str">
        <f t="shared" si="952"/>
        <v>NO</v>
      </c>
      <c r="R4184" t="str">
        <f t="shared" si="953"/>
        <v>NO</v>
      </c>
      <c r="T4184" t="s">
        <v>198</v>
      </c>
      <c r="U4184" t="str">
        <f t="shared" si="954"/>
        <v>Mount Auburn St</v>
      </c>
      <c r="V4184" t="s">
        <v>464</v>
      </c>
      <c r="W4184" t="str">
        <f t="shared" si="955"/>
        <v>Aberdeen Way</v>
      </c>
      <c r="X4184" t="str">
        <f>IF(ISBLANK(S4184),"Intersection","Non-Intersection")</f>
        <v>Intersection</v>
      </c>
      <c r="Y4184" t="s">
        <v>1666</v>
      </c>
      <c r="Z4184" t="str">
        <f t="shared" si="956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943"/>
        <v>40909</v>
      </c>
      <c r="D4185" s="4">
        <f t="shared" si="944"/>
        <v>0.7103825136612022</v>
      </c>
      <c r="E4185" s="3">
        <f t="shared" si="945"/>
        <v>2012</v>
      </c>
      <c r="F4185" s="3">
        <f t="shared" si="946"/>
        <v>9</v>
      </c>
      <c r="G4185" s="3">
        <f t="shared" si="947"/>
        <v>17</v>
      </c>
      <c r="H4185" s="3">
        <f t="shared" si="948"/>
        <v>14</v>
      </c>
      <c r="I4185" s="3">
        <f t="shared" si="949"/>
        <v>29</v>
      </c>
      <c r="J4185" s="3">
        <f t="shared" si="950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951"/>
        <v>YES</v>
      </c>
      <c r="Q4185" t="str">
        <f t="shared" si="952"/>
        <v>NO</v>
      </c>
      <c r="R4185" t="str">
        <f t="shared" si="953"/>
        <v>NO</v>
      </c>
      <c r="S4185">
        <v>7</v>
      </c>
      <c r="T4185" t="s">
        <v>2421</v>
      </c>
      <c r="U4185" t="str">
        <f t="shared" si="954"/>
        <v>Follen St</v>
      </c>
      <c r="W4185" t="str">
        <f t="shared" si="955"/>
        <v/>
      </c>
      <c r="X4185" t="str">
        <f>IF(ISBLANK(S4185),"Intersection","Non-Intersection")</f>
        <v>Non-Intersection</v>
      </c>
      <c r="Y4185" t="s">
        <v>4946</v>
      </c>
      <c r="Z4185" t="str">
        <f t="shared" si="956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943"/>
        <v>40909</v>
      </c>
      <c r="D4186" s="4">
        <f t="shared" si="944"/>
        <v>0.7103825136612022</v>
      </c>
      <c r="E4186" s="3">
        <f t="shared" si="945"/>
        <v>2012</v>
      </c>
      <c r="F4186" s="3">
        <f t="shared" si="946"/>
        <v>9</v>
      </c>
      <c r="G4186" s="3">
        <f t="shared" si="947"/>
        <v>17</v>
      </c>
      <c r="H4186" s="3">
        <f t="shared" si="948"/>
        <v>15</v>
      </c>
      <c r="I4186" s="3">
        <f t="shared" si="949"/>
        <v>0</v>
      </c>
      <c r="J4186" s="3">
        <f t="shared" si="950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951"/>
        <v>YES</v>
      </c>
      <c r="Q4186" t="str">
        <f t="shared" si="952"/>
        <v>NO</v>
      </c>
      <c r="R4186" t="str">
        <f t="shared" si="953"/>
        <v>NO</v>
      </c>
      <c r="S4186">
        <v>321</v>
      </c>
      <c r="T4186" t="s">
        <v>75</v>
      </c>
      <c r="U4186" t="str">
        <f t="shared" si="954"/>
        <v>Elm St</v>
      </c>
      <c r="W4186" t="str">
        <f t="shared" si="955"/>
        <v/>
      </c>
      <c r="X4186" t="str">
        <f>IF(ISBLANK(S4186),"Intersection","Non-Intersection")</f>
        <v>Non-Intersection</v>
      </c>
      <c r="Y4186" t="s">
        <v>4948</v>
      </c>
      <c r="Z4186" t="str">
        <f t="shared" si="956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943"/>
        <v>40909</v>
      </c>
      <c r="D4187" s="4">
        <f t="shared" si="944"/>
        <v>0.7103825136612022</v>
      </c>
      <c r="E4187" s="3">
        <f t="shared" si="945"/>
        <v>2012</v>
      </c>
      <c r="F4187" s="3">
        <f t="shared" si="946"/>
        <v>9</v>
      </c>
      <c r="G4187" s="3">
        <f t="shared" si="947"/>
        <v>17</v>
      </c>
      <c r="H4187" s="3">
        <f t="shared" si="948"/>
        <v>9</v>
      </c>
      <c r="I4187" s="3">
        <f t="shared" si="949"/>
        <v>49</v>
      </c>
      <c r="J4187" s="3">
        <f t="shared" si="950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951"/>
        <v>YES</v>
      </c>
      <c r="Q4187" t="str">
        <f t="shared" si="952"/>
        <v>YES</v>
      </c>
      <c r="R4187" t="str">
        <f t="shared" si="953"/>
        <v>NO</v>
      </c>
      <c r="T4187" t="s">
        <v>14</v>
      </c>
      <c r="U4187" t="str">
        <f t="shared" si="954"/>
        <v>Massachusetts Ave</v>
      </c>
      <c r="V4187" t="s">
        <v>70</v>
      </c>
      <c r="W4187" t="str">
        <f t="shared" si="955"/>
        <v>Pearl St</v>
      </c>
      <c r="X4187" t="str">
        <f>IF(ISBLANK(S4187),"Intersection","Non-Intersection")</f>
        <v>Intersection</v>
      </c>
      <c r="Y4187" t="s">
        <v>855</v>
      </c>
      <c r="Z4187" t="str">
        <f t="shared" si="956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943"/>
        <v>40909</v>
      </c>
      <c r="D4188" s="4">
        <f t="shared" si="944"/>
        <v>0.71311475409836067</v>
      </c>
      <c r="E4188" s="3">
        <f t="shared" si="945"/>
        <v>2012</v>
      </c>
      <c r="F4188" s="3">
        <f t="shared" si="946"/>
        <v>9</v>
      </c>
      <c r="G4188" s="3">
        <f t="shared" si="947"/>
        <v>18</v>
      </c>
      <c r="H4188" s="3">
        <f t="shared" si="948"/>
        <v>7</v>
      </c>
      <c r="I4188" s="3">
        <f t="shared" si="949"/>
        <v>44</v>
      </c>
      <c r="J4188" s="3">
        <f t="shared" si="950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951"/>
        <v>YES</v>
      </c>
      <c r="Q4188" t="str">
        <f t="shared" si="952"/>
        <v>YES</v>
      </c>
      <c r="R4188" t="str">
        <f t="shared" si="953"/>
        <v>NO</v>
      </c>
      <c r="T4188" t="s">
        <v>296</v>
      </c>
      <c r="U4188" t="str">
        <f t="shared" si="954"/>
        <v>Mason St</v>
      </c>
      <c r="V4188" t="s">
        <v>1316</v>
      </c>
      <c r="W4188" t="str">
        <f t="shared" si="955"/>
        <v>State St</v>
      </c>
      <c r="X4188" t="str">
        <f>IF(ISBLANK(S4188),"Intersection","Non-Intersection")</f>
        <v>Intersection</v>
      </c>
      <c r="Y4188" t="s">
        <v>4950</v>
      </c>
      <c r="Z4188" t="str">
        <f t="shared" si="956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943"/>
        <v>40909</v>
      </c>
      <c r="D4189" s="4">
        <f t="shared" si="944"/>
        <v>0.71311475409836067</v>
      </c>
      <c r="E4189" s="3">
        <f t="shared" si="945"/>
        <v>2012</v>
      </c>
      <c r="F4189" s="3">
        <f t="shared" si="946"/>
        <v>9</v>
      </c>
      <c r="G4189" s="3">
        <f t="shared" si="947"/>
        <v>18</v>
      </c>
      <c r="H4189" s="3">
        <f t="shared" si="948"/>
        <v>8</v>
      </c>
      <c r="I4189" s="3">
        <f t="shared" si="949"/>
        <v>0</v>
      </c>
      <c r="J4189" s="3">
        <f t="shared" si="950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951"/>
        <v>YES</v>
      </c>
      <c r="Q4189" t="str">
        <f t="shared" si="952"/>
        <v>NO</v>
      </c>
      <c r="R4189" t="str">
        <f t="shared" si="953"/>
        <v>NO</v>
      </c>
      <c r="S4189">
        <v>133</v>
      </c>
      <c r="T4189" t="s">
        <v>42</v>
      </c>
      <c r="U4189" t="str">
        <f t="shared" si="954"/>
        <v>Putnam Ave</v>
      </c>
      <c r="W4189" t="str">
        <f t="shared" si="955"/>
        <v/>
      </c>
      <c r="X4189" t="str">
        <f>IF(ISBLANK(S4189),"Intersection","Non-Intersection")</f>
        <v>Non-Intersection</v>
      </c>
      <c r="Y4189" t="s">
        <v>4951</v>
      </c>
      <c r="Z4189" t="str">
        <f t="shared" si="956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943"/>
        <v>40909</v>
      </c>
      <c r="D4190" s="4">
        <f t="shared" si="944"/>
        <v>0.71311475409836067</v>
      </c>
      <c r="E4190" s="3">
        <f t="shared" si="945"/>
        <v>2012</v>
      </c>
      <c r="F4190" s="3">
        <f t="shared" si="946"/>
        <v>9</v>
      </c>
      <c r="G4190" s="3">
        <f t="shared" si="947"/>
        <v>18</v>
      </c>
      <c r="H4190" s="3">
        <f t="shared" si="948"/>
        <v>9</v>
      </c>
      <c r="I4190" s="3">
        <f t="shared" si="949"/>
        <v>43</v>
      </c>
      <c r="J4190" s="3">
        <f t="shared" si="950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951"/>
        <v>YES</v>
      </c>
      <c r="Q4190" t="str">
        <f t="shared" si="952"/>
        <v>NO</v>
      </c>
      <c r="R4190" t="str">
        <f t="shared" si="953"/>
        <v>NO</v>
      </c>
      <c r="T4190" t="s">
        <v>32</v>
      </c>
      <c r="U4190" t="str">
        <f t="shared" si="954"/>
        <v>Main St</v>
      </c>
      <c r="V4190" t="s">
        <v>189</v>
      </c>
      <c r="W4190" t="str">
        <f t="shared" si="955"/>
        <v>Windsor St</v>
      </c>
      <c r="X4190" t="str">
        <f>IF(ISBLANK(S4190),"Intersection","Non-Intersection")</f>
        <v>Intersection</v>
      </c>
      <c r="Y4190" t="s">
        <v>1737</v>
      </c>
      <c r="Z4190" t="str">
        <f t="shared" si="956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943"/>
        <v>40909</v>
      </c>
      <c r="D4191" s="4">
        <f t="shared" si="944"/>
        <v>0.71311475409836067</v>
      </c>
      <c r="E4191" s="3">
        <f t="shared" si="945"/>
        <v>2012</v>
      </c>
      <c r="F4191" s="3">
        <f t="shared" si="946"/>
        <v>9</v>
      </c>
      <c r="G4191" s="3">
        <f t="shared" si="947"/>
        <v>18</v>
      </c>
      <c r="H4191" s="3">
        <f t="shared" si="948"/>
        <v>10</v>
      </c>
      <c r="I4191" s="3">
        <f t="shared" si="949"/>
        <v>15</v>
      </c>
      <c r="J4191" s="3">
        <f t="shared" si="950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951"/>
        <v>YES</v>
      </c>
      <c r="Q4191" t="str">
        <f t="shared" si="952"/>
        <v>NO</v>
      </c>
      <c r="R4191" t="str">
        <f t="shared" si="953"/>
        <v>YES</v>
      </c>
      <c r="T4191" t="s">
        <v>453</v>
      </c>
      <c r="U4191" t="str">
        <f t="shared" si="954"/>
        <v>Brookline St</v>
      </c>
      <c r="V4191" t="s">
        <v>14</v>
      </c>
      <c r="W4191" t="str">
        <f t="shared" si="955"/>
        <v>Massachusetts Ave</v>
      </c>
      <c r="X4191" t="str">
        <f>IF(ISBLANK(S4191),"Intersection","Non-Intersection")</f>
        <v>Intersection</v>
      </c>
      <c r="Y4191" t="s">
        <v>1622</v>
      </c>
      <c r="Z4191" t="str">
        <f t="shared" si="956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943"/>
        <v>40909</v>
      </c>
      <c r="D4192" s="4">
        <f t="shared" si="944"/>
        <v>0.71311475409836067</v>
      </c>
      <c r="E4192" s="3">
        <f t="shared" si="945"/>
        <v>2012</v>
      </c>
      <c r="F4192" s="3">
        <f t="shared" si="946"/>
        <v>9</v>
      </c>
      <c r="G4192" s="3">
        <f t="shared" si="947"/>
        <v>18</v>
      </c>
      <c r="H4192" s="3">
        <f t="shared" si="948"/>
        <v>13</v>
      </c>
      <c r="I4192" s="3">
        <f t="shared" si="949"/>
        <v>50</v>
      </c>
      <c r="J4192" s="3">
        <f t="shared" si="950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951"/>
        <v>YES</v>
      </c>
      <c r="Q4192" t="str">
        <f t="shared" si="952"/>
        <v>NO</v>
      </c>
      <c r="R4192" t="str">
        <f t="shared" si="953"/>
        <v>YES</v>
      </c>
      <c r="S4192">
        <v>659</v>
      </c>
      <c r="T4192" t="s">
        <v>19</v>
      </c>
      <c r="U4192" t="str">
        <f t="shared" si="954"/>
        <v>Cambridge St</v>
      </c>
      <c r="W4192" t="str">
        <f t="shared" si="955"/>
        <v/>
      </c>
      <c r="X4192" t="str">
        <f>IF(ISBLANK(S4192),"Intersection","Non-Intersection")</f>
        <v>Non-Intersection</v>
      </c>
      <c r="Y4192" t="s">
        <v>4953</v>
      </c>
      <c r="Z4192" t="str">
        <f t="shared" si="956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943"/>
        <v>40909</v>
      </c>
      <c r="D4193" s="4">
        <f t="shared" si="944"/>
        <v>0.71311475409836067</v>
      </c>
      <c r="E4193" s="3">
        <f t="shared" si="945"/>
        <v>2012</v>
      </c>
      <c r="F4193" s="3">
        <f t="shared" si="946"/>
        <v>9</v>
      </c>
      <c r="G4193" s="3">
        <f t="shared" si="947"/>
        <v>18</v>
      </c>
      <c r="H4193" s="3">
        <f t="shared" si="948"/>
        <v>16</v>
      </c>
      <c r="I4193" s="3">
        <f t="shared" si="949"/>
        <v>53</v>
      </c>
      <c r="J4193" s="3">
        <f t="shared" si="950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951"/>
        <v>YES</v>
      </c>
      <c r="Q4193" t="str">
        <f t="shared" si="952"/>
        <v>NO</v>
      </c>
      <c r="R4193" t="str">
        <f t="shared" si="953"/>
        <v>NO</v>
      </c>
      <c r="S4193">
        <v>211</v>
      </c>
      <c r="T4193" t="s">
        <v>101</v>
      </c>
      <c r="U4193" t="str">
        <f t="shared" si="954"/>
        <v>Columbia St</v>
      </c>
      <c r="W4193" t="str">
        <f t="shared" si="955"/>
        <v/>
      </c>
      <c r="X4193" t="str">
        <f>IF(ISBLANK(S4193),"Intersection","Non-Intersection")</f>
        <v>Non-Intersection</v>
      </c>
      <c r="Y4193" t="s">
        <v>4955</v>
      </c>
      <c r="Z4193" t="str">
        <f t="shared" si="956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943"/>
        <v>40909</v>
      </c>
      <c r="D4194" s="4">
        <f t="shared" si="944"/>
        <v>0.71311475409836067</v>
      </c>
      <c r="E4194" s="3">
        <f t="shared" si="945"/>
        <v>2012</v>
      </c>
      <c r="F4194" s="3">
        <f t="shared" si="946"/>
        <v>9</v>
      </c>
      <c r="G4194" s="3">
        <f t="shared" si="947"/>
        <v>18</v>
      </c>
      <c r="H4194" s="3">
        <f t="shared" si="948"/>
        <v>18</v>
      </c>
      <c r="I4194" s="3">
        <f t="shared" si="949"/>
        <v>30</v>
      </c>
      <c r="J4194" s="3">
        <f t="shared" si="950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951"/>
        <v>YES</v>
      </c>
      <c r="Q4194" t="str">
        <f t="shared" si="952"/>
        <v>NO</v>
      </c>
      <c r="R4194" t="str">
        <f t="shared" si="953"/>
        <v>NO</v>
      </c>
      <c r="T4194" t="s">
        <v>326</v>
      </c>
      <c r="U4194" t="str">
        <f t="shared" si="954"/>
        <v>Jfk St</v>
      </c>
      <c r="V4194" t="s">
        <v>199</v>
      </c>
      <c r="W4194" t="str">
        <f t="shared" si="955"/>
        <v>Brattle St</v>
      </c>
      <c r="X4194" t="str">
        <f>IF(ISBLANK(S4194),"Intersection","Non-Intersection")</f>
        <v>Intersection</v>
      </c>
      <c r="Y4194" t="s">
        <v>681</v>
      </c>
      <c r="Z4194" t="str">
        <f t="shared" si="956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943"/>
        <v>40909</v>
      </c>
      <c r="D4195" s="4">
        <f t="shared" si="944"/>
        <v>0.71311475409836067</v>
      </c>
      <c r="E4195" s="3">
        <f t="shared" si="945"/>
        <v>2012</v>
      </c>
      <c r="F4195" s="3">
        <f t="shared" si="946"/>
        <v>9</v>
      </c>
      <c r="G4195" s="3">
        <f t="shared" si="947"/>
        <v>18</v>
      </c>
      <c r="H4195" s="3">
        <f t="shared" si="948"/>
        <v>18</v>
      </c>
      <c r="I4195" s="3">
        <f t="shared" si="949"/>
        <v>30</v>
      </c>
      <c r="J4195" s="3">
        <f t="shared" si="950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951"/>
        <v>YES</v>
      </c>
      <c r="Q4195" t="str">
        <f t="shared" si="952"/>
        <v>NO</v>
      </c>
      <c r="R4195" t="str">
        <f t="shared" si="953"/>
        <v>NO</v>
      </c>
      <c r="S4195">
        <v>37</v>
      </c>
      <c r="T4195" t="s">
        <v>89</v>
      </c>
      <c r="U4195" t="str">
        <f t="shared" si="954"/>
        <v>Magnolia Ave</v>
      </c>
      <c r="W4195" t="str">
        <f t="shared" si="955"/>
        <v/>
      </c>
      <c r="X4195" t="str">
        <f>IF(ISBLANK(S4195),"Intersection","Non-Intersection")</f>
        <v>Non-Intersection</v>
      </c>
      <c r="Y4195" t="s">
        <v>4957</v>
      </c>
      <c r="Z4195" t="str">
        <f t="shared" si="956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943"/>
        <v>40909</v>
      </c>
      <c r="D4196" s="4">
        <f t="shared" si="944"/>
        <v>0.71311475409836067</v>
      </c>
      <c r="E4196" s="3">
        <f t="shared" si="945"/>
        <v>2012</v>
      </c>
      <c r="F4196" s="3">
        <f t="shared" si="946"/>
        <v>9</v>
      </c>
      <c r="G4196" s="3">
        <f t="shared" si="947"/>
        <v>18</v>
      </c>
      <c r="H4196" s="3">
        <f t="shared" si="948"/>
        <v>20</v>
      </c>
      <c r="I4196" s="3">
        <f t="shared" si="949"/>
        <v>51</v>
      </c>
      <c r="J4196" s="3">
        <f t="shared" si="950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951"/>
        <v>YES</v>
      </c>
      <c r="Q4196" t="str">
        <f t="shared" si="952"/>
        <v>YES</v>
      </c>
      <c r="R4196" t="str">
        <f t="shared" si="953"/>
        <v>NO</v>
      </c>
      <c r="S4196">
        <v>1035</v>
      </c>
      <c r="T4196" t="s">
        <v>19</v>
      </c>
      <c r="U4196" t="str">
        <f t="shared" si="954"/>
        <v>Cambridge St</v>
      </c>
      <c r="V4196" t="s">
        <v>101</v>
      </c>
      <c r="W4196" t="str">
        <f t="shared" si="955"/>
        <v>Columbia St</v>
      </c>
      <c r="X4196" t="str">
        <f>IF(ISBLANK(S4196),"Intersection","Non-Intersection")</f>
        <v>Non-Intersection</v>
      </c>
      <c r="Y4196" t="s">
        <v>4959</v>
      </c>
      <c r="Z4196" t="str">
        <f t="shared" si="956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943"/>
        <v>40909</v>
      </c>
      <c r="D4197" s="4">
        <f t="shared" si="944"/>
        <v>0.71311475409836067</v>
      </c>
      <c r="E4197" s="3">
        <f t="shared" si="945"/>
        <v>2012</v>
      </c>
      <c r="F4197" s="3">
        <f t="shared" si="946"/>
        <v>9</v>
      </c>
      <c r="G4197" s="3">
        <f t="shared" si="947"/>
        <v>18</v>
      </c>
      <c r="H4197" s="3">
        <f t="shared" si="948"/>
        <v>6</v>
      </c>
      <c r="I4197" s="3">
        <f t="shared" si="949"/>
        <v>45</v>
      </c>
      <c r="J4197" s="3">
        <f t="shared" si="950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951"/>
        <v>YES</v>
      </c>
      <c r="Q4197" t="str">
        <f t="shared" si="952"/>
        <v>NO</v>
      </c>
      <c r="R4197" t="str">
        <f t="shared" si="953"/>
        <v>NO</v>
      </c>
      <c r="S4197">
        <v>8</v>
      </c>
      <c r="T4197" t="s">
        <v>3370</v>
      </c>
      <c r="U4197" t="str">
        <f t="shared" si="954"/>
        <v>Education Way</v>
      </c>
      <c r="W4197" t="str">
        <f t="shared" si="955"/>
        <v/>
      </c>
      <c r="X4197" t="str">
        <f>IF(ISBLANK(S4197),"Intersection","Non-Intersection")</f>
        <v>Non-Intersection</v>
      </c>
      <c r="Y4197" t="s">
        <v>4961</v>
      </c>
      <c r="Z4197" t="str">
        <f t="shared" si="956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943"/>
        <v>40909</v>
      </c>
      <c r="D4198" s="4">
        <f t="shared" si="944"/>
        <v>0.71584699453551914</v>
      </c>
      <c r="E4198" s="3">
        <f t="shared" si="945"/>
        <v>2012</v>
      </c>
      <c r="F4198" s="3">
        <f t="shared" si="946"/>
        <v>9</v>
      </c>
      <c r="G4198" s="3">
        <f t="shared" si="947"/>
        <v>19</v>
      </c>
      <c r="H4198" s="3">
        <f t="shared" si="948"/>
        <v>1</v>
      </c>
      <c r="I4198" s="3">
        <f t="shared" si="949"/>
        <v>54</v>
      </c>
      <c r="J4198" s="3">
        <f t="shared" si="950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951"/>
        <v>YES</v>
      </c>
      <c r="Q4198" t="str">
        <f t="shared" si="952"/>
        <v>NO</v>
      </c>
      <c r="R4198" t="str">
        <f t="shared" si="953"/>
        <v>NO</v>
      </c>
      <c r="T4198" t="s">
        <v>129</v>
      </c>
      <c r="U4198" t="str">
        <f t="shared" si="954"/>
        <v>Cardinal Medeiros Ave</v>
      </c>
      <c r="V4198" t="s">
        <v>985</v>
      </c>
      <c r="W4198" t="str">
        <f t="shared" si="955"/>
        <v>Plymouth St</v>
      </c>
      <c r="X4198" t="str">
        <f>IF(ISBLANK(S4198),"Intersection","Non-Intersection")</f>
        <v>Intersection</v>
      </c>
      <c r="Y4198" t="s">
        <v>4963</v>
      </c>
      <c r="Z4198" t="str">
        <f t="shared" si="956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943"/>
        <v>40909</v>
      </c>
      <c r="D4199" s="4">
        <f t="shared" si="944"/>
        <v>0.71584699453551914</v>
      </c>
      <c r="E4199" s="3">
        <f t="shared" si="945"/>
        <v>2012</v>
      </c>
      <c r="F4199" s="3">
        <f t="shared" si="946"/>
        <v>9</v>
      </c>
      <c r="G4199" s="3">
        <f t="shared" si="947"/>
        <v>19</v>
      </c>
      <c r="H4199" s="3">
        <f t="shared" si="948"/>
        <v>8</v>
      </c>
      <c r="I4199" s="3">
        <f t="shared" si="949"/>
        <v>45</v>
      </c>
      <c r="J4199" s="3">
        <f t="shared" si="950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951"/>
        <v>YES</v>
      </c>
      <c r="Q4199" t="str">
        <f t="shared" si="952"/>
        <v>NO</v>
      </c>
      <c r="R4199" t="str">
        <f t="shared" si="953"/>
        <v>NO</v>
      </c>
      <c r="T4199" t="s">
        <v>105</v>
      </c>
      <c r="U4199" t="str">
        <f t="shared" si="954"/>
        <v>Broadway</v>
      </c>
      <c r="V4199" t="s">
        <v>104</v>
      </c>
      <c r="W4199" t="str">
        <f t="shared" si="955"/>
        <v>Inman St</v>
      </c>
      <c r="X4199" t="str">
        <f>IF(ISBLANK(S4199),"Intersection","Non-Intersection")</f>
        <v>Intersection</v>
      </c>
      <c r="Y4199" t="s">
        <v>2336</v>
      </c>
      <c r="Z4199" t="str">
        <f t="shared" si="956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943"/>
        <v>40909</v>
      </c>
      <c r="D4200" s="4">
        <f t="shared" si="944"/>
        <v>0.71584699453551914</v>
      </c>
      <c r="E4200" s="3">
        <f t="shared" si="945"/>
        <v>2012</v>
      </c>
      <c r="F4200" s="3">
        <f t="shared" si="946"/>
        <v>9</v>
      </c>
      <c r="G4200" s="3">
        <f t="shared" si="947"/>
        <v>19</v>
      </c>
      <c r="H4200" s="3">
        <f t="shared" si="948"/>
        <v>15</v>
      </c>
      <c r="I4200" s="3">
        <f t="shared" si="949"/>
        <v>59</v>
      </c>
      <c r="J4200" s="3">
        <f t="shared" si="950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951"/>
        <v>YES</v>
      </c>
      <c r="Q4200" t="str">
        <f t="shared" si="952"/>
        <v>NO</v>
      </c>
      <c r="R4200" t="str">
        <f t="shared" si="953"/>
        <v>NO</v>
      </c>
      <c r="S4200">
        <v>5</v>
      </c>
      <c r="T4200" t="s">
        <v>219</v>
      </c>
      <c r="U4200" t="str">
        <f t="shared" si="954"/>
        <v>Sacramento St</v>
      </c>
      <c r="W4200" t="str">
        <f t="shared" si="955"/>
        <v/>
      </c>
      <c r="X4200" t="str">
        <f>IF(ISBLANK(S4200),"Intersection","Non-Intersection")</f>
        <v>Non-Intersection</v>
      </c>
      <c r="Y4200" t="s">
        <v>1948</v>
      </c>
      <c r="Z4200" t="str">
        <f t="shared" si="956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943"/>
        <v>40909</v>
      </c>
      <c r="D4201" s="4">
        <f t="shared" si="944"/>
        <v>0.71584699453551914</v>
      </c>
      <c r="E4201" s="3">
        <f t="shared" si="945"/>
        <v>2012</v>
      </c>
      <c r="F4201" s="3">
        <f t="shared" si="946"/>
        <v>9</v>
      </c>
      <c r="G4201" s="3">
        <f t="shared" si="947"/>
        <v>19</v>
      </c>
      <c r="H4201" s="3">
        <f t="shared" si="948"/>
        <v>11</v>
      </c>
      <c r="I4201" s="3">
        <f t="shared" si="949"/>
        <v>45</v>
      </c>
      <c r="J4201" s="3">
        <f t="shared" si="950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951"/>
        <v>YES</v>
      </c>
      <c r="Q4201" t="str">
        <f t="shared" si="952"/>
        <v>YES</v>
      </c>
      <c r="R4201" t="str">
        <f t="shared" si="953"/>
        <v>NO</v>
      </c>
      <c r="T4201" t="s">
        <v>74</v>
      </c>
      <c r="U4201" t="str">
        <f t="shared" si="954"/>
        <v>Hampshire St</v>
      </c>
      <c r="V4201" t="s">
        <v>745</v>
      </c>
      <c r="W4201" t="str">
        <f t="shared" si="955"/>
        <v>Norfolk St</v>
      </c>
      <c r="X4201" t="str">
        <f>IF(ISBLANK(S4201),"Intersection","Non-Intersection")</f>
        <v>Intersection</v>
      </c>
      <c r="Y4201" t="s">
        <v>2006</v>
      </c>
      <c r="Z4201" t="str">
        <f t="shared" si="956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943"/>
        <v>40909</v>
      </c>
      <c r="D4202" s="4">
        <f t="shared" si="944"/>
        <v>0.71857923497267762</v>
      </c>
      <c r="E4202" s="3">
        <f t="shared" si="945"/>
        <v>2012</v>
      </c>
      <c r="F4202" s="3">
        <f t="shared" si="946"/>
        <v>9</v>
      </c>
      <c r="G4202" s="3">
        <f t="shared" si="947"/>
        <v>20</v>
      </c>
      <c r="H4202" s="3">
        <f t="shared" si="948"/>
        <v>8</v>
      </c>
      <c r="I4202" s="3">
        <f t="shared" si="949"/>
        <v>29</v>
      </c>
      <c r="J4202" s="3">
        <f t="shared" si="950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951"/>
        <v>YES</v>
      </c>
      <c r="Q4202" t="str">
        <f t="shared" si="952"/>
        <v>YES</v>
      </c>
      <c r="R4202" t="str">
        <f t="shared" si="953"/>
        <v>NO</v>
      </c>
      <c r="T4202" t="s">
        <v>74</v>
      </c>
      <c r="U4202" t="str">
        <f t="shared" si="954"/>
        <v>Hampshire St</v>
      </c>
      <c r="V4202" t="s">
        <v>796</v>
      </c>
      <c r="W4202" t="str">
        <f t="shared" si="955"/>
        <v>Portland St</v>
      </c>
      <c r="X4202" t="str">
        <f>IF(ISBLANK(S4202),"Intersection","Non-Intersection")</f>
        <v>Intersection</v>
      </c>
      <c r="Y4202" t="s">
        <v>3889</v>
      </c>
      <c r="Z4202" t="str">
        <f t="shared" si="956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943"/>
        <v>40909</v>
      </c>
      <c r="D4203" s="4">
        <f t="shared" si="944"/>
        <v>0.71857923497267762</v>
      </c>
      <c r="E4203" s="3">
        <f t="shared" si="945"/>
        <v>2012</v>
      </c>
      <c r="F4203" s="3">
        <f t="shared" si="946"/>
        <v>9</v>
      </c>
      <c r="G4203" s="3">
        <f t="shared" si="947"/>
        <v>20</v>
      </c>
      <c r="H4203" s="3">
        <f t="shared" si="948"/>
        <v>17</v>
      </c>
      <c r="I4203" s="3">
        <f t="shared" si="949"/>
        <v>4</v>
      </c>
      <c r="J4203" s="3">
        <f t="shared" si="950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951"/>
        <v>YES</v>
      </c>
      <c r="Q4203" t="str">
        <f t="shared" si="952"/>
        <v>YES</v>
      </c>
      <c r="R4203" t="str">
        <f t="shared" si="953"/>
        <v>NO</v>
      </c>
      <c r="T4203" t="s">
        <v>105</v>
      </c>
      <c r="U4203" t="str">
        <f t="shared" si="954"/>
        <v>Broadway</v>
      </c>
      <c r="V4203" t="s">
        <v>335</v>
      </c>
      <c r="W4203" t="str">
        <f t="shared" si="955"/>
        <v>Ware St</v>
      </c>
      <c r="X4203" t="str">
        <f>IF(ISBLANK(S4203),"Intersection","Non-Intersection")</f>
        <v>Intersection</v>
      </c>
      <c r="Y4203" t="s">
        <v>336</v>
      </c>
      <c r="Z4203" t="str">
        <f t="shared" si="956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943"/>
        <v>40909</v>
      </c>
      <c r="D4204" s="4">
        <f t="shared" si="944"/>
        <v>0.71857923497267762</v>
      </c>
      <c r="E4204" s="3">
        <f t="shared" si="945"/>
        <v>2012</v>
      </c>
      <c r="F4204" s="3">
        <f t="shared" si="946"/>
        <v>9</v>
      </c>
      <c r="G4204" s="3">
        <f t="shared" si="947"/>
        <v>20</v>
      </c>
      <c r="H4204" s="3">
        <f t="shared" si="948"/>
        <v>0</v>
      </c>
      <c r="I4204" s="3">
        <f t="shared" si="949"/>
        <v>59</v>
      </c>
      <c r="J4204" s="3">
        <f t="shared" si="950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951"/>
        <v>YES</v>
      </c>
      <c r="Q4204" t="str">
        <f t="shared" si="952"/>
        <v>NO</v>
      </c>
      <c r="R4204" t="str">
        <f t="shared" si="953"/>
        <v>NO</v>
      </c>
      <c r="T4204" t="s">
        <v>19</v>
      </c>
      <c r="U4204" t="str">
        <f t="shared" si="954"/>
        <v>Cambridge St</v>
      </c>
      <c r="V4204" t="s">
        <v>803</v>
      </c>
      <c r="W4204" t="str">
        <f t="shared" si="955"/>
        <v>Line St</v>
      </c>
      <c r="X4204" t="str">
        <f>IF(ISBLANK(S4204),"Intersection","Non-Intersection")</f>
        <v>Intersection</v>
      </c>
      <c r="Y4204" t="s">
        <v>1561</v>
      </c>
      <c r="Z4204" t="str">
        <f t="shared" si="956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943"/>
        <v>40909</v>
      </c>
      <c r="D4205" s="4">
        <f t="shared" si="944"/>
        <v>0.71857923497267762</v>
      </c>
      <c r="E4205" s="3">
        <f t="shared" si="945"/>
        <v>2012</v>
      </c>
      <c r="F4205" s="3">
        <f t="shared" si="946"/>
        <v>9</v>
      </c>
      <c r="G4205" s="3">
        <f t="shared" si="947"/>
        <v>20</v>
      </c>
      <c r="H4205" s="3">
        <f t="shared" si="948"/>
        <v>16</v>
      </c>
      <c r="I4205" s="3">
        <f t="shared" si="949"/>
        <v>44</v>
      </c>
      <c r="J4205" s="3">
        <f t="shared" si="950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951"/>
        <v>YES</v>
      </c>
      <c r="Q4205" t="str">
        <f t="shared" si="952"/>
        <v>NO</v>
      </c>
      <c r="R4205" t="str">
        <f t="shared" si="953"/>
        <v>NO</v>
      </c>
      <c r="T4205" t="s">
        <v>1324</v>
      </c>
      <c r="U4205" t="str">
        <f t="shared" si="954"/>
        <v>Flagg St</v>
      </c>
      <c r="W4205" t="str">
        <f t="shared" si="955"/>
        <v/>
      </c>
      <c r="X4205" t="str">
        <f>IF(ISBLANK(S4205),"Intersection","Non-Intersection")</f>
        <v>Intersection</v>
      </c>
      <c r="Y4205" t="s">
        <v>4965</v>
      </c>
      <c r="Z4205" t="str">
        <f t="shared" si="956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943"/>
        <v>40909</v>
      </c>
      <c r="D4206" s="4">
        <f t="shared" si="944"/>
        <v>0.71857923497267762</v>
      </c>
      <c r="E4206" s="3">
        <f t="shared" si="945"/>
        <v>2012</v>
      </c>
      <c r="F4206" s="3">
        <f t="shared" si="946"/>
        <v>9</v>
      </c>
      <c r="G4206" s="3">
        <f t="shared" si="947"/>
        <v>20</v>
      </c>
      <c r="H4206" s="3">
        <f t="shared" si="948"/>
        <v>20</v>
      </c>
      <c r="I4206" s="3">
        <f t="shared" si="949"/>
        <v>48</v>
      </c>
      <c r="J4206" s="3">
        <f t="shared" si="950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951"/>
        <v>YES</v>
      </c>
      <c r="Q4206" t="str">
        <f t="shared" si="952"/>
        <v>YES</v>
      </c>
      <c r="R4206" t="str">
        <f t="shared" si="953"/>
        <v>NO</v>
      </c>
      <c r="S4206">
        <v>100</v>
      </c>
      <c r="T4206" t="s">
        <v>42</v>
      </c>
      <c r="U4206" t="str">
        <f t="shared" si="954"/>
        <v>Putnam Ave</v>
      </c>
      <c r="W4206" t="str">
        <f t="shared" si="955"/>
        <v/>
      </c>
      <c r="X4206" t="str">
        <f>IF(ISBLANK(S4206),"Intersection","Non-Intersection")</f>
        <v>Non-Intersection</v>
      </c>
      <c r="Y4206" t="s">
        <v>4562</v>
      </c>
      <c r="Z4206" t="str">
        <f t="shared" si="956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943"/>
        <v>40909</v>
      </c>
      <c r="D4207" s="4">
        <f t="shared" si="944"/>
        <v>0.72131147540983609</v>
      </c>
      <c r="E4207" s="3">
        <f t="shared" si="945"/>
        <v>2012</v>
      </c>
      <c r="F4207" s="3">
        <f t="shared" si="946"/>
        <v>9</v>
      </c>
      <c r="G4207" s="3">
        <f t="shared" si="947"/>
        <v>21</v>
      </c>
      <c r="H4207" s="3">
        <f t="shared" si="948"/>
        <v>8</v>
      </c>
      <c r="I4207" s="3">
        <f t="shared" si="949"/>
        <v>49</v>
      </c>
      <c r="J4207" s="3">
        <f t="shared" si="950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951"/>
        <v>YES</v>
      </c>
      <c r="Q4207" t="str">
        <f t="shared" si="952"/>
        <v>YES</v>
      </c>
      <c r="R4207" t="str">
        <f t="shared" si="953"/>
        <v>NO</v>
      </c>
      <c r="S4207">
        <v>211</v>
      </c>
      <c r="T4207" t="s">
        <v>14</v>
      </c>
      <c r="U4207" t="str">
        <f t="shared" si="954"/>
        <v>Massachusetts Ave</v>
      </c>
      <c r="W4207" t="str">
        <f t="shared" si="955"/>
        <v/>
      </c>
      <c r="X4207" t="str">
        <f>IF(ISBLANK(S4207),"Intersection","Non-Intersection")</f>
        <v>Non-Intersection</v>
      </c>
      <c r="Y4207" t="s">
        <v>4966</v>
      </c>
      <c r="Z4207" t="str">
        <f t="shared" si="956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943"/>
        <v>40909</v>
      </c>
      <c r="D4208" s="4">
        <f t="shared" si="944"/>
        <v>0.72131147540983609</v>
      </c>
      <c r="E4208" s="3">
        <f t="shared" si="945"/>
        <v>2012</v>
      </c>
      <c r="F4208" s="3">
        <f t="shared" si="946"/>
        <v>9</v>
      </c>
      <c r="G4208" s="3">
        <f t="shared" si="947"/>
        <v>21</v>
      </c>
      <c r="H4208" s="3">
        <f t="shared" si="948"/>
        <v>11</v>
      </c>
      <c r="I4208" s="3">
        <f t="shared" si="949"/>
        <v>19</v>
      </c>
      <c r="J4208" s="3">
        <f t="shared" si="950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951"/>
        <v>YES</v>
      </c>
      <c r="Q4208" t="str">
        <f t="shared" si="952"/>
        <v>NO</v>
      </c>
      <c r="R4208" t="str">
        <f t="shared" si="953"/>
        <v>NO</v>
      </c>
      <c r="S4208">
        <v>30</v>
      </c>
      <c r="T4208" t="s">
        <v>861</v>
      </c>
      <c r="U4208" t="str">
        <f t="shared" si="954"/>
        <v>Newton St</v>
      </c>
      <c r="W4208" t="str">
        <f t="shared" si="955"/>
        <v/>
      </c>
      <c r="X4208" t="str">
        <f>IF(ISBLANK(S4208),"Intersection","Non-Intersection")</f>
        <v>Non-Intersection</v>
      </c>
      <c r="Y4208" t="s">
        <v>4968</v>
      </c>
      <c r="Z4208" t="str">
        <f t="shared" si="956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943"/>
        <v>40909</v>
      </c>
      <c r="D4209" s="4">
        <f t="shared" si="944"/>
        <v>0.72131147540983609</v>
      </c>
      <c r="E4209" s="3">
        <f t="shared" si="945"/>
        <v>2012</v>
      </c>
      <c r="F4209" s="3">
        <f t="shared" si="946"/>
        <v>9</v>
      </c>
      <c r="G4209" s="3">
        <f t="shared" si="947"/>
        <v>21</v>
      </c>
      <c r="H4209" s="3">
        <f t="shared" si="948"/>
        <v>11</v>
      </c>
      <c r="I4209" s="3">
        <f t="shared" si="949"/>
        <v>39</v>
      </c>
      <c r="J4209" s="3">
        <f t="shared" si="950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951"/>
        <v>YES</v>
      </c>
      <c r="Q4209" t="str">
        <f t="shared" si="952"/>
        <v>NO</v>
      </c>
      <c r="R4209" t="str">
        <f t="shared" si="953"/>
        <v>NO</v>
      </c>
      <c r="T4209" t="s">
        <v>342</v>
      </c>
      <c r="U4209" t="str">
        <f t="shared" si="954"/>
        <v>Prospect St</v>
      </c>
      <c r="V4209" t="s">
        <v>14</v>
      </c>
      <c r="W4209" t="str">
        <f t="shared" si="955"/>
        <v>Massachusetts Ave</v>
      </c>
      <c r="X4209" t="str">
        <f>IF(ISBLANK(S4209),"Intersection","Non-Intersection")</f>
        <v>Intersection</v>
      </c>
      <c r="Y4209" t="s">
        <v>1163</v>
      </c>
      <c r="Z4209" t="str">
        <f t="shared" si="956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943"/>
        <v>40909</v>
      </c>
      <c r="D4210" s="4">
        <f t="shared" si="944"/>
        <v>0.72131147540983609</v>
      </c>
      <c r="E4210" s="3">
        <f t="shared" si="945"/>
        <v>2012</v>
      </c>
      <c r="F4210" s="3">
        <f t="shared" si="946"/>
        <v>9</v>
      </c>
      <c r="G4210" s="3">
        <f t="shared" si="947"/>
        <v>21</v>
      </c>
      <c r="H4210" s="3">
        <f t="shared" si="948"/>
        <v>12</v>
      </c>
      <c r="I4210" s="3">
        <f t="shared" si="949"/>
        <v>30</v>
      </c>
      <c r="J4210" s="3">
        <f t="shared" si="950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951"/>
        <v>YES</v>
      </c>
      <c r="Q4210" t="str">
        <f t="shared" si="952"/>
        <v>YES</v>
      </c>
      <c r="R4210" t="str">
        <f t="shared" si="953"/>
        <v>NO</v>
      </c>
      <c r="T4210" t="s">
        <v>4970</v>
      </c>
      <c r="U4210" t="str">
        <f t="shared" si="954"/>
        <v>Garden Ct</v>
      </c>
      <c r="V4210" t="s">
        <v>354</v>
      </c>
      <c r="W4210" t="str">
        <f t="shared" si="955"/>
        <v>Linnaean St</v>
      </c>
      <c r="X4210" t="str">
        <f>IF(ISBLANK(S4210),"Intersection","Non-Intersection")</f>
        <v>Intersection</v>
      </c>
      <c r="Y4210" t="s">
        <v>4971</v>
      </c>
      <c r="Z4210" t="str">
        <f t="shared" si="956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943"/>
        <v>40909</v>
      </c>
      <c r="D4211" s="4">
        <f t="shared" si="944"/>
        <v>0.72131147540983609</v>
      </c>
      <c r="E4211" s="3">
        <f t="shared" si="945"/>
        <v>2012</v>
      </c>
      <c r="F4211" s="3">
        <f t="shared" si="946"/>
        <v>9</v>
      </c>
      <c r="G4211" s="3">
        <f t="shared" si="947"/>
        <v>21</v>
      </c>
      <c r="H4211" s="3">
        <f t="shared" si="948"/>
        <v>15</v>
      </c>
      <c r="I4211" s="3">
        <f t="shared" si="949"/>
        <v>0</v>
      </c>
      <c r="J4211" s="3">
        <f t="shared" si="950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951"/>
        <v>YES</v>
      </c>
      <c r="Q4211" t="str">
        <f t="shared" si="952"/>
        <v>NO</v>
      </c>
      <c r="R4211" t="str">
        <f t="shared" si="953"/>
        <v>NO</v>
      </c>
      <c r="T4211" t="s">
        <v>19</v>
      </c>
      <c r="U4211" t="str">
        <f t="shared" si="954"/>
        <v>Cambridge St</v>
      </c>
      <c r="V4211" t="s">
        <v>1701</v>
      </c>
      <c r="W4211" t="str">
        <f t="shared" si="955"/>
        <v>Prentiss St</v>
      </c>
      <c r="X4211" t="str">
        <f>IF(ISBLANK(S4211),"Intersection","Non-Intersection")</f>
        <v>Intersection</v>
      </c>
      <c r="Y4211" t="s">
        <v>4972</v>
      </c>
      <c r="Z4211" t="str">
        <f t="shared" si="956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943"/>
        <v>40909</v>
      </c>
      <c r="D4212" s="4">
        <f t="shared" si="944"/>
        <v>0.72131147540983609</v>
      </c>
      <c r="E4212" s="3">
        <f t="shared" si="945"/>
        <v>2012</v>
      </c>
      <c r="F4212" s="3">
        <f t="shared" si="946"/>
        <v>9</v>
      </c>
      <c r="G4212" s="3">
        <f t="shared" si="947"/>
        <v>21</v>
      </c>
      <c r="H4212" s="3">
        <f t="shared" si="948"/>
        <v>17</v>
      </c>
      <c r="I4212" s="3">
        <f t="shared" si="949"/>
        <v>29</v>
      </c>
      <c r="J4212" s="3">
        <f t="shared" si="950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951"/>
        <v>YES</v>
      </c>
      <c r="Q4212" t="str">
        <f t="shared" si="952"/>
        <v>NO</v>
      </c>
      <c r="R4212" t="str">
        <f t="shared" si="953"/>
        <v>NO</v>
      </c>
      <c r="T4212" t="s">
        <v>50</v>
      </c>
      <c r="U4212" t="str">
        <f t="shared" si="954"/>
        <v>Belmont St</v>
      </c>
      <c r="V4212" t="s">
        <v>198</v>
      </c>
      <c r="W4212" t="str">
        <f t="shared" si="955"/>
        <v>Mount Auburn St</v>
      </c>
      <c r="X4212" t="str">
        <f>IF(ISBLANK(S4212),"Intersection","Non-Intersection")</f>
        <v>Intersection</v>
      </c>
      <c r="Y4212" t="s">
        <v>910</v>
      </c>
      <c r="Z4212" t="str">
        <f t="shared" si="956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943"/>
        <v>40909</v>
      </c>
      <c r="D4213" s="4">
        <f t="shared" si="944"/>
        <v>0.72131147540983609</v>
      </c>
      <c r="E4213" s="3">
        <f t="shared" si="945"/>
        <v>2012</v>
      </c>
      <c r="F4213" s="3">
        <f t="shared" si="946"/>
        <v>9</v>
      </c>
      <c r="G4213" s="3">
        <f t="shared" si="947"/>
        <v>21</v>
      </c>
      <c r="H4213" s="3">
        <f t="shared" si="948"/>
        <v>16</v>
      </c>
      <c r="I4213" s="3">
        <f t="shared" si="949"/>
        <v>31</v>
      </c>
      <c r="J4213" s="3">
        <f t="shared" si="950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951"/>
        <v>YES</v>
      </c>
      <c r="Q4213" t="str">
        <f t="shared" si="952"/>
        <v>NO</v>
      </c>
      <c r="R4213" t="str">
        <f t="shared" si="953"/>
        <v>NO</v>
      </c>
      <c r="T4213" t="s">
        <v>74</v>
      </c>
      <c r="U4213" t="str">
        <f t="shared" si="954"/>
        <v>Hampshire St</v>
      </c>
      <c r="V4213" t="s">
        <v>667</v>
      </c>
      <c r="W4213" t="str">
        <f t="shared" si="955"/>
        <v>Tremont St</v>
      </c>
      <c r="X4213" t="str">
        <f>IF(ISBLANK(S4213),"Intersection","Non-Intersection")</f>
        <v>Intersection</v>
      </c>
      <c r="Y4213" t="s">
        <v>668</v>
      </c>
      <c r="Z4213" t="str">
        <f t="shared" si="956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943"/>
        <v>40909</v>
      </c>
      <c r="D4214" s="4">
        <f t="shared" si="944"/>
        <v>0.72404371584699456</v>
      </c>
      <c r="E4214" s="3">
        <f t="shared" si="945"/>
        <v>2012</v>
      </c>
      <c r="F4214" s="3">
        <f t="shared" si="946"/>
        <v>9</v>
      </c>
      <c r="G4214" s="3">
        <f t="shared" si="947"/>
        <v>22</v>
      </c>
      <c r="H4214" s="3">
        <f t="shared" si="948"/>
        <v>18</v>
      </c>
      <c r="I4214" s="3">
        <f t="shared" si="949"/>
        <v>45</v>
      </c>
      <c r="J4214" s="3">
        <f t="shared" si="950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951"/>
        <v>YES</v>
      </c>
      <c r="Q4214" t="str">
        <f t="shared" si="952"/>
        <v>NO</v>
      </c>
      <c r="R4214" t="str">
        <f t="shared" si="953"/>
        <v>NO</v>
      </c>
      <c r="T4214" t="s">
        <v>15</v>
      </c>
      <c r="U4214" t="str">
        <f t="shared" si="954"/>
        <v>Rindge Ave</v>
      </c>
      <c r="V4214" t="s">
        <v>601</v>
      </c>
      <c r="W4214" t="str">
        <f t="shared" si="955"/>
        <v>Cedar St</v>
      </c>
      <c r="X4214" t="str">
        <f>IF(ISBLANK(S4214),"Intersection","Non-Intersection")</f>
        <v>Intersection</v>
      </c>
      <c r="Y4214" t="s">
        <v>3885</v>
      </c>
      <c r="Z4214" t="str">
        <f t="shared" si="956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943"/>
        <v>40909</v>
      </c>
      <c r="D4215" s="4">
        <f t="shared" si="944"/>
        <v>0.72404371584699456</v>
      </c>
      <c r="E4215" s="3">
        <f t="shared" si="945"/>
        <v>2012</v>
      </c>
      <c r="F4215" s="3">
        <f t="shared" si="946"/>
        <v>9</v>
      </c>
      <c r="G4215" s="3">
        <f t="shared" si="947"/>
        <v>22</v>
      </c>
      <c r="H4215" s="3">
        <f t="shared" si="948"/>
        <v>20</v>
      </c>
      <c r="I4215" s="3">
        <f t="shared" si="949"/>
        <v>0</v>
      </c>
      <c r="J4215" s="3">
        <f t="shared" si="950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951"/>
        <v>YES</v>
      </c>
      <c r="Q4215" t="str">
        <f t="shared" si="952"/>
        <v>NO</v>
      </c>
      <c r="R4215" t="str">
        <f t="shared" si="953"/>
        <v>NO</v>
      </c>
      <c r="T4215" t="s">
        <v>1739</v>
      </c>
      <c r="U4215" t="str">
        <f t="shared" si="954"/>
        <v>Harding St</v>
      </c>
      <c r="W4215" t="str">
        <f t="shared" si="955"/>
        <v/>
      </c>
      <c r="X4215" t="str">
        <f>IF(ISBLANK(S4215),"Intersection","Non-Intersection")</f>
        <v>Intersection</v>
      </c>
      <c r="Y4215" t="s">
        <v>4973</v>
      </c>
      <c r="Z4215" t="str">
        <f t="shared" si="956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943"/>
        <v>40909</v>
      </c>
      <c r="D4216" s="4">
        <f t="shared" si="944"/>
        <v>0.72404371584699456</v>
      </c>
      <c r="E4216" s="3">
        <f t="shared" si="945"/>
        <v>2012</v>
      </c>
      <c r="F4216" s="3">
        <f t="shared" si="946"/>
        <v>9</v>
      </c>
      <c r="G4216" s="3">
        <f t="shared" si="947"/>
        <v>22</v>
      </c>
      <c r="H4216" s="3">
        <f t="shared" si="948"/>
        <v>20</v>
      </c>
      <c r="I4216" s="3">
        <f t="shared" si="949"/>
        <v>19</v>
      </c>
      <c r="J4216" s="3">
        <f t="shared" si="950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951"/>
        <v>NO</v>
      </c>
      <c r="Q4216" t="str">
        <f t="shared" si="952"/>
        <v>NO</v>
      </c>
      <c r="R4216" t="str">
        <f t="shared" si="953"/>
        <v>NO</v>
      </c>
      <c r="T4216" t="s">
        <v>209</v>
      </c>
      <c r="U4216" t="str">
        <f t="shared" si="954"/>
        <v>Binney St</v>
      </c>
      <c r="V4216" t="s">
        <v>260</v>
      </c>
      <c r="W4216" t="str">
        <f t="shared" si="955"/>
        <v>Third St</v>
      </c>
      <c r="X4216" t="str">
        <f>IF(ISBLANK(S4216),"Intersection","Non-Intersection")</f>
        <v>Intersection</v>
      </c>
      <c r="Y4216" t="s">
        <v>531</v>
      </c>
      <c r="Z4216" t="str">
        <f t="shared" si="956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943"/>
        <v>40909</v>
      </c>
      <c r="D4217" s="4">
        <f t="shared" si="944"/>
        <v>0.72677595628415304</v>
      </c>
      <c r="E4217" s="3">
        <f t="shared" si="945"/>
        <v>2012</v>
      </c>
      <c r="F4217" s="3">
        <f t="shared" si="946"/>
        <v>9</v>
      </c>
      <c r="G4217" s="3">
        <f t="shared" si="947"/>
        <v>23</v>
      </c>
      <c r="H4217" s="3">
        <f t="shared" si="948"/>
        <v>0</v>
      </c>
      <c r="I4217" s="3">
        <f t="shared" si="949"/>
        <v>45</v>
      </c>
      <c r="J4217" s="3">
        <f t="shared" si="950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951"/>
        <v>NO</v>
      </c>
      <c r="Q4217" t="str">
        <f t="shared" si="952"/>
        <v>NO</v>
      </c>
      <c r="R4217" t="str">
        <f t="shared" si="953"/>
        <v>NO</v>
      </c>
      <c r="S4217">
        <v>480</v>
      </c>
      <c r="T4217" t="s">
        <v>19</v>
      </c>
      <c r="U4217" t="str">
        <f t="shared" si="954"/>
        <v>Cambridge St</v>
      </c>
      <c r="V4217" t="s">
        <v>147</v>
      </c>
      <c r="W4217" t="str">
        <f t="shared" si="955"/>
        <v>Sixth St</v>
      </c>
      <c r="X4217" t="str">
        <f>IF(ISBLANK(S4217),"Intersection","Non-Intersection")</f>
        <v>Non-Intersection</v>
      </c>
      <c r="Y4217" t="s">
        <v>4974</v>
      </c>
      <c r="Z4217" t="str">
        <f t="shared" si="956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943"/>
        <v>40909</v>
      </c>
      <c r="D4218" s="4">
        <f t="shared" si="944"/>
        <v>0.72677595628415304</v>
      </c>
      <c r="E4218" s="3">
        <f t="shared" si="945"/>
        <v>2012</v>
      </c>
      <c r="F4218" s="3">
        <f t="shared" si="946"/>
        <v>9</v>
      </c>
      <c r="G4218" s="3">
        <f t="shared" si="947"/>
        <v>23</v>
      </c>
      <c r="H4218" s="3">
        <f t="shared" si="948"/>
        <v>9</v>
      </c>
      <c r="I4218" s="3">
        <f t="shared" si="949"/>
        <v>14</v>
      </c>
      <c r="J4218" s="3">
        <f t="shared" si="950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951"/>
        <v>YES</v>
      </c>
      <c r="Q4218" t="str">
        <f t="shared" si="952"/>
        <v>NO</v>
      </c>
      <c r="R4218" t="str">
        <f t="shared" si="953"/>
        <v>NO</v>
      </c>
      <c r="S4218">
        <v>142</v>
      </c>
      <c r="T4218" t="s">
        <v>587</v>
      </c>
      <c r="U4218" t="str">
        <f t="shared" si="954"/>
        <v>Webster Ave</v>
      </c>
      <c r="W4218" t="str">
        <f t="shared" si="955"/>
        <v/>
      </c>
      <c r="X4218" t="str">
        <f>IF(ISBLANK(S4218),"Intersection","Non-Intersection")</f>
        <v>Non-Intersection</v>
      </c>
      <c r="Y4218" t="s">
        <v>4976</v>
      </c>
      <c r="Z4218" t="str">
        <f t="shared" si="956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943"/>
        <v>40909</v>
      </c>
      <c r="D4219" s="4">
        <f t="shared" si="944"/>
        <v>0.72677595628415304</v>
      </c>
      <c r="E4219" s="3">
        <f t="shared" si="945"/>
        <v>2012</v>
      </c>
      <c r="F4219" s="3">
        <f t="shared" si="946"/>
        <v>9</v>
      </c>
      <c r="G4219" s="3">
        <f t="shared" si="947"/>
        <v>23</v>
      </c>
      <c r="H4219" s="3">
        <f t="shared" si="948"/>
        <v>13</v>
      </c>
      <c r="I4219" s="3">
        <f t="shared" si="949"/>
        <v>44</v>
      </c>
      <c r="J4219" s="3">
        <f t="shared" si="950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951"/>
        <v>YES</v>
      </c>
      <c r="Q4219" t="str">
        <f t="shared" si="952"/>
        <v>NO</v>
      </c>
      <c r="R4219" t="str">
        <f t="shared" si="953"/>
        <v>NO</v>
      </c>
      <c r="S4219">
        <v>198</v>
      </c>
      <c r="T4219" t="s">
        <v>170</v>
      </c>
      <c r="U4219" t="str">
        <f t="shared" si="954"/>
        <v>Alewife Brook Pky</v>
      </c>
      <c r="W4219" t="str">
        <f t="shared" si="955"/>
        <v/>
      </c>
      <c r="X4219" t="str">
        <f>IF(ISBLANK(S4219),"Intersection","Non-Intersection")</f>
        <v>Non-Intersection</v>
      </c>
      <c r="Y4219" t="s">
        <v>4345</v>
      </c>
      <c r="Z4219" t="str">
        <f t="shared" si="956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957">EOMONTH(B4220,MONTH(B4220)*-1)+1</f>
        <v>40909</v>
      </c>
      <c r="D4220" s="4">
        <f t="shared" ref="D4220:D4282" si="958">YEARFRAC(C4220,B4220,1)</f>
        <v>0.72677595628415304</v>
      </c>
      <c r="E4220" s="3">
        <f t="shared" ref="E4220:E4282" si="959">YEAR(B4220)</f>
        <v>2012</v>
      </c>
      <c r="F4220" s="3">
        <f t="shared" ref="F4220:F4282" si="960">MONTH(B4220)</f>
        <v>9</v>
      </c>
      <c r="G4220" s="3">
        <f t="shared" ref="G4220:G4282" si="961">DAY(B4220)</f>
        <v>23</v>
      </c>
      <c r="H4220" s="3">
        <f t="shared" ref="H4220:H4282" si="962">HOUR(B4220)</f>
        <v>1</v>
      </c>
      <c r="I4220" s="3">
        <f t="shared" ref="I4220:I4282" si="963">MINUTE(B4220)</f>
        <v>48</v>
      </c>
      <c r="J4220" s="3">
        <f t="shared" ref="J4220:J4282" si="964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965">IF(OR(N4220="Auto",O4220="Auto"),"YES",IF(OR(N4220="Taxi",O4220="Taxi"),"YES",IF(OR(N4220="Van",O4220="Van"),"YES",IF(OR(N4220="Truck",O4220="Truck"),"YES","NO"))))</f>
        <v>YES</v>
      </c>
      <c r="Q4220" t="str">
        <f t="shared" ref="Q4220:Q4282" si="966">IF(OR(N4220="Bicycle",O4220="Bicycle"),"YES","NO")</f>
        <v>NO</v>
      </c>
      <c r="R4220" t="str">
        <f t="shared" ref="R4220:R4282" si="967">IF(OR(N4220="Pedestrian",O4220="Pedestrian"),"YES","NO")</f>
        <v>NO</v>
      </c>
      <c r="T4220" t="s">
        <v>14</v>
      </c>
      <c r="U4220" t="str">
        <f t="shared" si="954"/>
        <v>Massachusetts Ave</v>
      </c>
      <c r="V4220" t="s">
        <v>484</v>
      </c>
      <c r="W4220" t="str">
        <f t="shared" si="955"/>
        <v>Porter St</v>
      </c>
      <c r="X4220" t="str">
        <f>IF(ISBLANK(S4220),"Intersection","Non-Intersection")</f>
        <v>Intersection</v>
      </c>
      <c r="Y4220" t="s">
        <v>485</v>
      </c>
      <c r="Z4220" t="str">
        <f t="shared" si="956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957"/>
        <v>40909</v>
      </c>
      <c r="D4221" s="4">
        <f t="shared" si="958"/>
        <v>0.72677595628415304</v>
      </c>
      <c r="E4221" s="3">
        <f t="shared" si="959"/>
        <v>2012</v>
      </c>
      <c r="F4221" s="3">
        <f t="shared" si="960"/>
        <v>9</v>
      </c>
      <c r="G4221" s="3">
        <f t="shared" si="961"/>
        <v>23</v>
      </c>
      <c r="H4221" s="3">
        <f t="shared" si="962"/>
        <v>15</v>
      </c>
      <c r="I4221" s="3">
        <f t="shared" si="963"/>
        <v>59</v>
      </c>
      <c r="J4221" s="3">
        <f t="shared" si="964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965"/>
        <v>YES</v>
      </c>
      <c r="Q4221" t="str">
        <f t="shared" si="966"/>
        <v>NO</v>
      </c>
      <c r="R4221" t="str">
        <f t="shared" si="967"/>
        <v>NO</v>
      </c>
      <c r="S4221">
        <v>2500</v>
      </c>
      <c r="T4221" t="s">
        <v>14</v>
      </c>
      <c r="U4221" t="str">
        <f t="shared" si="954"/>
        <v>Massachusetts Ave</v>
      </c>
      <c r="V4221" t="s">
        <v>170</v>
      </c>
      <c r="W4221" t="str">
        <f t="shared" si="955"/>
        <v>Alewife Brook Pky</v>
      </c>
      <c r="X4221" t="str">
        <f>IF(ISBLANK(S4221),"Intersection","Non-Intersection")</f>
        <v>Non-Intersection</v>
      </c>
      <c r="Y4221" t="s">
        <v>3846</v>
      </c>
      <c r="Z4221" t="str">
        <f t="shared" si="956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957"/>
        <v>40909</v>
      </c>
      <c r="D4222" s="4">
        <f t="shared" si="958"/>
        <v>0.72677595628415304</v>
      </c>
      <c r="E4222" s="3">
        <f t="shared" si="959"/>
        <v>2012</v>
      </c>
      <c r="F4222" s="3">
        <f t="shared" si="960"/>
        <v>9</v>
      </c>
      <c r="G4222" s="3">
        <f t="shared" si="961"/>
        <v>23</v>
      </c>
      <c r="H4222" s="3">
        <f t="shared" si="962"/>
        <v>23</v>
      </c>
      <c r="I4222" s="3">
        <f t="shared" si="963"/>
        <v>29</v>
      </c>
      <c r="J4222" s="3">
        <f t="shared" si="964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965"/>
        <v>YES</v>
      </c>
      <c r="Q4222" t="str">
        <f t="shared" si="966"/>
        <v>YES</v>
      </c>
      <c r="R4222" t="str">
        <f t="shared" si="967"/>
        <v>NO</v>
      </c>
      <c r="T4222" t="s">
        <v>342</v>
      </c>
      <c r="U4222" t="str">
        <f t="shared" si="954"/>
        <v>Prospect St</v>
      </c>
      <c r="V4222" t="s">
        <v>316</v>
      </c>
      <c r="W4222" t="str">
        <f t="shared" si="955"/>
        <v>Bishop Allen Dr</v>
      </c>
      <c r="X4222" t="str">
        <f>IF(ISBLANK(S4222),"Intersection","Non-Intersection")</f>
        <v>Intersection</v>
      </c>
      <c r="Y4222" t="s">
        <v>2529</v>
      </c>
      <c r="Z4222" t="str">
        <f t="shared" si="956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957"/>
        <v>40909</v>
      </c>
      <c r="D4223" s="4">
        <f t="shared" si="958"/>
        <v>0.72677595628415304</v>
      </c>
      <c r="E4223" s="3">
        <f t="shared" si="959"/>
        <v>2012</v>
      </c>
      <c r="F4223" s="3">
        <f t="shared" si="960"/>
        <v>9</v>
      </c>
      <c r="G4223" s="3">
        <f t="shared" si="961"/>
        <v>23</v>
      </c>
      <c r="H4223" s="3">
        <f t="shared" si="962"/>
        <v>11</v>
      </c>
      <c r="I4223" s="3">
        <f t="shared" si="963"/>
        <v>29</v>
      </c>
      <c r="J4223" s="3">
        <f t="shared" si="964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965"/>
        <v>YES</v>
      </c>
      <c r="Q4223" t="str">
        <f t="shared" si="966"/>
        <v>NO</v>
      </c>
      <c r="R4223" t="str">
        <f t="shared" si="967"/>
        <v>NO</v>
      </c>
      <c r="S4223">
        <v>469</v>
      </c>
      <c r="T4223" t="s">
        <v>19</v>
      </c>
      <c r="U4223" t="str">
        <f t="shared" si="954"/>
        <v>Cambridge St</v>
      </c>
      <c r="W4223" t="str">
        <f t="shared" si="955"/>
        <v/>
      </c>
      <c r="X4223" t="str">
        <f>IF(ISBLANK(S4223),"Intersection","Non-Intersection")</f>
        <v>Non-Intersection</v>
      </c>
      <c r="Y4223" t="s">
        <v>3468</v>
      </c>
      <c r="Z4223" t="str">
        <f t="shared" si="956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957"/>
        <v>40909</v>
      </c>
      <c r="D4224" s="4">
        <f t="shared" si="958"/>
        <v>0.72950819672131151</v>
      </c>
      <c r="E4224" s="3">
        <f t="shared" si="959"/>
        <v>2012</v>
      </c>
      <c r="F4224" s="3">
        <f t="shared" si="960"/>
        <v>9</v>
      </c>
      <c r="G4224" s="3">
        <f t="shared" si="961"/>
        <v>24</v>
      </c>
      <c r="H4224" s="3">
        <f t="shared" si="962"/>
        <v>9</v>
      </c>
      <c r="I4224" s="3">
        <f t="shared" si="963"/>
        <v>49</v>
      </c>
      <c r="J4224" s="3">
        <f t="shared" si="964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965"/>
        <v>YES</v>
      </c>
      <c r="Q4224" t="str">
        <f t="shared" si="966"/>
        <v>NO</v>
      </c>
      <c r="R4224" t="str">
        <f t="shared" si="967"/>
        <v>NO</v>
      </c>
      <c r="T4224" t="s">
        <v>41</v>
      </c>
      <c r="U4224" t="str">
        <f t="shared" si="954"/>
        <v>River St</v>
      </c>
      <c r="V4224" t="s">
        <v>757</v>
      </c>
      <c r="W4224" t="str">
        <f t="shared" si="955"/>
        <v>Blackstone St</v>
      </c>
      <c r="X4224" t="str">
        <f>IF(ISBLANK(S4224),"Intersection","Non-Intersection")</f>
        <v>Intersection</v>
      </c>
      <c r="Y4224" t="s">
        <v>758</v>
      </c>
      <c r="Z4224" t="str">
        <f t="shared" si="956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957"/>
        <v>40909</v>
      </c>
      <c r="D4225" s="4">
        <f t="shared" si="958"/>
        <v>0.72950819672131151</v>
      </c>
      <c r="E4225" s="3">
        <f t="shared" si="959"/>
        <v>2012</v>
      </c>
      <c r="F4225" s="3">
        <f t="shared" si="960"/>
        <v>9</v>
      </c>
      <c r="G4225" s="3">
        <f t="shared" si="961"/>
        <v>24</v>
      </c>
      <c r="H4225" s="3">
        <f t="shared" si="962"/>
        <v>13</v>
      </c>
      <c r="I4225" s="3">
        <f t="shared" si="963"/>
        <v>15</v>
      </c>
      <c r="J4225" s="3">
        <f t="shared" si="964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965"/>
        <v>YES</v>
      </c>
      <c r="Q4225" t="str">
        <f t="shared" si="966"/>
        <v>YES</v>
      </c>
      <c r="R4225" t="str">
        <f t="shared" si="967"/>
        <v>NO</v>
      </c>
      <c r="T4225" t="s">
        <v>129</v>
      </c>
      <c r="U4225" t="str">
        <f t="shared" si="954"/>
        <v>Cardinal Medeiros Ave</v>
      </c>
      <c r="V4225" t="s">
        <v>985</v>
      </c>
      <c r="W4225" t="str">
        <f t="shared" si="955"/>
        <v>Plymouth St</v>
      </c>
      <c r="X4225" t="str">
        <f>IF(ISBLANK(S4225),"Intersection","Non-Intersection")</f>
        <v>Intersection</v>
      </c>
      <c r="Y4225" t="s">
        <v>4963</v>
      </c>
      <c r="Z4225" t="str">
        <f t="shared" si="956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957"/>
        <v>40909</v>
      </c>
      <c r="D4226" s="4">
        <f t="shared" si="958"/>
        <v>0.72950819672131151</v>
      </c>
      <c r="E4226" s="3">
        <f t="shared" si="959"/>
        <v>2012</v>
      </c>
      <c r="F4226" s="3">
        <f t="shared" si="960"/>
        <v>9</v>
      </c>
      <c r="G4226" s="3">
        <f t="shared" si="961"/>
        <v>24</v>
      </c>
      <c r="H4226" s="3">
        <f t="shared" si="962"/>
        <v>16</v>
      </c>
      <c r="I4226" s="3">
        <f t="shared" si="963"/>
        <v>19</v>
      </c>
      <c r="J4226" s="3">
        <f t="shared" si="964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965"/>
        <v>YES</v>
      </c>
      <c r="Q4226" t="str">
        <f t="shared" si="966"/>
        <v>YES</v>
      </c>
      <c r="R4226" t="str">
        <f t="shared" si="967"/>
        <v>NO</v>
      </c>
      <c r="S4226">
        <v>1967</v>
      </c>
      <c r="T4226" t="s">
        <v>14</v>
      </c>
      <c r="U4226" t="str">
        <f t="shared" si="954"/>
        <v>Massachusetts Ave</v>
      </c>
      <c r="W4226" t="str">
        <f t="shared" si="955"/>
        <v/>
      </c>
      <c r="X4226" t="str">
        <f>IF(ISBLANK(S4226),"Intersection","Non-Intersection")</f>
        <v>Non-Intersection</v>
      </c>
      <c r="Y4226" t="s">
        <v>3496</v>
      </c>
      <c r="Z4226" t="str">
        <f t="shared" si="956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957"/>
        <v>40909</v>
      </c>
      <c r="D4227" s="4">
        <f t="shared" si="958"/>
        <v>0.72950819672131151</v>
      </c>
      <c r="E4227" s="3">
        <f t="shared" si="959"/>
        <v>2012</v>
      </c>
      <c r="F4227" s="3">
        <f t="shared" si="960"/>
        <v>9</v>
      </c>
      <c r="G4227" s="3">
        <f t="shared" si="961"/>
        <v>24</v>
      </c>
      <c r="H4227" s="3">
        <f t="shared" si="962"/>
        <v>20</v>
      </c>
      <c r="I4227" s="3">
        <f t="shared" si="963"/>
        <v>0</v>
      </c>
      <c r="J4227" s="3">
        <f t="shared" si="964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965"/>
        <v>YES</v>
      </c>
      <c r="Q4227" t="str">
        <f t="shared" si="966"/>
        <v>NO</v>
      </c>
      <c r="R4227" t="str">
        <f t="shared" si="967"/>
        <v>NO</v>
      </c>
      <c r="S4227">
        <v>620</v>
      </c>
      <c r="T4227" t="s">
        <v>19</v>
      </c>
      <c r="U4227" t="str">
        <f t="shared" ref="U4227:U4290" si="968">TRIM(PROPER(T4227))</f>
        <v>Cambridge St</v>
      </c>
      <c r="W4227" t="str">
        <f t="shared" ref="W4227:W4290" si="969">TRIM(PROPER(V4227))</f>
        <v/>
      </c>
      <c r="X4227" t="str">
        <f>IF(ISBLANK(S4227),"Intersection","Non-Intersection")</f>
        <v>Non-Intersection</v>
      </c>
      <c r="Y4227" t="s">
        <v>4978</v>
      </c>
      <c r="Z4227" t="str">
        <f t="shared" ref="Z4227:Z4290" si="970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957"/>
        <v>40909</v>
      </c>
      <c r="D4228" s="4">
        <f t="shared" si="958"/>
        <v>0.72950819672131151</v>
      </c>
      <c r="E4228" s="3">
        <f t="shared" si="959"/>
        <v>2012</v>
      </c>
      <c r="F4228" s="3">
        <f t="shared" si="960"/>
        <v>9</v>
      </c>
      <c r="G4228" s="3">
        <f t="shared" si="961"/>
        <v>24</v>
      </c>
      <c r="H4228" s="3">
        <f t="shared" si="962"/>
        <v>23</v>
      </c>
      <c r="I4228" s="3">
        <f t="shared" si="963"/>
        <v>29</v>
      </c>
      <c r="J4228" s="3">
        <f t="shared" si="964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965"/>
        <v>YES</v>
      </c>
      <c r="Q4228" t="str">
        <f t="shared" si="966"/>
        <v>YES</v>
      </c>
      <c r="R4228" t="str">
        <f t="shared" si="967"/>
        <v>NO</v>
      </c>
      <c r="T4228" t="s">
        <v>342</v>
      </c>
      <c r="U4228" t="str">
        <f t="shared" si="968"/>
        <v>Prospect St</v>
      </c>
      <c r="W4228" t="str">
        <f t="shared" si="969"/>
        <v/>
      </c>
      <c r="X4228" t="str">
        <f>IF(ISBLANK(S4228),"Intersection","Non-Intersection")</f>
        <v>Intersection</v>
      </c>
      <c r="Y4228" t="s">
        <v>1487</v>
      </c>
      <c r="Z4228" t="str">
        <f t="shared" si="970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957"/>
        <v>40909</v>
      </c>
      <c r="D4229" s="4">
        <f t="shared" si="958"/>
        <v>0.72950819672131151</v>
      </c>
      <c r="E4229" s="3">
        <f t="shared" si="959"/>
        <v>2012</v>
      </c>
      <c r="F4229" s="3">
        <f t="shared" si="960"/>
        <v>9</v>
      </c>
      <c r="G4229" s="3">
        <f t="shared" si="961"/>
        <v>24</v>
      </c>
      <c r="H4229" s="3">
        <f t="shared" si="962"/>
        <v>16</v>
      </c>
      <c r="I4229" s="3">
        <f t="shared" si="963"/>
        <v>30</v>
      </c>
      <c r="J4229" s="3">
        <f t="shared" si="964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965"/>
        <v>YES</v>
      </c>
      <c r="Q4229" t="str">
        <f t="shared" si="966"/>
        <v>NO</v>
      </c>
      <c r="R4229" t="str">
        <f t="shared" si="967"/>
        <v>NO</v>
      </c>
      <c r="T4229" t="s">
        <v>198</v>
      </c>
      <c r="U4229" t="str">
        <f t="shared" si="968"/>
        <v>Mount Auburn St</v>
      </c>
      <c r="W4229" t="str">
        <f t="shared" si="969"/>
        <v/>
      </c>
      <c r="X4229" t="str">
        <f>IF(ISBLANK(S4229),"Intersection","Non-Intersection")</f>
        <v>Intersection</v>
      </c>
      <c r="Y4229" t="s">
        <v>441</v>
      </c>
      <c r="Z4229" t="str">
        <f t="shared" si="970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957"/>
        <v>40909</v>
      </c>
      <c r="D4230" s="4">
        <f t="shared" si="958"/>
        <v>0.73224043715846998</v>
      </c>
      <c r="E4230" s="3">
        <f t="shared" si="959"/>
        <v>2012</v>
      </c>
      <c r="F4230" s="3">
        <f t="shared" si="960"/>
        <v>9</v>
      </c>
      <c r="G4230" s="3">
        <f t="shared" si="961"/>
        <v>25</v>
      </c>
      <c r="H4230" s="3">
        <f t="shared" si="962"/>
        <v>9</v>
      </c>
      <c r="I4230" s="3">
        <f t="shared" si="963"/>
        <v>14</v>
      </c>
      <c r="J4230" s="3">
        <f t="shared" si="964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965"/>
        <v>YES</v>
      </c>
      <c r="Q4230" t="str">
        <f t="shared" si="966"/>
        <v>YES</v>
      </c>
      <c r="R4230" t="str">
        <f t="shared" si="967"/>
        <v>NO</v>
      </c>
      <c r="T4230" t="s">
        <v>74</v>
      </c>
      <c r="U4230" t="str">
        <f t="shared" si="968"/>
        <v>Hampshire St</v>
      </c>
      <c r="V4230" t="s">
        <v>75</v>
      </c>
      <c r="W4230" t="str">
        <f t="shared" si="969"/>
        <v>Elm St</v>
      </c>
      <c r="X4230" t="str">
        <f>IF(ISBLANK(S4230),"Intersection","Non-Intersection")</f>
        <v>Intersection</v>
      </c>
      <c r="Y4230" t="s">
        <v>76</v>
      </c>
      <c r="Z4230" t="str">
        <f t="shared" si="970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957"/>
        <v>40909</v>
      </c>
      <c r="D4231" s="4">
        <f t="shared" si="958"/>
        <v>0.73224043715846998</v>
      </c>
      <c r="E4231" s="3">
        <f t="shared" si="959"/>
        <v>2012</v>
      </c>
      <c r="F4231" s="3">
        <f t="shared" si="960"/>
        <v>9</v>
      </c>
      <c r="G4231" s="3">
        <f t="shared" si="961"/>
        <v>25</v>
      </c>
      <c r="H4231" s="3">
        <f t="shared" si="962"/>
        <v>15</v>
      </c>
      <c r="I4231" s="3">
        <f t="shared" si="963"/>
        <v>40</v>
      </c>
      <c r="J4231" s="3">
        <f t="shared" si="964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965"/>
        <v>YES</v>
      </c>
      <c r="Q4231" t="str">
        <f t="shared" si="966"/>
        <v>YES</v>
      </c>
      <c r="R4231" t="str">
        <f t="shared" si="967"/>
        <v>NO</v>
      </c>
      <c r="T4231" t="s">
        <v>14</v>
      </c>
      <c r="U4231" t="str">
        <f t="shared" si="968"/>
        <v>Massachusetts Ave</v>
      </c>
      <c r="V4231" t="s">
        <v>213</v>
      </c>
      <c r="W4231" t="str">
        <f t="shared" si="969"/>
        <v>Washburn Ave</v>
      </c>
      <c r="X4231" t="str">
        <f>IF(ISBLANK(S4231),"Intersection","Non-Intersection")</f>
        <v>Intersection</v>
      </c>
      <c r="Y4231" t="s">
        <v>214</v>
      </c>
      <c r="Z4231" t="str">
        <f t="shared" si="970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957"/>
        <v>40909</v>
      </c>
      <c r="D4232" s="4">
        <f t="shared" si="958"/>
        <v>0.73497267759562845</v>
      </c>
      <c r="E4232" s="3">
        <f t="shared" si="959"/>
        <v>2012</v>
      </c>
      <c r="F4232" s="3">
        <f t="shared" si="960"/>
        <v>9</v>
      </c>
      <c r="G4232" s="3">
        <f t="shared" si="961"/>
        <v>26</v>
      </c>
      <c r="H4232" s="3">
        <f t="shared" si="962"/>
        <v>11</v>
      </c>
      <c r="I4232" s="3">
        <f t="shared" si="963"/>
        <v>0</v>
      </c>
      <c r="J4232" s="3">
        <f t="shared" si="964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965"/>
        <v>YES</v>
      </c>
      <c r="Q4232" t="str">
        <f t="shared" si="966"/>
        <v>NO</v>
      </c>
      <c r="R4232" t="str">
        <f t="shared" si="967"/>
        <v>YES</v>
      </c>
      <c r="S4232">
        <v>35</v>
      </c>
      <c r="T4232" t="s">
        <v>3376</v>
      </c>
      <c r="U4232" t="str">
        <f t="shared" si="968"/>
        <v>Chalk St</v>
      </c>
      <c r="W4232" t="str">
        <f t="shared" si="969"/>
        <v/>
      </c>
      <c r="X4232" t="str">
        <f>IF(ISBLANK(S4232),"Intersection","Non-Intersection")</f>
        <v>Non-Intersection</v>
      </c>
      <c r="Y4232" t="s">
        <v>4980</v>
      </c>
      <c r="Z4232" t="str">
        <f t="shared" si="970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957"/>
        <v>40909</v>
      </c>
      <c r="D4233" s="4">
        <f t="shared" si="958"/>
        <v>0.73497267759562845</v>
      </c>
      <c r="E4233" s="3">
        <f t="shared" si="959"/>
        <v>2012</v>
      </c>
      <c r="F4233" s="3">
        <f t="shared" si="960"/>
        <v>9</v>
      </c>
      <c r="G4233" s="3">
        <f t="shared" si="961"/>
        <v>26</v>
      </c>
      <c r="H4233" s="3">
        <f t="shared" si="962"/>
        <v>14</v>
      </c>
      <c r="I4233" s="3">
        <f t="shared" si="963"/>
        <v>15</v>
      </c>
      <c r="J4233" s="3">
        <f t="shared" si="964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965"/>
        <v>YES</v>
      </c>
      <c r="Q4233" t="str">
        <f t="shared" si="966"/>
        <v>NO</v>
      </c>
      <c r="R4233" t="str">
        <f t="shared" si="967"/>
        <v>NO</v>
      </c>
      <c r="S4233">
        <v>19</v>
      </c>
      <c r="T4233" t="s">
        <v>42</v>
      </c>
      <c r="U4233" t="str">
        <f t="shared" si="968"/>
        <v>Putnam Ave</v>
      </c>
      <c r="W4233" t="str">
        <f t="shared" si="969"/>
        <v/>
      </c>
      <c r="X4233" t="str">
        <f>IF(ISBLANK(S4233),"Intersection","Non-Intersection")</f>
        <v>Non-Intersection</v>
      </c>
      <c r="Y4233" t="s">
        <v>4982</v>
      </c>
      <c r="Z4233" t="str">
        <f t="shared" si="970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957"/>
        <v>40909</v>
      </c>
      <c r="D4234" s="4">
        <f t="shared" si="958"/>
        <v>0.73497267759562845</v>
      </c>
      <c r="E4234" s="3">
        <f t="shared" si="959"/>
        <v>2012</v>
      </c>
      <c r="F4234" s="3">
        <f t="shared" si="960"/>
        <v>9</v>
      </c>
      <c r="G4234" s="3">
        <f t="shared" si="961"/>
        <v>26</v>
      </c>
      <c r="H4234" s="3">
        <f t="shared" si="962"/>
        <v>16</v>
      </c>
      <c r="I4234" s="3">
        <f t="shared" si="963"/>
        <v>50</v>
      </c>
      <c r="J4234" s="3">
        <f t="shared" si="964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965"/>
        <v>YES</v>
      </c>
      <c r="Q4234" t="str">
        <f t="shared" si="966"/>
        <v>NO</v>
      </c>
      <c r="R4234" t="str">
        <f t="shared" si="967"/>
        <v>NO</v>
      </c>
      <c r="T4234" t="s">
        <v>260</v>
      </c>
      <c r="U4234" t="str">
        <f t="shared" si="968"/>
        <v>Third St</v>
      </c>
      <c r="V4234" t="s">
        <v>209</v>
      </c>
      <c r="W4234" t="str">
        <f t="shared" si="969"/>
        <v>Binney St</v>
      </c>
      <c r="X4234" t="str">
        <f>IF(ISBLANK(S4234),"Intersection","Non-Intersection")</f>
        <v>Intersection</v>
      </c>
      <c r="Y4234" t="s">
        <v>1358</v>
      </c>
      <c r="Z4234" t="str">
        <f t="shared" si="970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957"/>
        <v>40909</v>
      </c>
      <c r="D4235" s="4">
        <f t="shared" si="958"/>
        <v>0.73497267759562845</v>
      </c>
      <c r="E4235" s="3">
        <f t="shared" si="959"/>
        <v>2012</v>
      </c>
      <c r="F4235" s="3">
        <f t="shared" si="960"/>
        <v>9</v>
      </c>
      <c r="G4235" s="3">
        <f t="shared" si="961"/>
        <v>26</v>
      </c>
      <c r="H4235" s="3">
        <f t="shared" si="962"/>
        <v>22</v>
      </c>
      <c r="I4235" s="3">
        <f t="shared" si="963"/>
        <v>16</v>
      </c>
      <c r="J4235" s="3">
        <f t="shared" si="964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965"/>
        <v>YES</v>
      </c>
      <c r="Q4235" t="str">
        <f t="shared" si="966"/>
        <v>NO</v>
      </c>
      <c r="R4235" t="str">
        <f t="shared" si="967"/>
        <v>NO</v>
      </c>
      <c r="T4235" t="s">
        <v>198</v>
      </c>
      <c r="U4235" t="str">
        <f t="shared" si="968"/>
        <v>Mount Auburn St</v>
      </c>
      <c r="V4235" t="s">
        <v>935</v>
      </c>
      <c r="W4235" t="str">
        <f t="shared" si="969"/>
        <v>Hawthorne St</v>
      </c>
      <c r="X4235" t="str">
        <f>IF(ISBLANK(S4235),"Intersection","Non-Intersection")</f>
        <v>Intersection</v>
      </c>
      <c r="Y4235" t="s">
        <v>1887</v>
      </c>
      <c r="Z4235" t="str">
        <f t="shared" si="970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957"/>
        <v>40909</v>
      </c>
      <c r="D4236" s="4">
        <f t="shared" si="958"/>
        <v>0.73770491803278693</v>
      </c>
      <c r="E4236" s="3">
        <f t="shared" si="959"/>
        <v>2012</v>
      </c>
      <c r="F4236" s="3">
        <f t="shared" si="960"/>
        <v>9</v>
      </c>
      <c r="G4236" s="3">
        <f t="shared" si="961"/>
        <v>27</v>
      </c>
      <c r="H4236" s="3">
        <f t="shared" si="962"/>
        <v>14</v>
      </c>
      <c r="I4236" s="3">
        <f t="shared" si="963"/>
        <v>15</v>
      </c>
      <c r="J4236" s="3">
        <f t="shared" si="964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965"/>
        <v>YES</v>
      </c>
      <c r="Q4236" t="str">
        <f t="shared" si="966"/>
        <v>NO</v>
      </c>
      <c r="R4236" t="str">
        <f t="shared" si="967"/>
        <v>NO</v>
      </c>
      <c r="S4236">
        <v>3032</v>
      </c>
      <c r="T4236" t="s">
        <v>1275</v>
      </c>
      <c r="U4236" t="str">
        <f t="shared" si="968"/>
        <v>Richard Ave</v>
      </c>
      <c r="W4236" t="str">
        <f t="shared" si="969"/>
        <v/>
      </c>
      <c r="X4236" t="str">
        <f>IF(ISBLANK(S4236),"Intersection","Non-Intersection")</f>
        <v>Non-Intersection</v>
      </c>
      <c r="Y4236" t="s">
        <v>4984</v>
      </c>
      <c r="Z4236" t="str">
        <f t="shared" si="970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957"/>
        <v>40909</v>
      </c>
      <c r="D4237" s="4">
        <f t="shared" si="958"/>
        <v>0.73770491803278693</v>
      </c>
      <c r="E4237" s="3">
        <f t="shared" si="959"/>
        <v>2012</v>
      </c>
      <c r="F4237" s="3">
        <f t="shared" si="960"/>
        <v>9</v>
      </c>
      <c r="G4237" s="3">
        <f t="shared" si="961"/>
        <v>27</v>
      </c>
      <c r="H4237" s="3">
        <f t="shared" si="962"/>
        <v>16</v>
      </c>
      <c r="I4237" s="3">
        <f t="shared" si="963"/>
        <v>16</v>
      </c>
      <c r="J4237" s="3">
        <f t="shared" si="964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965"/>
        <v>YES</v>
      </c>
      <c r="Q4237" t="str">
        <f t="shared" si="966"/>
        <v>NO</v>
      </c>
      <c r="R4237" t="str">
        <f t="shared" si="967"/>
        <v>NO</v>
      </c>
      <c r="T4237" t="s">
        <v>32</v>
      </c>
      <c r="U4237" t="str">
        <f t="shared" si="968"/>
        <v>Main St</v>
      </c>
      <c r="V4237" t="s">
        <v>288</v>
      </c>
      <c r="W4237" t="str">
        <f t="shared" si="969"/>
        <v>Galileo Galilei Way</v>
      </c>
      <c r="X4237" t="str">
        <f>IF(ISBLANK(S4237),"Intersection","Non-Intersection")</f>
        <v>Intersection</v>
      </c>
      <c r="Y4237" t="s">
        <v>2978</v>
      </c>
      <c r="Z4237" t="str">
        <f t="shared" si="970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957"/>
        <v>40909</v>
      </c>
      <c r="D4238" s="4">
        <f t="shared" si="958"/>
        <v>0.73770491803278693</v>
      </c>
      <c r="E4238" s="3">
        <f t="shared" si="959"/>
        <v>2012</v>
      </c>
      <c r="F4238" s="3">
        <f t="shared" si="960"/>
        <v>9</v>
      </c>
      <c r="G4238" s="3">
        <f t="shared" si="961"/>
        <v>27</v>
      </c>
      <c r="H4238" s="3">
        <f t="shared" si="962"/>
        <v>6</v>
      </c>
      <c r="I4238" s="3">
        <f t="shared" si="963"/>
        <v>20</v>
      </c>
      <c r="J4238" s="3">
        <f t="shared" si="964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965"/>
        <v>YES</v>
      </c>
      <c r="Q4238" t="str">
        <f t="shared" si="966"/>
        <v>YES</v>
      </c>
      <c r="R4238" t="str">
        <f t="shared" si="967"/>
        <v>NO</v>
      </c>
      <c r="T4238" t="s">
        <v>198</v>
      </c>
      <c r="U4238" t="str">
        <f t="shared" si="968"/>
        <v>Mount Auburn St</v>
      </c>
      <c r="V4238" t="s">
        <v>199</v>
      </c>
      <c r="W4238" t="str">
        <f t="shared" si="969"/>
        <v>Brattle St</v>
      </c>
      <c r="X4238" t="str">
        <f>IF(ISBLANK(S4238),"Intersection","Non-Intersection")</f>
        <v>Intersection</v>
      </c>
      <c r="Y4238" t="s">
        <v>767</v>
      </c>
      <c r="Z4238" t="str">
        <f t="shared" si="970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957"/>
        <v>40909</v>
      </c>
      <c r="D4239" s="4">
        <f t="shared" si="958"/>
        <v>0.7404371584699454</v>
      </c>
      <c r="E4239" s="3">
        <f t="shared" si="959"/>
        <v>2012</v>
      </c>
      <c r="F4239" s="3">
        <f t="shared" si="960"/>
        <v>9</v>
      </c>
      <c r="G4239" s="3">
        <f t="shared" si="961"/>
        <v>28</v>
      </c>
      <c r="H4239" s="3">
        <f t="shared" si="962"/>
        <v>7</v>
      </c>
      <c r="I4239" s="3">
        <f t="shared" si="963"/>
        <v>57</v>
      </c>
      <c r="J4239" s="3">
        <f t="shared" si="964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965"/>
        <v>YES</v>
      </c>
      <c r="Q4239" t="str">
        <f t="shared" si="966"/>
        <v>NO</v>
      </c>
      <c r="R4239" t="str">
        <f t="shared" si="967"/>
        <v>NO</v>
      </c>
      <c r="T4239" t="s">
        <v>105</v>
      </c>
      <c r="U4239" t="str">
        <f t="shared" si="968"/>
        <v>Broadway</v>
      </c>
      <c r="V4239" t="s">
        <v>942</v>
      </c>
      <c r="W4239" t="str">
        <f t="shared" si="969"/>
        <v>Amory St</v>
      </c>
      <c r="X4239" t="str">
        <f>IF(ISBLANK(S4239),"Intersection","Non-Intersection")</f>
        <v>Intersection</v>
      </c>
      <c r="Y4239" t="s">
        <v>4240</v>
      </c>
      <c r="Z4239" t="str">
        <f t="shared" si="970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957"/>
        <v>40909</v>
      </c>
      <c r="D4240" s="4">
        <f t="shared" si="958"/>
        <v>0.7404371584699454</v>
      </c>
      <c r="E4240" s="3">
        <f t="shared" si="959"/>
        <v>2012</v>
      </c>
      <c r="F4240" s="3">
        <f t="shared" si="960"/>
        <v>9</v>
      </c>
      <c r="G4240" s="3">
        <f t="shared" si="961"/>
        <v>28</v>
      </c>
      <c r="H4240" s="3">
        <f t="shared" si="962"/>
        <v>8</v>
      </c>
      <c r="I4240" s="3">
        <f t="shared" si="963"/>
        <v>19</v>
      </c>
      <c r="J4240" s="3">
        <f t="shared" si="964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965"/>
        <v>YES</v>
      </c>
      <c r="Q4240" t="str">
        <f t="shared" si="966"/>
        <v>NO</v>
      </c>
      <c r="R4240" t="str">
        <f t="shared" si="967"/>
        <v>NO</v>
      </c>
      <c r="T4240" t="s">
        <v>19</v>
      </c>
      <c r="U4240" t="str">
        <f t="shared" si="968"/>
        <v>Cambridge St</v>
      </c>
      <c r="V4240" t="s">
        <v>138</v>
      </c>
      <c r="W4240" t="str">
        <f t="shared" si="969"/>
        <v>Felton St</v>
      </c>
      <c r="X4240" t="str">
        <f>IF(ISBLANK(S4240),"Intersection","Non-Intersection")</f>
        <v>Intersection</v>
      </c>
      <c r="Y4240" t="s">
        <v>3406</v>
      </c>
      <c r="Z4240" t="str">
        <f t="shared" si="970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957"/>
        <v>40909</v>
      </c>
      <c r="D4241" s="4">
        <f t="shared" si="958"/>
        <v>0.7404371584699454</v>
      </c>
      <c r="E4241" s="3">
        <f t="shared" si="959"/>
        <v>2012</v>
      </c>
      <c r="F4241" s="3">
        <f t="shared" si="960"/>
        <v>9</v>
      </c>
      <c r="G4241" s="3">
        <f t="shared" si="961"/>
        <v>28</v>
      </c>
      <c r="H4241" s="3">
        <f t="shared" si="962"/>
        <v>19</v>
      </c>
      <c r="I4241" s="3">
        <f t="shared" si="963"/>
        <v>15</v>
      </c>
      <c r="J4241" s="3">
        <f t="shared" si="964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965"/>
        <v>YES</v>
      </c>
      <c r="Q4241" t="str">
        <f t="shared" si="966"/>
        <v>NO</v>
      </c>
      <c r="R4241" t="str">
        <f t="shared" si="967"/>
        <v>NO</v>
      </c>
      <c r="S4241">
        <v>80</v>
      </c>
      <c r="T4241" t="s">
        <v>249</v>
      </c>
      <c r="U4241" t="str">
        <f t="shared" si="968"/>
        <v>Landsdowne St</v>
      </c>
      <c r="W4241" t="str">
        <f t="shared" si="969"/>
        <v/>
      </c>
      <c r="X4241" t="str">
        <f>IF(ISBLANK(S4241),"Intersection","Non-Intersection")</f>
        <v>Non-Intersection</v>
      </c>
      <c r="Y4241" t="s">
        <v>2357</v>
      </c>
      <c r="Z4241" t="str">
        <f t="shared" si="970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957"/>
        <v>40909</v>
      </c>
      <c r="D4242" s="4">
        <f t="shared" si="958"/>
        <v>0.7404371584699454</v>
      </c>
      <c r="E4242" s="3">
        <f t="shared" si="959"/>
        <v>2012</v>
      </c>
      <c r="F4242" s="3">
        <f t="shared" si="960"/>
        <v>9</v>
      </c>
      <c r="G4242" s="3">
        <f t="shared" si="961"/>
        <v>28</v>
      </c>
      <c r="H4242" s="3">
        <f t="shared" si="962"/>
        <v>14</v>
      </c>
      <c r="I4242" s="3">
        <f t="shared" si="963"/>
        <v>0</v>
      </c>
      <c r="J4242" s="3">
        <f t="shared" si="964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965"/>
        <v>YES</v>
      </c>
      <c r="Q4242" t="str">
        <f t="shared" si="966"/>
        <v>NO</v>
      </c>
      <c r="R4242" t="str">
        <f t="shared" si="967"/>
        <v>NO</v>
      </c>
      <c r="S4242">
        <v>147</v>
      </c>
      <c r="T4242" t="s">
        <v>316</v>
      </c>
      <c r="U4242" t="str">
        <f t="shared" si="968"/>
        <v>Bishop Allen Dr</v>
      </c>
      <c r="W4242" t="str">
        <f t="shared" si="969"/>
        <v/>
      </c>
      <c r="X4242" t="str">
        <f>IF(ISBLANK(S4242),"Intersection","Non-Intersection")</f>
        <v>Non-Intersection</v>
      </c>
      <c r="Y4242" t="s">
        <v>4986</v>
      </c>
      <c r="Z4242" t="str">
        <f t="shared" si="970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957"/>
        <v>40909</v>
      </c>
      <c r="D4243" s="4">
        <f t="shared" si="958"/>
        <v>0.7404371584699454</v>
      </c>
      <c r="E4243" s="3">
        <f t="shared" si="959"/>
        <v>2012</v>
      </c>
      <c r="F4243" s="3">
        <f t="shared" si="960"/>
        <v>9</v>
      </c>
      <c r="G4243" s="3">
        <f t="shared" si="961"/>
        <v>28</v>
      </c>
      <c r="H4243" s="3">
        <f t="shared" si="962"/>
        <v>19</v>
      </c>
      <c r="I4243" s="3">
        <f t="shared" si="963"/>
        <v>30</v>
      </c>
      <c r="J4243" s="3">
        <f t="shared" si="964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965"/>
        <v>YES</v>
      </c>
      <c r="Q4243" t="str">
        <f t="shared" si="966"/>
        <v>NO</v>
      </c>
      <c r="R4243" t="str">
        <f t="shared" si="967"/>
        <v>YES</v>
      </c>
      <c r="T4243" t="s">
        <v>209</v>
      </c>
      <c r="U4243" t="str">
        <f t="shared" si="968"/>
        <v>Binney St</v>
      </c>
      <c r="V4243" t="s">
        <v>61</v>
      </c>
      <c r="W4243" t="str">
        <f t="shared" si="969"/>
        <v>First St</v>
      </c>
      <c r="X4243" t="str">
        <f>IF(ISBLANK(S4243),"Intersection","Non-Intersection")</f>
        <v>Intersection</v>
      </c>
      <c r="Y4243" t="s">
        <v>579</v>
      </c>
      <c r="Z4243" t="str">
        <f t="shared" si="970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957"/>
        <v>40909</v>
      </c>
      <c r="D4244" s="4">
        <f t="shared" si="958"/>
        <v>0.7404371584699454</v>
      </c>
      <c r="E4244" s="3">
        <f t="shared" si="959"/>
        <v>2012</v>
      </c>
      <c r="F4244" s="3">
        <f t="shared" si="960"/>
        <v>9</v>
      </c>
      <c r="G4244" s="3">
        <f t="shared" si="961"/>
        <v>28</v>
      </c>
      <c r="H4244" s="3">
        <f t="shared" si="962"/>
        <v>20</v>
      </c>
      <c r="I4244" s="3">
        <f t="shared" si="963"/>
        <v>0</v>
      </c>
      <c r="J4244" s="3">
        <f t="shared" si="964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965"/>
        <v>YES</v>
      </c>
      <c r="Q4244" t="str">
        <f t="shared" si="966"/>
        <v>NO</v>
      </c>
      <c r="R4244" t="str">
        <f t="shared" si="967"/>
        <v>NO</v>
      </c>
      <c r="T4244" t="s">
        <v>2606</v>
      </c>
      <c r="U4244" t="str">
        <f t="shared" si="968"/>
        <v>Alberta Ter</v>
      </c>
      <c r="V4244" t="s">
        <v>14</v>
      </c>
      <c r="W4244" t="str">
        <f t="shared" si="969"/>
        <v>Massachusetts Ave</v>
      </c>
      <c r="X4244" t="str">
        <f>IF(ISBLANK(S4244),"Intersection","Non-Intersection")</f>
        <v>Intersection</v>
      </c>
      <c r="Y4244" t="s">
        <v>4988</v>
      </c>
      <c r="Z4244" t="str">
        <f t="shared" si="970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957"/>
        <v>40909</v>
      </c>
      <c r="D4245" s="4">
        <f t="shared" si="958"/>
        <v>0.7404371584699454</v>
      </c>
      <c r="E4245" s="3">
        <f t="shared" si="959"/>
        <v>2012</v>
      </c>
      <c r="F4245" s="3">
        <f t="shared" si="960"/>
        <v>9</v>
      </c>
      <c r="G4245" s="3">
        <f t="shared" si="961"/>
        <v>28</v>
      </c>
      <c r="H4245" s="3">
        <f t="shared" si="962"/>
        <v>15</v>
      </c>
      <c r="I4245" s="3">
        <f t="shared" si="963"/>
        <v>0</v>
      </c>
      <c r="J4245" s="3">
        <f t="shared" si="964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965"/>
        <v>YES</v>
      </c>
      <c r="Q4245" t="str">
        <f t="shared" si="966"/>
        <v>NO</v>
      </c>
      <c r="R4245" t="str">
        <f t="shared" si="967"/>
        <v>NO</v>
      </c>
      <c r="S4245">
        <v>116</v>
      </c>
      <c r="T4245" t="s">
        <v>37</v>
      </c>
      <c r="U4245" t="str">
        <f t="shared" si="968"/>
        <v>Magazine St</v>
      </c>
      <c r="W4245" t="str">
        <f t="shared" si="969"/>
        <v/>
      </c>
      <c r="X4245" t="str">
        <f>IF(ISBLANK(S4245),"Intersection","Non-Intersection")</f>
        <v>Non-Intersection</v>
      </c>
      <c r="Y4245" t="s">
        <v>4989</v>
      </c>
      <c r="Z4245" t="str">
        <f t="shared" si="970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957"/>
        <v>40909</v>
      </c>
      <c r="D4246" s="4">
        <f t="shared" si="958"/>
        <v>0.7404371584699454</v>
      </c>
      <c r="E4246" s="3">
        <f t="shared" si="959"/>
        <v>2012</v>
      </c>
      <c r="F4246" s="3">
        <f t="shared" si="960"/>
        <v>9</v>
      </c>
      <c r="G4246" s="3">
        <f t="shared" si="961"/>
        <v>28</v>
      </c>
      <c r="H4246" s="3">
        <f t="shared" si="962"/>
        <v>20</v>
      </c>
      <c r="I4246" s="3">
        <f t="shared" si="963"/>
        <v>30</v>
      </c>
      <c r="J4246" s="3">
        <f t="shared" si="964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965"/>
        <v>YES</v>
      </c>
      <c r="Q4246" t="str">
        <f t="shared" si="966"/>
        <v>NO</v>
      </c>
      <c r="R4246" t="str">
        <f t="shared" si="967"/>
        <v>NO</v>
      </c>
      <c r="S4246">
        <v>195</v>
      </c>
      <c r="T4246" t="s">
        <v>2060</v>
      </c>
      <c r="U4246" t="str">
        <f t="shared" si="968"/>
        <v>Harvey St</v>
      </c>
      <c r="W4246" t="str">
        <f t="shared" si="969"/>
        <v/>
      </c>
      <c r="X4246" t="str">
        <f>IF(ISBLANK(S4246),"Intersection","Non-Intersection")</f>
        <v>Non-Intersection</v>
      </c>
      <c r="Y4246" t="s">
        <v>4553</v>
      </c>
      <c r="Z4246" t="str">
        <f t="shared" si="970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957"/>
        <v>40909</v>
      </c>
      <c r="D4247" s="4">
        <f t="shared" si="958"/>
        <v>0.7404371584699454</v>
      </c>
      <c r="E4247" s="3">
        <f t="shared" si="959"/>
        <v>2012</v>
      </c>
      <c r="F4247" s="3">
        <f t="shared" si="960"/>
        <v>9</v>
      </c>
      <c r="G4247" s="3">
        <f t="shared" si="961"/>
        <v>28</v>
      </c>
      <c r="H4247" s="3">
        <f t="shared" si="962"/>
        <v>17</v>
      </c>
      <c r="I4247" s="3">
        <f t="shared" si="963"/>
        <v>35</v>
      </c>
      <c r="J4247" s="3">
        <f t="shared" si="964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965"/>
        <v>YES</v>
      </c>
      <c r="Q4247" t="str">
        <f t="shared" si="966"/>
        <v>NO</v>
      </c>
      <c r="R4247" t="str">
        <f t="shared" si="967"/>
        <v>NO</v>
      </c>
      <c r="T4247" t="s">
        <v>32</v>
      </c>
      <c r="U4247" t="str">
        <f t="shared" si="968"/>
        <v>Main St</v>
      </c>
      <c r="V4247" t="s">
        <v>189</v>
      </c>
      <c r="W4247" t="str">
        <f t="shared" si="969"/>
        <v>Windsor St</v>
      </c>
      <c r="X4247" t="str">
        <f>IF(ISBLANK(S4247),"Intersection","Non-Intersection")</f>
        <v>Intersection</v>
      </c>
      <c r="Y4247" t="s">
        <v>1737</v>
      </c>
      <c r="Z4247" t="str">
        <f t="shared" si="970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957"/>
        <v>40909</v>
      </c>
      <c r="D4248" s="4">
        <f t="shared" si="958"/>
        <v>0.74316939890710387</v>
      </c>
      <c r="E4248" s="3">
        <f t="shared" si="959"/>
        <v>2012</v>
      </c>
      <c r="F4248" s="3">
        <f t="shared" si="960"/>
        <v>9</v>
      </c>
      <c r="G4248" s="3">
        <f t="shared" si="961"/>
        <v>29</v>
      </c>
      <c r="H4248" s="3">
        <f t="shared" si="962"/>
        <v>15</v>
      </c>
      <c r="I4248" s="3">
        <f t="shared" si="963"/>
        <v>55</v>
      </c>
      <c r="J4248" s="3">
        <f t="shared" si="964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965"/>
        <v>YES</v>
      </c>
      <c r="Q4248" t="str">
        <f t="shared" si="966"/>
        <v>NO</v>
      </c>
      <c r="R4248" t="str">
        <f t="shared" si="967"/>
        <v>YES</v>
      </c>
      <c r="T4248" t="s">
        <v>1502</v>
      </c>
      <c r="U4248" t="str">
        <f t="shared" si="968"/>
        <v>Gore St</v>
      </c>
      <c r="V4248" t="s">
        <v>3385</v>
      </c>
      <c r="W4248" t="str">
        <f t="shared" si="969"/>
        <v>Seventh St</v>
      </c>
      <c r="X4248" t="str">
        <f>IF(ISBLANK(S4248),"Intersection","Non-Intersection")</f>
        <v>Intersection</v>
      </c>
      <c r="Y4248" t="s">
        <v>4408</v>
      </c>
      <c r="Z4248" t="str">
        <f t="shared" si="970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957"/>
        <v>40909</v>
      </c>
      <c r="D4249" s="4">
        <f t="shared" si="958"/>
        <v>0.74316939890710387</v>
      </c>
      <c r="E4249" s="3">
        <f t="shared" si="959"/>
        <v>2012</v>
      </c>
      <c r="F4249" s="3">
        <f t="shared" si="960"/>
        <v>9</v>
      </c>
      <c r="G4249" s="3">
        <f t="shared" si="961"/>
        <v>29</v>
      </c>
      <c r="H4249" s="3">
        <f t="shared" si="962"/>
        <v>19</v>
      </c>
      <c r="I4249" s="3">
        <f t="shared" si="963"/>
        <v>44</v>
      </c>
      <c r="J4249" s="3">
        <f t="shared" si="964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965"/>
        <v>YES</v>
      </c>
      <c r="Q4249" t="str">
        <f t="shared" si="966"/>
        <v>NO</v>
      </c>
      <c r="R4249" t="str">
        <f t="shared" si="967"/>
        <v>NO</v>
      </c>
      <c r="T4249" t="s">
        <v>260</v>
      </c>
      <c r="U4249" t="str">
        <f t="shared" si="968"/>
        <v>Third St</v>
      </c>
      <c r="V4249" t="s">
        <v>146</v>
      </c>
      <c r="W4249" t="str">
        <f t="shared" si="969"/>
        <v>Spring St</v>
      </c>
      <c r="X4249" t="str">
        <f>IF(ISBLANK(S4249),"Intersection","Non-Intersection")</f>
        <v>Intersection</v>
      </c>
      <c r="Y4249" t="s">
        <v>544</v>
      </c>
      <c r="Z4249" t="str">
        <f t="shared" si="970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957"/>
        <v>40909</v>
      </c>
      <c r="D4250" s="4">
        <f t="shared" si="958"/>
        <v>0.74316939890710387</v>
      </c>
      <c r="E4250" s="3">
        <f t="shared" si="959"/>
        <v>2012</v>
      </c>
      <c r="F4250" s="3">
        <f t="shared" si="960"/>
        <v>9</v>
      </c>
      <c r="G4250" s="3">
        <f t="shared" si="961"/>
        <v>29</v>
      </c>
      <c r="H4250" s="3">
        <f t="shared" si="962"/>
        <v>1</v>
      </c>
      <c r="I4250" s="3">
        <f t="shared" si="963"/>
        <v>8</v>
      </c>
      <c r="J4250" s="3">
        <f t="shared" si="964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965"/>
        <v>YES</v>
      </c>
      <c r="Q4250" t="str">
        <f t="shared" si="966"/>
        <v>NO</v>
      </c>
      <c r="R4250" t="str">
        <f t="shared" si="967"/>
        <v>NO</v>
      </c>
      <c r="T4250" t="s">
        <v>185</v>
      </c>
      <c r="U4250" t="str">
        <f t="shared" si="968"/>
        <v>Garden St</v>
      </c>
      <c r="V4250" t="s">
        <v>14</v>
      </c>
      <c r="W4250" t="str">
        <f t="shared" si="969"/>
        <v>Massachusetts Ave</v>
      </c>
      <c r="X4250" t="str">
        <f>IF(ISBLANK(S4250),"Intersection","Non-Intersection")</f>
        <v>Intersection</v>
      </c>
      <c r="Y4250" t="s">
        <v>1003</v>
      </c>
      <c r="Z4250" t="str">
        <f t="shared" si="970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957"/>
        <v>40909</v>
      </c>
      <c r="D4251" s="4">
        <f t="shared" si="958"/>
        <v>0.74590163934426235</v>
      </c>
      <c r="E4251" s="3">
        <f t="shared" si="959"/>
        <v>2012</v>
      </c>
      <c r="F4251" s="3">
        <f t="shared" si="960"/>
        <v>9</v>
      </c>
      <c r="G4251" s="3">
        <f t="shared" si="961"/>
        <v>30</v>
      </c>
      <c r="H4251" s="3">
        <f t="shared" si="962"/>
        <v>10</v>
      </c>
      <c r="I4251" s="3">
        <f t="shared" si="963"/>
        <v>50</v>
      </c>
      <c r="J4251" s="3">
        <f t="shared" si="964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965"/>
        <v>YES</v>
      </c>
      <c r="Q4251" t="str">
        <f t="shared" si="966"/>
        <v>NO</v>
      </c>
      <c r="R4251" t="str">
        <f t="shared" si="967"/>
        <v>NO</v>
      </c>
      <c r="S4251">
        <v>319</v>
      </c>
      <c r="T4251" t="s">
        <v>186</v>
      </c>
      <c r="U4251" t="str">
        <f t="shared" si="968"/>
        <v>Concord Ave</v>
      </c>
      <c r="W4251" t="str">
        <f t="shared" si="969"/>
        <v/>
      </c>
      <c r="X4251" t="str">
        <f>IF(ISBLANK(S4251),"Intersection","Non-Intersection")</f>
        <v>Non-Intersection</v>
      </c>
      <c r="Y4251" t="s">
        <v>4261</v>
      </c>
      <c r="Z4251" t="str">
        <f t="shared" si="970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957"/>
        <v>40909</v>
      </c>
      <c r="D4252" s="4">
        <f t="shared" si="958"/>
        <v>0.74590163934426235</v>
      </c>
      <c r="E4252" s="3">
        <f t="shared" si="959"/>
        <v>2012</v>
      </c>
      <c r="F4252" s="3">
        <f t="shared" si="960"/>
        <v>9</v>
      </c>
      <c r="G4252" s="3">
        <f t="shared" si="961"/>
        <v>30</v>
      </c>
      <c r="H4252" s="3">
        <f t="shared" si="962"/>
        <v>17</v>
      </c>
      <c r="I4252" s="3">
        <f t="shared" si="963"/>
        <v>10</v>
      </c>
      <c r="J4252" s="3">
        <f t="shared" si="964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965"/>
        <v>YES</v>
      </c>
      <c r="Q4252" t="str">
        <f t="shared" si="966"/>
        <v>NO</v>
      </c>
      <c r="R4252" t="str">
        <f t="shared" si="967"/>
        <v>NO</v>
      </c>
      <c r="S4252">
        <v>211</v>
      </c>
      <c r="T4252" t="s">
        <v>14</v>
      </c>
      <c r="U4252" t="str">
        <f t="shared" si="968"/>
        <v>Massachusetts Ave</v>
      </c>
      <c r="W4252" t="str">
        <f t="shared" si="969"/>
        <v/>
      </c>
      <c r="X4252" t="str">
        <f>IF(ISBLANK(S4252),"Intersection","Non-Intersection")</f>
        <v>Non-Intersection</v>
      </c>
      <c r="Y4252" t="s">
        <v>4966</v>
      </c>
      <c r="Z4252" t="str">
        <f t="shared" si="970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957"/>
        <v>40909</v>
      </c>
      <c r="D4253" s="4">
        <f t="shared" si="958"/>
        <v>0.74863387978142082</v>
      </c>
      <c r="E4253" s="3">
        <f t="shared" si="959"/>
        <v>2012</v>
      </c>
      <c r="F4253" s="3">
        <f t="shared" si="960"/>
        <v>10</v>
      </c>
      <c r="G4253" s="3">
        <f t="shared" si="961"/>
        <v>1</v>
      </c>
      <c r="H4253" s="3">
        <f t="shared" si="962"/>
        <v>8</v>
      </c>
      <c r="I4253" s="3">
        <f t="shared" si="963"/>
        <v>4</v>
      </c>
      <c r="J4253" s="3">
        <f t="shared" si="964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965"/>
        <v>YES</v>
      </c>
      <c r="Q4253" t="str">
        <f t="shared" si="966"/>
        <v>NO</v>
      </c>
      <c r="R4253" t="str">
        <f t="shared" si="967"/>
        <v>NO</v>
      </c>
      <c r="T4253" t="s">
        <v>14</v>
      </c>
      <c r="U4253" t="str">
        <f t="shared" si="968"/>
        <v>Massachusetts Ave</v>
      </c>
      <c r="V4253" t="s">
        <v>101</v>
      </c>
      <c r="W4253" t="str">
        <f t="shared" si="969"/>
        <v>Columbia St</v>
      </c>
      <c r="X4253" t="str">
        <f>IF(ISBLANK(S4253),"Intersection","Non-Intersection")</f>
        <v>Intersection</v>
      </c>
      <c r="Y4253" t="s">
        <v>1011</v>
      </c>
      <c r="Z4253" t="str">
        <f t="shared" si="970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957"/>
        <v>40909</v>
      </c>
      <c r="D4254" s="4">
        <f t="shared" si="958"/>
        <v>0.74863387978142082</v>
      </c>
      <c r="E4254" s="3">
        <f t="shared" si="959"/>
        <v>2012</v>
      </c>
      <c r="F4254" s="3">
        <f t="shared" si="960"/>
        <v>10</v>
      </c>
      <c r="G4254" s="3">
        <f t="shared" si="961"/>
        <v>1</v>
      </c>
      <c r="H4254" s="3">
        <f t="shared" si="962"/>
        <v>10</v>
      </c>
      <c r="I4254" s="3">
        <f t="shared" si="963"/>
        <v>15</v>
      </c>
      <c r="J4254" s="3">
        <f t="shared" si="964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965"/>
        <v>YES</v>
      </c>
      <c r="Q4254" t="str">
        <f t="shared" si="966"/>
        <v>NO</v>
      </c>
      <c r="R4254" t="str">
        <f t="shared" si="967"/>
        <v>NO</v>
      </c>
      <c r="T4254" t="s">
        <v>4313</v>
      </c>
      <c r="U4254" t="str">
        <f t="shared" si="968"/>
        <v>Dunstable Rd</v>
      </c>
      <c r="V4254" t="s">
        <v>198</v>
      </c>
      <c r="W4254" t="str">
        <f t="shared" si="969"/>
        <v>Mount Auburn St</v>
      </c>
      <c r="X4254" t="str">
        <f>IF(ISBLANK(S4254),"Intersection","Non-Intersection")</f>
        <v>Intersection</v>
      </c>
      <c r="Y4254" t="s">
        <v>4550</v>
      </c>
      <c r="Z4254" t="str">
        <f t="shared" si="970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957"/>
        <v>40909</v>
      </c>
      <c r="D4255" s="4">
        <f t="shared" si="958"/>
        <v>0.74863387978142082</v>
      </c>
      <c r="E4255" s="3">
        <f t="shared" si="959"/>
        <v>2012</v>
      </c>
      <c r="F4255" s="3">
        <f t="shared" si="960"/>
        <v>10</v>
      </c>
      <c r="G4255" s="3">
        <f t="shared" si="961"/>
        <v>1</v>
      </c>
      <c r="H4255" s="3">
        <f t="shared" si="962"/>
        <v>16</v>
      </c>
      <c r="I4255" s="3">
        <f t="shared" si="963"/>
        <v>45</v>
      </c>
      <c r="J4255" s="3">
        <f t="shared" si="964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965"/>
        <v>YES</v>
      </c>
      <c r="Q4255" t="str">
        <f t="shared" si="966"/>
        <v>NO</v>
      </c>
      <c r="R4255" t="str">
        <f t="shared" si="967"/>
        <v>NO</v>
      </c>
      <c r="S4255">
        <v>575</v>
      </c>
      <c r="T4255" t="s">
        <v>203</v>
      </c>
      <c r="U4255" t="str">
        <f t="shared" si="968"/>
        <v>Memorial Dr</v>
      </c>
      <c r="W4255" t="str">
        <f t="shared" si="969"/>
        <v/>
      </c>
      <c r="X4255" t="str">
        <f>IF(ISBLANK(S4255),"Intersection","Non-Intersection")</f>
        <v>Non-Intersection</v>
      </c>
      <c r="Y4255" t="s">
        <v>347</v>
      </c>
      <c r="Z4255" t="str">
        <f t="shared" si="970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957"/>
        <v>40909</v>
      </c>
      <c r="D4256" s="4">
        <f t="shared" si="958"/>
        <v>0.74863387978142082</v>
      </c>
      <c r="E4256" s="3">
        <f t="shared" si="959"/>
        <v>2012</v>
      </c>
      <c r="F4256" s="3">
        <f t="shared" si="960"/>
        <v>10</v>
      </c>
      <c r="G4256" s="3">
        <f t="shared" si="961"/>
        <v>1</v>
      </c>
      <c r="H4256" s="3">
        <f t="shared" si="962"/>
        <v>15</v>
      </c>
      <c r="I4256" s="3">
        <f t="shared" si="963"/>
        <v>34</v>
      </c>
      <c r="J4256" s="3">
        <f t="shared" si="964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965"/>
        <v>YES</v>
      </c>
      <c r="Q4256" t="str">
        <f t="shared" si="966"/>
        <v>NO</v>
      </c>
      <c r="R4256" t="str">
        <f t="shared" si="967"/>
        <v>NO</v>
      </c>
      <c r="T4256" t="s">
        <v>32</v>
      </c>
      <c r="U4256" t="str">
        <f t="shared" si="968"/>
        <v>Main St</v>
      </c>
      <c r="V4256" t="s">
        <v>2206</v>
      </c>
      <c r="W4256" t="str">
        <f t="shared" si="969"/>
        <v>Hayward St</v>
      </c>
      <c r="X4256" t="str">
        <f>IF(ISBLANK(S4256),"Intersection","Non-Intersection")</f>
        <v>Intersection</v>
      </c>
      <c r="Y4256" t="s">
        <v>4992</v>
      </c>
      <c r="Z4256" t="str">
        <f t="shared" si="970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957"/>
        <v>40909</v>
      </c>
      <c r="D4257" s="4">
        <f t="shared" si="958"/>
        <v>0.74863387978142082</v>
      </c>
      <c r="E4257" s="3">
        <f t="shared" si="959"/>
        <v>2012</v>
      </c>
      <c r="F4257" s="3">
        <f t="shared" si="960"/>
        <v>10</v>
      </c>
      <c r="G4257" s="3">
        <f t="shared" si="961"/>
        <v>1</v>
      </c>
      <c r="H4257" s="3">
        <f t="shared" si="962"/>
        <v>17</v>
      </c>
      <c r="I4257" s="3">
        <f t="shared" si="963"/>
        <v>25</v>
      </c>
      <c r="J4257" s="3">
        <f t="shared" si="964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965"/>
        <v>YES</v>
      </c>
      <c r="Q4257" t="str">
        <f t="shared" si="966"/>
        <v>YES</v>
      </c>
      <c r="R4257" t="str">
        <f t="shared" si="967"/>
        <v>NO</v>
      </c>
      <c r="S4257">
        <v>438</v>
      </c>
      <c r="T4257" t="s">
        <v>14</v>
      </c>
      <c r="U4257" t="str">
        <f t="shared" si="968"/>
        <v>Massachusetts Ave</v>
      </c>
      <c r="W4257" t="str">
        <f t="shared" si="969"/>
        <v/>
      </c>
      <c r="X4257" t="str">
        <f>IF(ISBLANK(S4257),"Intersection","Non-Intersection")</f>
        <v>Non-Intersection</v>
      </c>
      <c r="Y4257" t="s">
        <v>4851</v>
      </c>
      <c r="Z4257" t="str">
        <f t="shared" si="970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957"/>
        <v>40909</v>
      </c>
      <c r="D4258" s="4">
        <f t="shared" si="958"/>
        <v>0.74863387978142082</v>
      </c>
      <c r="E4258" s="3">
        <f t="shared" si="959"/>
        <v>2012</v>
      </c>
      <c r="F4258" s="3">
        <f t="shared" si="960"/>
        <v>10</v>
      </c>
      <c r="G4258" s="3">
        <f t="shared" si="961"/>
        <v>1</v>
      </c>
      <c r="H4258" s="3">
        <f t="shared" si="962"/>
        <v>18</v>
      </c>
      <c r="I4258" s="3">
        <f t="shared" si="963"/>
        <v>59</v>
      </c>
      <c r="J4258" s="3">
        <f t="shared" si="964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965"/>
        <v>YES</v>
      </c>
      <c r="Q4258" t="str">
        <f t="shared" si="966"/>
        <v>NO</v>
      </c>
      <c r="R4258" t="str">
        <f t="shared" si="967"/>
        <v>NO</v>
      </c>
      <c r="S4258">
        <v>9</v>
      </c>
      <c r="T4258" t="s">
        <v>487</v>
      </c>
      <c r="U4258" t="str">
        <f t="shared" si="968"/>
        <v>Beech St</v>
      </c>
      <c r="W4258" t="str">
        <f t="shared" si="969"/>
        <v/>
      </c>
      <c r="X4258" t="str">
        <f>IF(ISBLANK(S4258),"Intersection","Non-Intersection")</f>
        <v>Non-Intersection</v>
      </c>
      <c r="Y4258" t="s">
        <v>4994</v>
      </c>
      <c r="Z4258" t="str">
        <f t="shared" si="970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957"/>
        <v>40909</v>
      </c>
      <c r="D4259" s="4">
        <f t="shared" si="958"/>
        <v>0.75136612021857918</v>
      </c>
      <c r="E4259" s="3">
        <f t="shared" si="959"/>
        <v>2012</v>
      </c>
      <c r="F4259" s="3">
        <f t="shared" si="960"/>
        <v>10</v>
      </c>
      <c r="G4259" s="3">
        <f t="shared" si="961"/>
        <v>2</v>
      </c>
      <c r="H4259" s="3">
        <f t="shared" si="962"/>
        <v>14</v>
      </c>
      <c r="I4259" s="3">
        <f t="shared" si="963"/>
        <v>29</v>
      </c>
      <c r="J4259" s="3">
        <f t="shared" si="964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965"/>
        <v>YES</v>
      </c>
      <c r="Q4259" t="str">
        <f t="shared" si="966"/>
        <v>YES</v>
      </c>
      <c r="R4259" t="str">
        <f t="shared" si="967"/>
        <v>NO</v>
      </c>
      <c r="T4259" t="s">
        <v>14</v>
      </c>
      <c r="U4259" t="str">
        <f t="shared" si="968"/>
        <v>Massachusetts Ave</v>
      </c>
      <c r="V4259" t="s">
        <v>634</v>
      </c>
      <c r="W4259" t="str">
        <f t="shared" si="969"/>
        <v>Chauncy St</v>
      </c>
      <c r="X4259" t="str">
        <f>IF(ISBLANK(S4259),"Intersection","Non-Intersection")</f>
        <v>Intersection</v>
      </c>
      <c r="Y4259" t="s">
        <v>1837</v>
      </c>
      <c r="Z4259" t="str">
        <f t="shared" si="970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957"/>
        <v>40909</v>
      </c>
      <c r="D4260" s="4">
        <f t="shared" si="958"/>
        <v>0.75136612021857918</v>
      </c>
      <c r="E4260" s="3">
        <f t="shared" si="959"/>
        <v>2012</v>
      </c>
      <c r="F4260" s="3">
        <f t="shared" si="960"/>
        <v>10</v>
      </c>
      <c r="G4260" s="3">
        <f t="shared" si="961"/>
        <v>2</v>
      </c>
      <c r="H4260" s="3">
        <f t="shared" si="962"/>
        <v>18</v>
      </c>
      <c r="I4260" s="3">
        <f t="shared" si="963"/>
        <v>0</v>
      </c>
      <c r="J4260" s="3">
        <f t="shared" si="964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965"/>
        <v>YES</v>
      </c>
      <c r="Q4260" t="str">
        <f t="shared" si="966"/>
        <v>NO</v>
      </c>
      <c r="R4260" t="str">
        <f t="shared" si="967"/>
        <v>NO</v>
      </c>
      <c r="T4260" t="s">
        <v>3339</v>
      </c>
      <c r="U4260" t="str">
        <f t="shared" si="968"/>
        <v>Field St</v>
      </c>
      <c r="V4260" t="s">
        <v>1065</v>
      </c>
      <c r="W4260" t="str">
        <f t="shared" si="969"/>
        <v>Fern St</v>
      </c>
      <c r="X4260" t="str">
        <f>IF(ISBLANK(S4260),"Intersection","Non-Intersection")</f>
        <v>Intersection</v>
      </c>
      <c r="Y4260" t="s">
        <v>3340</v>
      </c>
      <c r="Z4260" t="str">
        <f t="shared" si="970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957"/>
        <v>40909</v>
      </c>
      <c r="D4261" s="4">
        <f t="shared" si="958"/>
        <v>0.75136612021857918</v>
      </c>
      <c r="E4261" s="3">
        <f t="shared" si="959"/>
        <v>2012</v>
      </c>
      <c r="F4261" s="3">
        <f t="shared" si="960"/>
        <v>10</v>
      </c>
      <c r="G4261" s="3">
        <f t="shared" si="961"/>
        <v>2</v>
      </c>
      <c r="H4261" s="3">
        <f t="shared" si="962"/>
        <v>6</v>
      </c>
      <c r="I4261" s="3">
        <f t="shared" si="963"/>
        <v>0</v>
      </c>
      <c r="J4261" s="3">
        <f t="shared" si="964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965"/>
        <v>YES</v>
      </c>
      <c r="Q4261" t="str">
        <f t="shared" si="966"/>
        <v>NO</v>
      </c>
      <c r="R4261" t="str">
        <f t="shared" si="967"/>
        <v>NO</v>
      </c>
      <c r="T4261" t="s">
        <v>14</v>
      </c>
      <c r="U4261" t="str">
        <f t="shared" si="968"/>
        <v>Massachusetts Ave</v>
      </c>
      <c r="W4261" t="str">
        <f t="shared" si="969"/>
        <v/>
      </c>
      <c r="X4261" t="str">
        <f>IF(ISBLANK(S4261),"Intersection","Non-Intersection")</f>
        <v>Intersection</v>
      </c>
      <c r="Y4261" t="s">
        <v>137</v>
      </c>
      <c r="Z4261" t="str">
        <f t="shared" si="970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957"/>
        <v>40909</v>
      </c>
      <c r="D4262" s="4">
        <f t="shared" si="958"/>
        <v>0.75136612021857918</v>
      </c>
      <c r="E4262" s="3">
        <f t="shared" si="959"/>
        <v>2012</v>
      </c>
      <c r="F4262" s="3">
        <f t="shared" si="960"/>
        <v>10</v>
      </c>
      <c r="G4262" s="3">
        <f t="shared" si="961"/>
        <v>2</v>
      </c>
      <c r="H4262" s="3">
        <f t="shared" si="962"/>
        <v>18</v>
      </c>
      <c r="I4262" s="3">
        <f t="shared" si="963"/>
        <v>4</v>
      </c>
      <c r="J4262" s="3">
        <f t="shared" si="964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965"/>
        <v>YES</v>
      </c>
      <c r="Q4262" t="str">
        <f t="shared" si="966"/>
        <v>NO</v>
      </c>
      <c r="R4262" t="str">
        <f t="shared" si="967"/>
        <v>NO</v>
      </c>
      <c r="S4262">
        <v>64</v>
      </c>
      <c r="T4262" t="s">
        <v>464</v>
      </c>
      <c r="U4262" t="str">
        <f t="shared" si="968"/>
        <v>Aberdeen Way</v>
      </c>
      <c r="W4262" t="str">
        <f t="shared" si="969"/>
        <v/>
      </c>
      <c r="X4262" t="str">
        <f>IF(ISBLANK(S4262),"Intersection","Non-Intersection")</f>
        <v>Non-Intersection</v>
      </c>
      <c r="Y4262" t="s">
        <v>4996</v>
      </c>
      <c r="Z4262" t="str">
        <f t="shared" si="970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957"/>
        <v>40909</v>
      </c>
      <c r="D4263" s="4">
        <f t="shared" si="958"/>
        <v>0.75409836065573765</v>
      </c>
      <c r="E4263" s="3">
        <f t="shared" si="959"/>
        <v>2012</v>
      </c>
      <c r="F4263" s="3">
        <f t="shared" si="960"/>
        <v>10</v>
      </c>
      <c r="G4263" s="3">
        <f t="shared" si="961"/>
        <v>3</v>
      </c>
      <c r="H4263" s="3">
        <f t="shared" si="962"/>
        <v>9</v>
      </c>
      <c r="I4263" s="3">
        <f t="shared" si="963"/>
        <v>14</v>
      </c>
      <c r="J4263" s="3">
        <f t="shared" si="964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965"/>
        <v>YES</v>
      </c>
      <c r="Q4263" t="str">
        <f t="shared" si="966"/>
        <v>NO</v>
      </c>
      <c r="R4263" t="str">
        <f t="shared" si="967"/>
        <v>NO</v>
      </c>
      <c r="S4263">
        <v>91</v>
      </c>
      <c r="T4263" t="s">
        <v>45</v>
      </c>
      <c r="U4263" t="str">
        <f t="shared" si="968"/>
        <v>Sherman St</v>
      </c>
      <c r="W4263" t="str">
        <f t="shared" si="969"/>
        <v/>
      </c>
      <c r="X4263" t="str">
        <f>IF(ISBLANK(S4263),"Intersection","Non-Intersection")</f>
        <v>Non-Intersection</v>
      </c>
      <c r="Y4263" t="s">
        <v>46</v>
      </c>
      <c r="Z4263" t="str">
        <f t="shared" si="970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957"/>
        <v>40909</v>
      </c>
      <c r="D4264" s="4">
        <f t="shared" si="958"/>
        <v>0.75409836065573765</v>
      </c>
      <c r="E4264" s="3">
        <f t="shared" si="959"/>
        <v>2012</v>
      </c>
      <c r="F4264" s="3">
        <f t="shared" si="960"/>
        <v>10</v>
      </c>
      <c r="G4264" s="3">
        <f t="shared" si="961"/>
        <v>3</v>
      </c>
      <c r="H4264" s="3">
        <f t="shared" si="962"/>
        <v>18</v>
      </c>
      <c r="I4264" s="3">
        <f t="shared" si="963"/>
        <v>46</v>
      </c>
      <c r="J4264" s="3">
        <f t="shared" si="964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965"/>
        <v>YES</v>
      </c>
      <c r="Q4264" t="str">
        <f t="shared" si="966"/>
        <v>NO</v>
      </c>
      <c r="R4264" t="str">
        <f t="shared" si="967"/>
        <v>NO</v>
      </c>
      <c r="T4264" t="s">
        <v>19</v>
      </c>
      <c r="U4264" t="str">
        <f t="shared" si="968"/>
        <v>Cambridge St</v>
      </c>
      <c r="V4264" t="s">
        <v>685</v>
      </c>
      <c r="W4264" t="str">
        <f t="shared" si="969"/>
        <v>Warren St</v>
      </c>
      <c r="X4264" t="str">
        <f>IF(ISBLANK(S4264),"Intersection","Non-Intersection")</f>
        <v>Intersection</v>
      </c>
      <c r="Y4264" t="s">
        <v>1217</v>
      </c>
      <c r="Z4264" t="str">
        <f t="shared" si="970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957"/>
        <v>40909</v>
      </c>
      <c r="D4265" s="4">
        <f t="shared" si="958"/>
        <v>0.75409836065573765</v>
      </c>
      <c r="E4265" s="3">
        <f t="shared" si="959"/>
        <v>2012</v>
      </c>
      <c r="F4265" s="3">
        <f t="shared" si="960"/>
        <v>10</v>
      </c>
      <c r="G4265" s="3">
        <f t="shared" si="961"/>
        <v>3</v>
      </c>
      <c r="H4265" s="3">
        <f t="shared" si="962"/>
        <v>10</v>
      </c>
      <c r="I4265" s="3">
        <f t="shared" si="963"/>
        <v>40</v>
      </c>
      <c r="J4265" s="3">
        <f t="shared" si="964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965"/>
        <v>YES</v>
      </c>
      <c r="Q4265" t="str">
        <f t="shared" si="966"/>
        <v>NO</v>
      </c>
      <c r="R4265" t="str">
        <f t="shared" si="967"/>
        <v>NO</v>
      </c>
      <c r="T4265" t="s">
        <v>238</v>
      </c>
      <c r="U4265" t="str">
        <f t="shared" si="968"/>
        <v>Kirkland St</v>
      </c>
      <c r="W4265" t="str">
        <f t="shared" si="969"/>
        <v/>
      </c>
      <c r="X4265" t="str">
        <f>IF(ISBLANK(S4265),"Intersection","Non-Intersection")</f>
        <v>Intersection</v>
      </c>
      <c r="Y4265" t="s">
        <v>239</v>
      </c>
      <c r="Z4265" t="str">
        <f t="shared" si="970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957"/>
        <v>40909</v>
      </c>
      <c r="D4266" s="4">
        <f t="shared" si="958"/>
        <v>0.75683060109289613</v>
      </c>
      <c r="E4266" s="3">
        <f t="shared" si="959"/>
        <v>2012</v>
      </c>
      <c r="F4266" s="3">
        <f t="shared" si="960"/>
        <v>10</v>
      </c>
      <c r="G4266" s="3">
        <f t="shared" si="961"/>
        <v>4</v>
      </c>
      <c r="H4266" s="3">
        <f t="shared" si="962"/>
        <v>8</v>
      </c>
      <c r="I4266" s="3">
        <f t="shared" si="963"/>
        <v>49</v>
      </c>
      <c r="J4266" s="3">
        <f t="shared" si="964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965"/>
        <v>YES</v>
      </c>
      <c r="Q4266" t="str">
        <f t="shared" si="966"/>
        <v>YES</v>
      </c>
      <c r="R4266" t="str">
        <f t="shared" si="967"/>
        <v>NO</v>
      </c>
      <c r="T4266" t="s">
        <v>3829</v>
      </c>
      <c r="U4266" t="str">
        <f t="shared" si="968"/>
        <v>Mill St</v>
      </c>
      <c r="V4266" t="s">
        <v>1177</v>
      </c>
      <c r="W4266" t="str">
        <f t="shared" si="969"/>
        <v>Plympton St</v>
      </c>
      <c r="X4266" t="str">
        <f>IF(ISBLANK(S4266),"Intersection","Non-Intersection")</f>
        <v>Intersection</v>
      </c>
      <c r="Y4266" t="s">
        <v>4998</v>
      </c>
      <c r="Z4266" t="str">
        <f t="shared" si="970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957"/>
        <v>40909</v>
      </c>
      <c r="D4267" s="4">
        <f t="shared" si="958"/>
        <v>0.75683060109289613</v>
      </c>
      <c r="E4267" s="3">
        <f t="shared" si="959"/>
        <v>2012</v>
      </c>
      <c r="F4267" s="3">
        <f t="shared" si="960"/>
        <v>10</v>
      </c>
      <c r="G4267" s="3">
        <f t="shared" si="961"/>
        <v>4</v>
      </c>
      <c r="H4267" s="3">
        <f t="shared" si="962"/>
        <v>0</v>
      </c>
      <c r="I4267" s="3">
        <f t="shared" si="963"/>
        <v>49</v>
      </c>
      <c r="J4267" s="3">
        <f t="shared" si="964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965"/>
        <v>YES</v>
      </c>
      <c r="Q4267" t="str">
        <f t="shared" si="966"/>
        <v>NO</v>
      </c>
      <c r="R4267" t="str">
        <f t="shared" si="967"/>
        <v>NO</v>
      </c>
      <c r="T4267" t="s">
        <v>162</v>
      </c>
      <c r="U4267" t="str">
        <f t="shared" si="968"/>
        <v>Bennett St</v>
      </c>
      <c r="V4267" t="s">
        <v>325</v>
      </c>
      <c r="W4267" t="str">
        <f t="shared" si="969"/>
        <v>Eliot St</v>
      </c>
      <c r="X4267" t="str">
        <f>IF(ISBLANK(S4267),"Intersection","Non-Intersection")</f>
        <v>Intersection</v>
      </c>
      <c r="Y4267" t="s">
        <v>844</v>
      </c>
      <c r="Z4267" t="str">
        <f t="shared" si="970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957"/>
        <v>40909</v>
      </c>
      <c r="D4268" s="4">
        <f t="shared" si="958"/>
        <v>0.75683060109289613</v>
      </c>
      <c r="E4268" s="3">
        <f t="shared" si="959"/>
        <v>2012</v>
      </c>
      <c r="F4268" s="3">
        <f t="shared" si="960"/>
        <v>10</v>
      </c>
      <c r="G4268" s="3">
        <f t="shared" si="961"/>
        <v>4</v>
      </c>
      <c r="H4268" s="3">
        <f t="shared" si="962"/>
        <v>11</v>
      </c>
      <c r="I4268" s="3">
        <f t="shared" si="963"/>
        <v>15</v>
      </c>
      <c r="J4268" s="3">
        <f t="shared" si="964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965"/>
        <v>YES</v>
      </c>
      <c r="Q4268" t="str">
        <f t="shared" si="966"/>
        <v>NO</v>
      </c>
      <c r="R4268" t="str">
        <f t="shared" si="967"/>
        <v>NO</v>
      </c>
      <c r="S4268">
        <v>215</v>
      </c>
      <c r="T4268" t="s">
        <v>170</v>
      </c>
      <c r="U4268" t="str">
        <f t="shared" si="968"/>
        <v>Alewife Brook Pky</v>
      </c>
      <c r="W4268" t="str">
        <f t="shared" si="969"/>
        <v/>
      </c>
      <c r="X4268" t="str">
        <f>IF(ISBLANK(S4268),"Intersection","Non-Intersection")</f>
        <v>Non-Intersection</v>
      </c>
      <c r="Y4268" t="s">
        <v>4750</v>
      </c>
      <c r="Z4268" t="str">
        <f t="shared" si="970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957"/>
        <v>40909</v>
      </c>
      <c r="D4269" s="4">
        <f t="shared" si="958"/>
        <v>0.75683060109289613</v>
      </c>
      <c r="E4269" s="3">
        <f t="shared" si="959"/>
        <v>2012</v>
      </c>
      <c r="F4269" s="3">
        <f t="shared" si="960"/>
        <v>10</v>
      </c>
      <c r="G4269" s="3">
        <f t="shared" si="961"/>
        <v>4</v>
      </c>
      <c r="H4269" s="3">
        <f t="shared" si="962"/>
        <v>12</v>
      </c>
      <c r="I4269" s="3">
        <f t="shared" si="963"/>
        <v>45</v>
      </c>
      <c r="J4269" s="3">
        <f t="shared" si="964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965"/>
        <v>YES</v>
      </c>
      <c r="Q4269" t="str">
        <f t="shared" si="966"/>
        <v>NO</v>
      </c>
      <c r="R4269" t="str">
        <f t="shared" si="967"/>
        <v>NO</v>
      </c>
      <c r="T4269" t="s">
        <v>133</v>
      </c>
      <c r="U4269" t="str">
        <f t="shared" si="968"/>
        <v>Harvard St</v>
      </c>
      <c r="V4269" t="s">
        <v>506</v>
      </c>
      <c r="W4269" t="str">
        <f t="shared" si="969"/>
        <v>Bigelow St</v>
      </c>
      <c r="X4269" t="str">
        <f>IF(ISBLANK(S4269),"Intersection","Non-Intersection")</f>
        <v>Intersection</v>
      </c>
      <c r="Y4269" t="s">
        <v>4999</v>
      </c>
      <c r="Z4269" t="str">
        <f t="shared" si="970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957"/>
        <v>40909</v>
      </c>
      <c r="D4270" s="4">
        <f t="shared" si="958"/>
        <v>0.75683060109289613</v>
      </c>
      <c r="E4270" s="3">
        <f t="shared" si="959"/>
        <v>2012</v>
      </c>
      <c r="F4270" s="3">
        <f t="shared" si="960"/>
        <v>10</v>
      </c>
      <c r="G4270" s="3">
        <f t="shared" si="961"/>
        <v>4</v>
      </c>
      <c r="H4270" s="3">
        <f t="shared" si="962"/>
        <v>15</v>
      </c>
      <c r="I4270" s="3">
        <f t="shared" si="963"/>
        <v>0</v>
      </c>
      <c r="J4270" s="3">
        <f t="shared" si="964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965"/>
        <v>YES</v>
      </c>
      <c r="Q4270" t="str">
        <f t="shared" si="966"/>
        <v>NO</v>
      </c>
      <c r="R4270" t="str">
        <f t="shared" si="967"/>
        <v>NO</v>
      </c>
      <c r="T4270" t="s">
        <v>27</v>
      </c>
      <c r="U4270" t="str">
        <f t="shared" si="968"/>
        <v>Western Ave</v>
      </c>
      <c r="V4270" t="s">
        <v>133</v>
      </c>
      <c r="W4270" t="str">
        <f t="shared" si="969"/>
        <v>Harvard St</v>
      </c>
      <c r="X4270" t="str">
        <f>IF(ISBLANK(S4270),"Intersection","Non-Intersection")</f>
        <v>Intersection</v>
      </c>
      <c r="Y4270" t="s">
        <v>5001</v>
      </c>
      <c r="Z4270" t="str">
        <f t="shared" si="970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957"/>
        <v>40909</v>
      </c>
      <c r="D4271" s="4">
        <f t="shared" si="958"/>
        <v>0.75683060109289613</v>
      </c>
      <c r="E4271" s="3">
        <f t="shared" si="959"/>
        <v>2012</v>
      </c>
      <c r="F4271" s="3">
        <f t="shared" si="960"/>
        <v>10</v>
      </c>
      <c r="G4271" s="3">
        <f t="shared" si="961"/>
        <v>4</v>
      </c>
      <c r="H4271" s="3">
        <f t="shared" si="962"/>
        <v>17</v>
      </c>
      <c r="I4271" s="3">
        <f t="shared" si="963"/>
        <v>39</v>
      </c>
      <c r="J4271" s="3">
        <f t="shared" si="964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965"/>
        <v>YES</v>
      </c>
      <c r="Q4271" t="str">
        <f t="shared" si="966"/>
        <v>NO</v>
      </c>
      <c r="R4271" t="str">
        <f t="shared" si="967"/>
        <v>NO</v>
      </c>
      <c r="T4271" t="s">
        <v>74</v>
      </c>
      <c r="U4271" t="str">
        <f t="shared" si="968"/>
        <v>Hampshire St</v>
      </c>
      <c r="V4271" t="s">
        <v>75</v>
      </c>
      <c r="W4271" t="str">
        <f t="shared" si="969"/>
        <v>Elm St</v>
      </c>
      <c r="X4271" t="str">
        <f>IF(ISBLANK(S4271),"Intersection","Non-Intersection")</f>
        <v>Intersection</v>
      </c>
      <c r="Y4271" t="s">
        <v>76</v>
      </c>
      <c r="Z4271" t="str">
        <f t="shared" si="970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957"/>
        <v>40909</v>
      </c>
      <c r="D4272" s="4">
        <f t="shared" si="958"/>
        <v>0.75683060109289613</v>
      </c>
      <c r="E4272" s="3">
        <f t="shared" si="959"/>
        <v>2012</v>
      </c>
      <c r="F4272" s="3">
        <f t="shared" si="960"/>
        <v>10</v>
      </c>
      <c r="G4272" s="3">
        <f t="shared" si="961"/>
        <v>4</v>
      </c>
      <c r="H4272" s="3">
        <f t="shared" si="962"/>
        <v>21</v>
      </c>
      <c r="I4272" s="3">
        <f t="shared" si="963"/>
        <v>34</v>
      </c>
      <c r="J4272" s="3">
        <f t="shared" si="964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965"/>
        <v>YES</v>
      </c>
      <c r="Q4272" t="str">
        <f t="shared" si="966"/>
        <v>YES</v>
      </c>
      <c r="R4272" t="str">
        <f t="shared" si="967"/>
        <v>NO</v>
      </c>
      <c r="T4272" t="s">
        <v>105</v>
      </c>
      <c r="U4272" t="str">
        <f t="shared" si="968"/>
        <v>Broadway</v>
      </c>
      <c r="V4272" t="s">
        <v>74</v>
      </c>
      <c r="W4272" t="str">
        <f t="shared" si="969"/>
        <v>Hampshire St</v>
      </c>
      <c r="X4272" t="str">
        <f>IF(ISBLANK(S4272),"Intersection","Non-Intersection")</f>
        <v>Intersection</v>
      </c>
      <c r="Y4272" t="s">
        <v>878</v>
      </c>
      <c r="Z4272" t="str">
        <f t="shared" si="970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957"/>
        <v>40909</v>
      </c>
      <c r="D4273" s="4">
        <f t="shared" si="958"/>
        <v>0.75683060109289613</v>
      </c>
      <c r="E4273" s="3">
        <f t="shared" si="959"/>
        <v>2012</v>
      </c>
      <c r="F4273" s="3">
        <f t="shared" si="960"/>
        <v>10</v>
      </c>
      <c r="G4273" s="3">
        <f t="shared" si="961"/>
        <v>4</v>
      </c>
      <c r="H4273" s="3">
        <f t="shared" si="962"/>
        <v>15</v>
      </c>
      <c r="I4273" s="3">
        <f t="shared" si="963"/>
        <v>59</v>
      </c>
      <c r="J4273" s="3">
        <f t="shared" si="964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965"/>
        <v>YES</v>
      </c>
      <c r="Q4273" t="str">
        <f t="shared" si="966"/>
        <v>NO</v>
      </c>
      <c r="R4273" t="str">
        <f t="shared" si="967"/>
        <v>NO</v>
      </c>
      <c r="T4273" t="s">
        <v>100</v>
      </c>
      <c r="U4273" t="str">
        <f t="shared" si="968"/>
        <v>Suffolk St</v>
      </c>
      <c r="V4273" t="s">
        <v>101</v>
      </c>
      <c r="W4273" t="str">
        <f t="shared" si="969"/>
        <v>Columbia St</v>
      </c>
      <c r="X4273" t="str">
        <f>IF(ISBLANK(S4273),"Intersection","Non-Intersection")</f>
        <v>Intersection</v>
      </c>
      <c r="Y4273" t="s">
        <v>3636</v>
      </c>
      <c r="Z4273" t="str">
        <f t="shared" si="970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957"/>
        <v>40909</v>
      </c>
      <c r="D4274" s="4">
        <f t="shared" si="958"/>
        <v>0.7595628415300546</v>
      </c>
      <c r="E4274" s="3">
        <f t="shared" si="959"/>
        <v>2012</v>
      </c>
      <c r="F4274" s="3">
        <f t="shared" si="960"/>
        <v>10</v>
      </c>
      <c r="G4274" s="3">
        <f t="shared" si="961"/>
        <v>5</v>
      </c>
      <c r="H4274" s="3">
        <f t="shared" si="962"/>
        <v>5</v>
      </c>
      <c r="I4274" s="3">
        <f t="shared" si="963"/>
        <v>35</v>
      </c>
      <c r="J4274" s="3">
        <f t="shared" si="964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965"/>
        <v>YES</v>
      </c>
      <c r="Q4274" t="str">
        <f t="shared" si="966"/>
        <v>NO</v>
      </c>
      <c r="R4274" t="str">
        <f t="shared" si="967"/>
        <v>NO</v>
      </c>
      <c r="T4274" t="s">
        <v>105</v>
      </c>
      <c r="U4274" t="str">
        <f t="shared" si="968"/>
        <v>Broadway</v>
      </c>
      <c r="V4274" t="s">
        <v>74</v>
      </c>
      <c r="W4274" t="str">
        <f t="shared" si="969"/>
        <v>Hampshire St</v>
      </c>
      <c r="X4274" t="str">
        <f>IF(ISBLANK(S4274),"Intersection","Non-Intersection")</f>
        <v>Intersection</v>
      </c>
      <c r="Y4274" t="s">
        <v>878</v>
      </c>
      <c r="Z4274" t="str">
        <f t="shared" si="970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957"/>
        <v>40909</v>
      </c>
      <c r="D4275" s="4">
        <f t="shared" si="958"/>
        <v>0.7595628415300546</v>
      </c>
      <c r="E4275" s="3">
        <f t="shared" si="959"/>
        <v>2012</v>
      </c>
      <c r="F4275" s="3">
        <f t="shared" si="960"/>
        <v>10</v>
      </c>
      <c r="G4275" s="3">
        <f t="shared" si="961"/>
        <v>5</v>
      </c>
      <c r="H4275" s="3">
        <f t="shared" si="962"/>
        <v>6</v>
      </c>
      <c r="I4275" s="3">
        <f t="shared" si="963"/>
        <v>59</v>
      </c>
      <c r="J4275" s="3">
        <f t="shared" si="964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965"/>
        <v>YES</v>
      </c>
      <c r="Q4275" t="str">
        <f t="shared" si="966"/>
        <v>NO</v>
      </c>
      <c r="R4275" t="str">
        <f t="shared" si="967"/>
        <v>NO</v>
      </c>
      <c r="S4275">
        <v>55</v>
      </c>
      <c r="T4275" t="s">
        <v>101</v>
      </c>
      <c r="U4275" t="str">
        <f t="shared" si="968"/>
        <v>Columbia St</v>
      </c>
      <c r="W4275" t="str">
        <f t="shared" si="969"/>
        <v/>
      </c>
      <c r="X4275" t="str">
        <f>IF(ISBLANK(S4275),"Intersection","Non-Intersection")</f>
        <v>Non-Intersection</v>
      </c>
      <c r="Y4275" t="s">
        <v>227</v>
      </c>
      <c r="Z4275" t="str">
        <f t="shared" si="970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957"/>
        <v>40909</v>
      </c>
      <c r="D4276" s="4">
        <f t="shared" si="958"/>
        <v>0.7595628415300546</v>
      </c>
      <c r="E4276" s="3">
        <f t="shared" si="959"/>
        <v>2012</v>
      </c>
      <c r="F4276" s="3">
        <f t="shared" si="960"/>
        <v>10</v>
      </c>
      <c r="G4276" s="3">
        <f t="shared" si="961"/>
        <v>5</v>
      </c>
      <c r="H4276" s="3">
        <f t="shared" si="962"/>
        <v>15</v>
      </c>
      <c r="I4276" s="3">
        <f t="shared" si="963"/>
        <v>30</v>
      </c>
      <c r="J4276" s="3">
        <f t="shared" si="964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965"/>
        <v>YES</v>
      </c>
      <c r="Q4276" t="str">
        <f t="shared" si="966"/>
        <v>NO</v>
      </c>
      <c r="R4276" t="str">
        <f t="shared" si="967"/>
        <v>NO</v>
      </c>
      <c r="S4276">
        <v>2380</v>
      </c>
      <c r="T4276" t="s">
        <v>14</v>
      </c>
      <c r="U4276" t="str">
        <f t="shared" si="968"/>
        <v>Massachusetts Ave</v>
      </c>
      <c r="W4276" t="str">
        <f t="shared" si="969"/>
        <v/>
      </c>
      <c r="X4276" t="str">
        <f>IF(ISBLANK(S4276),"Intersection","Non-Intersection")</f>
        <v>Non-Intersection</v>
      </c>
      <c r="Y4276" t="s">
        <v>5002</v>
      </c>
      <c r="Z4276" t="str">
        <f t="shared" si="970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957"/>
        <v>40909</v>
      </c>
      <c r="D4277" s="4">
        <f t="shared" si="958"/>
        <v>0.7595628415300546</v>
      </c>
      <c r="E4277" s="3">
        <f t="shared" si="959"/>
        <v>2012</v>
      </c>
      <c r="F4277" s="3">
        <f t="shared" si="960"/>
        <v>10</v>
      </c>
      <c r="G4277" s="3">
        <f t="shared" si="961"/>
        <v>5</v>
      </c>
      <c r="H4277" s="3">
        <f t="shared" si="962"/>
        <v>16</v>
      </c>
      <c r="I4277" s="3">
        <f t="shared" si="963"/>
        <v>18</v>
      </c>
      <c r="J4277" s="3">
        <f t="shared" si="964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965"/>
        <v>NO</v>
      </c>
      <c r="Q4277" t="str">
        <f t="shared" si="966"/>
        <v>NO</v>
      </c>
      <c r="R4277" t="str">
        <f t="shared" si="967"/>
        <v>YES</v>
      </c>
      <c r="T4277" t="s">
        <v>4156</v>
      </c>
      <c r="U4277" t="str">
        <f t="shared" si="968"/>
        <v>University Pl</v>
      </c>
      <c r="V4277" t="s">
        <v>198</v>
      </c>
      <c r="W4277" t="str">
        <f t="shared" si="969"/>
        <v>Mount Auburn St</v>
      </c>
      <c r="X4277" t="str">
        <f>IF(ISBLANK(S4277),"Intersection","Non-Intersection")</f>
        <v>Intersection</v>
      </c>
      <c r="Y4277" t="s">
        <v>4286</v>
      </c>
      <c r="Z4277" t="str">
        <f t="shared" si="970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957"/>
        <v>40909</v>
      </c>
      <c r="D4278" s="4">
        <f t="shared" si="958"/>
        <v>0.7595628415300546</v>
      </c>
      <c r="E4278" s="3">
        <f t="shared" si="959"/>
        <v>2012</v>
      </c>
      <c r="F4278" s="3">
        <f t="shared" si="960"/>
        <v>10</v>
      </c>
      <c r="G4278" s="3">
        <f t="shared" si="961"/>
        <v>5</v>
      </c>
      <c r="H4278" s="3">
        <f t="shared" si="962"/>
        <v>17</v>
      </c>
      <c r="I4278" s="3">
        <f t="shared" si="963"/>
        <v>0</v>
      </c>
      <c r="J4278" s="3">
        <f t="shared" si="964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965"/>
        <v>YES</v>
      </c>
      <c r="Q4278" t="str">
        <f t="shared" si="966"/>
        <v>NO</v>
      </c>
      <c r="R4278" t="str">
        <f t="shared" si="967"/>
        <v>NO</v>
      </c>
      <c r="T4278" t="s">
        <v>198</v>
      </c>
      <c r="U4278" t="str">
        <f t="shared" si="968"/>
        <v>Mount Auburn St</v>
      </c>
      <c r="V4278" t="s">
        <v>4156</v>
      </c>
      <c r="W4278" t="str">
        <f t="shared" si="969"/>
        <v>University Pl</v>
      </c>
      <c r="X4278" t="str">
        <f>IF(ISBLANK(S4278),"Intersection","Non-Intersection")</f>
        <v>Intersection</v>
      </c>
      <c r="Y4278" t="s">
        <v>4157</v>
      </c>
      <c r="Z4278" t="str">
        <f t="shared" si="970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957"/>
        <v>40909</v>
      </c>
      <c r="D4279" s="4">
        <f t="shared" si="958"/>
        <v>0.7595628415300546</v>
      </c>
      <c r="E4279" s="3">
        <f t="shared" si="959"/>
        <v>2012</v>
      </c>
      <c r="F4279" s="3">
        <f t="shared" si="960"/>
        <v>10</v>
      </c>
      <c r="G4279" s="3">
        <f t="shared" si="961"/>
        <v>5</v>
      </c>
      <c r="H4279" s="3">
        <f t="shared" si="962"/>
        <v>17</v>
      </c>
      <c r="I4279" s="3">
        <f t="shared" si="963"/>
        <v>4</v>
      </c>
      <c r="J4279" s="3">
        <f t="shared" si="964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965"/>
        <v>YES</v>
      </c>
      <c r="Q4279" t="str">
        <f t="shared" si="966"/>
        <v>NO</v>
      </c>
      <c r="R4279" t="str">
        <f t="shared" si="967"/>
        <v>NO</v>
      </c>
      <c r="T4279" t="s">
        <v>19</v>
      </c>
      <c r="U4279" t="str">
        <f t="shared" si="968"/>
        <v>Cambridge St</v>
      </c>
      <c r="V4279" t="s">
        <v>20</v>
      </c>
      <c r="W4279" t="str">
        <f t="shared" si="969"/>
        <v>Sciarappa St</v>
      </c>
      <c r="X4279" t="str">
        <f>IF(ISBLANK(S4279),"Intersection","Non-Intersection")</f>
        <v>Intersection</v>
      </c>
      <c r="Y4279" t="s">
        <v>21</v>
      </c>
      <c r="Z4279" t="str">
        <f t="shared" si="970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957"/>
        <v>40909</v>
      </c>
      <c r="D4280" s="4">
        <f t="shared" si="958"/>
        <v>0.7595628415300546</v>
      </c>
      <c r="E4280" s="3">
        <f t="shared" si="959"/>
        <v>2012</v>
      </c>
      <c r="F4280" s="3">
        <f t="shared" si="960"/>
        <v>10</v>
      </c>
      <c r="G4280" s="3">
        <f t="shared" si="961"/>
        <v>5</v>
      </c>
      <c r="H4280" s="3">
        <f t="shared" si="962"/>
        <v>17</v>
      </c>
      <c r="I4280" s="3">
        <f t="shared" si="963"/>
        <v>29</v>
      </c>
      <c r="J4280" s="3">
        <f t="shared" si="964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965"/>
        <v>YES</v>
      </c>
      <c r="Q4280" t="str">
        <f t="shared" si="966"/>
        <v>NO</v>
      </c>
      <c r="R4280" t="str">
        <f t="shared" si="967"/>
        <v>NO</v>
      </c>
      <c r="T4280" t="s">
        <v>105</v>
      </c>
      <c r="U4280" t="str">
        <f t="shared" si="968"/>
        <v>Broadway</v>
      </c>
      <c r="V4280" t="s">
        <v>667</v>
      </c>
      <c r="W4280" t="str">
        <f t="shared" si="969"/>
        <v>Tremont St</v>
      </c>
      <c r="X4280" t="str">
        <f>IF(ISBLANK(S4280),"Intersection","Non-Intersection")</f>
        <v>Intersection</v>
      </c>
      <c r="Y4280" t="s">
        <v>1721</v>
      </c>
      <c r="Z4280" t="str">
        <f t="shared" si="970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957"/>
        <v>40909</v>
      </c>
      <c r="D4281" s="4">
        <f t="shared" si="958"/>
        <v>0.7595628415300546</v>
      </c>
      <c r="E4281" s="3">
        <f t="shared" si="959"/>
        <v>2012</v>
      </c>
      <c r="F4281" s="3">
        <f t="shared" si="960"/>
        <v>10</v>
      </c>
      <c r="G4281" s="3">
        <f t="shared" si="961"/>
        <v>5</v>
      </c>
      <c r="H4281" s="3">
        <f t="shared" si="962"/>
        <v>17</v>
      </c>
      <c r="I4281" s="3">
        <f t="shared" si="963"/>
        <v>42</v>
      </c>
      <c r="J4281" s="3">
        <f t="shared" si="964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965"/>
        <v>YES</v>
      </c>
      <c r="Q4281" t="str">
        <f t="shared" si="966"/>
        <v>NO</v>
      </c>
      <c r="R4281" t="str">
        <f t="shared" si="967"/>
        <v>NO</v>
      </c>
      <c r="T4281" t="s">
        <v>105</v>
      </c>
      <c r="U4281" t="str">
        <f t="shared" si="968"/>
        <v>Broadway</v>
      </c>
      <c r="V4281" t="s">
        <v>5004</v>
      </c>
      <c r="W4281" t="str">
        <f t="shared" si="969"/>
        <v>Inman Sq</v>
      </c>
      <c r="X4281" t="str">
        <f>IF(ISBLANK(S4281),"Intersection","Non-Intersection")</f>
        <v>Intersection</v>
      </c>
      <c r="Y4281" t="s">
        <v>5005</v>
      </c>
      <c r="Z4281" t="str">
        <f t="shared" si="970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957"/>
        <v>40909</v>
      </c>
      <c r="D4282" s="4">
        <f t="shared" si="958"/>
        <v>0.7595628415300546</v>
      </c>
      <c r="E4282" s="3">
        <f t="shared" si="959"/>
        <v>2012</v>
      </c>
      <c r="F4282" s="3">
        <f t="shared" si="960"/>
        <v>10</v>
      </c>
      <c r="G4282" s="3">
        <f t="shared" si="961"/>
        <v>5</v>
      </c>
      <c r="H4282" s="3">
        <f t="shared" si="962"/>
        <v>9</v>
      </c>
      <c r="I4282" s="3">
        <f t="shared" si="963"/>
        <v>45</v>
      </c>
      <c r="J4282" s="3">
        <f t="shared" si="964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965"/>
        <v>YES</v>
      </c>
      <c r="Q4282" t="str">
        <f t="shared" si="966"/>
        <v>NO</v>
      </c>
      <c r="R4282" t="str">
        <f t="shared" si="967"/>
        <v>NO</v>
      </c>
      <c r="T4282" t="s">
        <v>332</v>
      </c>
      <c r="U4282" t="str">
        <f t="shared" si="968"/>
        <v>Allston St</v>
      </c>
      <c r="V4282" t="s">
        <v>453</v>
      </c>
      <c r="W4282" t="str">
        <f t="shared" si="969"/>
        <v>Brookline St</v>
      </c>
      <c r="X4282" t="str">
        <f>IF(ISBLANK(S4282),"Intersection","Non-Intersection")</f>
        <v>Intersection</v>
      </c>
      <c r="Y4282" t="s">
        <v>1040</v>
      </c>
      <c r="Z4282" t="str">
        <f t="shared" si="970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971">EOMONTH(B4283,MONTH(B4283)*-1)+1</f>
        <v>40909</v>
      </c>
      <c r="D4283" s="4">
        <f t="shared" ref="D4283:D4346" si="972">YEARFRAC(C4283,B4283,1)</f>
        <v>0.76229508196721307</v>
      </c>
      <c r="E4283" s="3">
        <f t="shared" ref="E4283:E4346" si="973">YEAR(B4283)</f>
        <v>2012</v>
      </c>
      <c r="F4283" s="3">
        <f t="shared" ref="F4283:F4346" si="974">MONTH(B4283)</f>
        <v>10</v>
      </c>
      <c r="G4283" s="3">
        <f t="shared" ref="G4283:G4346" si="975">DAY(B4283)</f>
        <v>6</v>
      </c>
      <c r="H4283" s="3">
        <f t="shared" ref="H4283:H4346" si="976">HOUR(B4283)</f>
        <v>11</v>
      </c>
      <c r="I4283" s="3">
        <f t="shared" ref="I4283:I4346" si="977">MINUTE(B4283)</f>
        <v>32</v>
      </c>
      <c r="J4283" s="3">
        <f t="shared" ref="J4283:J4346" si="978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979">IF(OR(N4283="Auto",O4283="Auto"),"YES",IF(OR(N4283="Taxi",O4283="Taxi"),"YES",IF(OR(N4283="Van",O4283="Van"),"YES",IF(OR(N4283="Truck",O4283="Truck"),"YES","NO"))))</f>
        <v>YES</v>
      </c>
      <c r="Q4283" t="str">
        <f t="shared" ref="Q4283:Q4346" si="980">IF(OR(N4283="Bicycle",O4283="Bicycle"),"YES","NO")</f>
        <v>YES</v>
      </c>
      <c r="R4283" t="str">
        <f t="shared" ref="R4283:R4346" si="981">IF(OR(N4283="Pedestrian",O4283="Pedestrian"),"YES","NO")</f>
        <v>NO</v>
      </c>
      <c r="T4283" t="s">
        <v>14</v>
      </c>
      <c r="U4283" t="str">
        <f t="shared" si="968"/>
        <v>Massachusetts Ave</v>
      </c>
      <c r="W4283" t="str">
        <f t="shared" si="969"/>
        <v/>
      </c>
      <c r="X4283" t="str">
        <f>IF(ISBLANK(S4283),"Intersection","Non-Intersection")</f>
        <v>Intersection</v>
      </c>
      <c r="Y4283" t="s">
        <v>137</v>
      </c>
      <c r="Z4283" t="str">
        <f t="shared" si="970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971"/>
        <v>40909</v>
      </c>
      <c r="D4284" s="4">
        <f t="shared" si="972"/>
        <v>0.76229508196721307</v>
      </c>
      <c r="E4284" s="3">
        <f t="shared" si="973"/>
        <v>2012</v>
      </c>
      <c r="F4284" s="3">
        <f t="shared" si="974"/>
        <v>10</v>
      </c>
      <c r="G4284" s="3">
        <f t="shared" si="975"/>
        <v>6</v>
      </c>
      <c r="H4284" s="3">
        <f t="shared" si="976"/>
        <v>21</v>
      </c>
      <c r="I4284" s="3">
        <f t="shared" si="977"/>
        <v>24</v>
      </c>
      <c r="J4284" s="3">
        <f t="shared" si="978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979"/>
        <v>YES</v>
      </c>
      <c r="Q4284" t="str">
        <f t="shared" si="980"/>
        <v>YES</v>
      </c>
      <c r="R4284" t="str">
        <f t="shared" si="981"/>
        <v>NO</v>
      </c>
      <c r="T4284" t="s">
        <v>453</v>
      </c>
      <c r="U4284" t="str">
        <f t="shared" si="968"/>
        <v>Brookline St</v>
      </c>
      <c r="V4284" t="s">
        <v>108</v>
      </c>
      <c r="W4284" t="str">
        <f t="shared" si="969"/>
        <v>Franklin St</v>
      </c>
      <c r="X4284" t="str">
        <f>IF(ISBLANK(S4284),"Intersection","Non-Intersection")</f>
        <v>Intersection</v>
      </c>
      <c r="Y4284" t="s">
        <v>3184</v>
      </c>
      <c r="Z4284" t="str">
        <f t="shared" si="970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971"/>
        <v>40909</v>
      </c>
      <c r="D4285" s="4">
        <f t="shared" si="972"/>
        <v>0.76502732240437155</v>
      </c>
      <c r="E4285" s="3">
        <f t="shared" si="973"/>
        <v>2012</v>
      </c>
      <c r="F4285" s="3">
        <f t="shared" si="974"/>
        <v>10</v>
      </c>
      <c r="G4285" s="3">
        <f t="shared" si="975"/>
        <v>7</v>
      </c>
      <c r="H4285" s="3">
        <f t="shared" si="976"/>
        <v>9</v>
      </c>
      <c r="I4285" s="3">
        <f t="shared" si="977"/>
        <v>0</v>
      </c>
      <c r="J4285" s="3">
        <f t="shared" si="978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979"/>
        <v>YES</v>
      </c>
      <c r="Q4285" t="str">
        <f t="shared" si="980"/>
        <v>NO</v>
      </c>
      <c r="R4285" t="str">
        <f t="shared" si="981"/>
        <v>NO</v>
      </c>
      <c r="T4285" t="s">
        <v>14</v>
      </c>
      <c r="U4285" t="str">
        <f t="shared" si="968"/>
        <v>Massachusetts Ave</v>
      </c>
      <c r="V4285" t="s">
        <v>1275</v>
      </c>
      <c r="W4285" t="str">
        <f t="shared" si="969"/>
        <v>Richard Ave</v>
      </c>
      <c r="X4285" t="str">
        <f>IF(ISBLANK(S4285),"Intersection","Non-Intersection")</f>
        <v>Intersection</v>
      </c>
      <c r="Y4285" t="s">
        <v>2495</v>
      </c>
      <c r="Z4285" t="str">
        <f t="shared" si="970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971"/>
        <v>40909</v>
      </c>
      <c r="D4286" s="4">
        <f t="shared" si="972"/>
        <v>0.76502732240437155</v>
      </c>
      <c r="E4286" s="3">
        <f t="shared" si="973"/>
        <v>2012</v>
      </c>
      <c r="F4286" s="3">
        <f t="shared" si="974"/>
        <v>10</v>
      </c>
      <c r="G4286" s="3">
        <f t="shared" si="975"/>
        <v>7</v>
      </c>
      <c r="H4286" s="3">
        <f t="shared" si="976"/>
        <v>0</v>
      </c>
      <c r="I4286" s="3">
        <f t="shared" si="977"/>
        <v>59</v>
      </c>
      <c r="J4286" s="3">
        <f t="shared" si="978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979"/>
        <v>YES</v>
      </c>
      <c r="Q4286" t="str">
        <f t="shared" si="980"/>
        <v>NO</v>
      </c>
      <c r="R4286" t="str">
        <f t="shared" si="981"/>
        <v>NO</v>
      </c>
      <c r="T4286" t="s">
        <v>993</v>
      </c>
      <c r="U4286" t="str">
        <f t="shared" si="968"/>
        <v>Fifth St</v>
      </c>
      <c r="V4286" t="s">
        <v>261</v>
      </c>
      <c r="W4286" t="str">
        <f t="shared" si="969"/>
        <v>Otis St</v>
      </c>
      <c r="X4286" t="str">
        <f>IF(ISBLANK(S4286),"Intersection","Non-Intersection")</f>
        <v>Intersection</v>
      </c>
      <c r="Y4286" t="s">
        <v>2179</v>
      </c>
      <c r="Z4286" t="str">
        <f t="shared" si="970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971"/>
        <v>40909</v>
      </c>
      <c r="D4287" s="4">
        <f t="shared" si="972"/>
        <v>0.76502732240437155</v>
      </c>
      <c r="E4287" s="3">
        <f t="shared" si="973"/>
        <v>2012</v>
      </c>
      <c r="F4287" s="3">
        <f t="shared" si="974"/>
        <v>10</v>
      </c>
      <c r="G4287" s="3">
        <f t="shared" si="975"/>
        <v>7</v>
      </c>
      <c r="H4287" s="3">
        <f t="shared" si="976"/>
        <v>13</v>
      </c>
      <c r="I4287" s="3">
        <f t="shared" si="977"/>
        <v>27</v>
      </c>
      <c r="J4287" s="3">
        <f t="shared" si="978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979"/>
        <v>YES</v>
      </c>
      <c r="Q4287" t="str">
        <f t="shared" si="980"/>
        <v>NO</v>
      </c>
      <c r="R4287" t="str">
        <f t="shared" si="981"/>
        <v>NO</v>
      </c>
      <c r="S4287">
        <v>1563</v>
      </c>
      <c r="T4287" t="s">
        <v>14</v>
      </c>
      <c r="U4287" t="str">
        <f t="shared" si="968"/>
        <v>Massachusetts Ave</v>
      </c>
      <c r="W4287" t="str">
        <f t="shared" si="969"/>
        <v/>
      </c>
      <c r="X4287" t="str">
        <f>IF(ISBLANK(S4287),"Intersection","Non-Intersection")</f>
        <v>Non-Intersection</v>
      </c>
      <c r="Y4287" t="s">
        <v>5006</v>
      </c>
      <c r="Z4287" t="str">
        <f t="shared" si="970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971"/>
        <v>40909</v>
      </c>
      <c r="D4288" s="4">
        <f t="shared" si="972"/>
        <v>0.76502732240437155</v>
      </c>
      <c r="E4288" s="3">
        <f t="shared" si="973"/>
        <v>2012</v>
      </c>
      <c r="F4288" s="3">
        <f t="shared" si="974"/>
        <v>10</v>
      </c>
      <c r="G4288" s="3">
        <f t="shared" si="975"/>
        <v>7</v>
      </c>
      <c r="H4288" s="3">
        <f t="shared" si="976"/>
        <v>19</v>
      </c>
      <c r="I4288" s="3">
        <f t="shared" si="977"/>
        <v>19</v>
      </c>
      <c r="J4288" s="3">
        <f t="shared" si="978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979"/>
        <v>YES</v>
      </c>
      <c r="Q4288" t="str">
        <f t="shared" si="980"/>
        <v>NO</v>
      </c>
      <c r="R4288" t="str">
        <f t="shared" si="981"/>
        <v>NO</v>
      </c>
      <c r="T4288" t="s">
        <v>27</v>
      </c>
      <c r="U4288" t="str">
        <f t="shared" si="968"/>
        <v>Western Ave</v>
      </c>
      <c r="V4288" t="s">
        <v>312</v>
      </c>
      <c r="W4288" t="str">
        <f t="shared" si="969"/>
        <v>Auburn St</v>
      </c>
      <c r="X4288" t="str">
        <f>IF(ISBLANK(S4288),"Intersection","Non-Intersection")</f>
        <v>Intersection</v>
      </c>
      <c r="Y4288" t="s">
        <v>1278</v>
      </c>
      <c r="Z4288" t="str">
        <f t="shared" si="970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971"/>
        <v>40909</v>
      </c>
      <c r="D4289" s="4">
        <f t="shared" si="972"/>
        <v>0.76775956284153002</v>
      </c>
      <c r="E4289" s="3">
        <f t="shared" si="973"/>
        <v>2012</v>
      </c>
      <c r="F4289" s="3">
        <f t="shared" si="974"/>
        <v>10</v>
      </c>
      <c r="G4289" s="3">
        <f t="shared" si="975"/>
        <v>8</v>
      </c>
      <c r="H4289" s="3">
        <f t="shared" si="976"/>
        <v>1</v>
      </c>
      <c r="I4289" s="3">
        <f t="shared" si="977"/>
        <v>40</v>
      </c>
      <c r="J4289" s="3">
        <f t="shared" si="978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979"/>
        <v>YES</v>
      </c>
      <c r="Q4289" t="str">
        <f t="shared" si="980"/>
        <v>NO</v>
      </c>
      <c r="R4289" t="str">
        <f t="shared" si="981"/>
        <v>NO</v>
      </c>
      <c r="S4289">
        <v>2029</v>
      </c>
      <c r="T4289" t="s">
        <v>14</v>
      </c>
      <c r="U4289" t="str">
        <f t="shared" si="968"/>
        <v>Massachusetts Ave</v>
      </c>
      <c r="W4289" t="str">
        <f t="shared" si="969"/>
        <v/>
      </c>
      <c r="X4289" t="str">
        <f>IF(ISBLANK(S4289),"Intersection","Non-Intersection")</f>
        <v>Non-Intersection</v>
      </c>
      <c r="Y4289" t="s">
        <v>2537</v>
      </c>
      <c r="Z4289" t="str">
        <f t="shared" si="970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971"/>
        <v>40909</v>
      </c>
      <c r="D4290" s="4">
        <f t="shared" si="972"/>
        <v>0.76775956284153002</v>
      </c>
      <c r="E4290" s="3">
        <f t="shared" si="973"/>
        <v>2012</v>
      </c>
      <c r="F4290" s="3">
        <f t="shared" si="974"/>
        <v>10</v>
      </c>
      <c r="G4290" s="3">
        <f t="shared" si="975"/>
        <v>8</v>
      </c>
      <c r="H4290" s="3">
        <f t="shared" si="976"/>
        <v>14</v>
      </c>
      <c r="I4290" s="3">
        <f t="shared" si="977"/>
        <v>10</v>
      </c>
      <c r="J4290" s="3">
        <f t="shared" si="978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979"/>
        <v>YES</v>
      </c>
      <c r="Q4290" t="str">
        <f t="shared" si="980"/>
        <v>NO</v>
      </c>
      <c r="R4290" t="str">
        <f t="shared" si="981"/>
        <v>NO</v>
      </c>
      <c r="T4290" t="s">
        <v>14</v>
      </c>
      <c r="U4290" t="str">
        <f t="shared" si="968"/>
        <v>Massachusetts Ave</v>
      </c>
      <c r="V4290" t="s">
        <v>5008</v>
      </c>
      <c r="W4290" t="str">
        <f t="shared" si="969"/>
        <v>Newman St</v>
      </c>
      <c r="X4290" t="str">
        <f>IF(ISBLANK(S4290),"Intersection","Non-Intersection")</f>
        <v>Intersection</v>
      </c>
      <c r="Y4290" t="s">
        <v>5009</v>
      </c>
      <c r="Z4290" t="str">
        <f t="shared" si="970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971"/>
        <v>40909</v>
      </c>
      <c r="D4291" s="4">
        <f t="shared" si="972"/>
        <v>0.76775956284153002</v>
      </c>
      <c r="E4291" s="3">
        <f t="shared" si="973"/>
        <v>2012</v>
      </c>
      <c r="F4291" s="3">
        <f t="shared" si="974"/>
        <v>10</v>
      </c>
      <c r="G4291" s="3">
        <f t="shared" si="975"/>
        <v>8</v>
      </c>
      <c r="H4291" s="3">
        <f t="shared" si="976"/>
        <v>12</v>
      </c>
      <c r="I4291" s="3">
        <f t="shared" si="977"/>
        <v>40</v>
      </c>
      <c r="J4291" s="3">
        <f t="shared" si="978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979"/>
        <v>YES</v>
      </c>
      <c r="Q4291" t="str">
        <f t="shared" si="980"/>
        <v>NO</v>
      </c>
      <c r="R4291" t="str">
        <f t="shared" si="981"/>
        <v>NO</v>
      </c>
      <c r="T4291" t="s">
        <v>116</v>
      </c>
      <c r="U4291" t="str">
        <f t="shared" ref="U4291:U4354" si="982">TRIM(PROPER(T4291))</f>
        <v>Chestnut St</v>
      </c>
      <c r="V4291" t="s">
        <v>70</v>
      </c>
      <c r="W4291" t="str">
        <f t="shared" ref="W4291:W4354" si="983">TRIM(PROPER(V4291))</f>
        <v>Pearl St</v>
      </c>
      <c r="X4291" t="str">
        <f>IF(ISBLANK(S4291),"Intersection","Non-Intersection")</f>
        <v>Intersection</v>
      </c>
      <c r="Y4291" t="s">
        <v>2777</v>
      </c>
      <c r="Z4291" t="str">
        <f t="shared" ref="Z4291:Z4354" si="984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971"/>
        <v>40909</v>
      </c>
      <c r="D4292" s="4">
        <f t="shared" si="972"/>
        <v>0.76775956284153002</v>
      </c>
      <c r="E4292" s="3">
        <f t="shared" si="973"/>
        <v>2012</v>
      </c>
      <c r="F4292" s="3">
        <f t="shared" si="974"/>
        <v>10</v>
      </c>
      <c r="G4292" s="3">
        <f t="shared" si="975"/>
        <v>8</v>
      </c>
      <c r="H4292" s="3">
        <f t="shared" si="976"/>
        <v>11</v>
      </c>
      <c r="I4292" s="3">
        <f t="shared" si="977"/>
        <v>29</v>
      </c>
      <c r="J4292" s="3">
        <f t="shared" si="978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979"/>
        <v>YES</v>
      </c>
      <c r="Q4292" t="str">
        <f t="shared" si="980"/>
        <v>NO</v>
      </c>
      <c r="R4292" t="str">
        <f t="shared" si="981"/>
        <v>NO</v>
      </c>
      <c r="T4292" t="s">
        <v>19</v>
      </c>
      <c r="U4292" t="str">
        <f t="shared" si="982"/>
        <v>Cambridge St</v>
      </c>
      <c r="V4292" t="s">
        <v>342</v>
      </c>
      <c r="W4292" t="str">
        <f t="shared" si="983"/>
        <v>Prospect St</v>
      </c>
      <c r="X4292" t="str">
        <f>IF(ISBLANK(S4292),"Intersection","Non-Intersection")</f>
        <v>Intersection</v>
      </c>
      <c r="Y4292" t="s">
        <v>821</v>
      </c>
      <c r="Z4292" t="str">
        <f t="shared" si="984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971"/>
        <v>40909</v>
      </c>
      <c r="D4293" s="4">
        <f t="shared" si="972"/>
        <v>0.77049180327868849</v>
      </c>
      <c r="E4293" s="3">
        <f t="shared" si="973"/>
        <v>2012</v>
      </c>
      <c r="F4293" s="3">
        <f t="shared" si="974"/>
        <v>10</v>
      </c>
      <c r="G4293" s="3">
        <f t="shared" si="975"/>
        <v>9</v>
      </c>
      <c r="H4293" s="3">
        <f t="shared" si="976"/>
        <v>9</v>
      </c>
      <c r="I4293" s="3">
        <f t="shared" si="977"/>
        <v>30</v>
      </c>
      <c r="J4293" s="3">
        <f t="shared" si="978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979"/>
        <v>YES</v>
      </c>
      <c r="Q4293" t="str">
        <f t="shared" si="980"/>
        <v>NO</v>
      </c>
      <c r="R4293" t="str">
        <f t="shared" si="981"/>
        <v>NO</v>
      </c>
      <c r="S4293">
        <v>222</v>
      </c>
      <c r="T4293" t="s">
        <v>105</v>
      </c>
      <c r="U4293" t="str">
        <f t="shared" si="982"/>
        <v>Broadway</v>
      </c>
      <c r="W4293" t="str">
        <f t="shared" si="983"/>
        <v/>
      </c>
      <c r="X4293" t="str">
        <f>IF(ISBLANK(S4293),"Intersection","Non-Intersection")</f>
        <v>Non-Intersection</v>
      </c>
      <c r="Y4293" t="s">
        <v>2033</v>
      </c>
      <c r="Z4293" t="str">
        <f t="shared" si="984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971"/>
        <v>40909</v>
      </c>
      <c r="D4294" s="4">
        <f t="shared" si="972"/>
        <v>0.77049180327868849</v>
      </c>
      <c r="E4294" s="3">
        <f t="shared" si="973"/>
        <v>2012</v>
      </c>
      <c r="F4294" s="3">
        <f t="shared" si="974"/>
        <v>10</v>
      </c>
      <c r="G4294" s="3">
        <f t="shared" si="975"/>
        <v>9</v>
      </c>
      <c r="H4294" s="3">
        <f t="shared" si="976"/>
        <v>11</v>
      </c>
      <c r="I4294" s="3">
        <f t="shared" si="977"/>
        <v>55</v>
      </c>
      <c r="J4294" s="3">
        <f t="shared" si="978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979"/>
        <v>YES</v>
      </c>
      <c r="Q4294" t="str">
        <f t="shared" si="980"/>
        <v>NO</v>
      </c>
      <c r="R4294" t="str">
        <f t="shared" si="981"/>
        <v>NO</v>
      </c>
      <c r="S4294">
        <v>409</v>
      </c>
      <c r="T4294" t="s">
        <v>509</v>
      </c>
      <c r="U4294" t="str">
        <f t="shared" si="982"/>
        <v>Green St</v>
      </c>
      <c r="W4294" t="str">
        <f t="shared" si="983"/>
        <v/>
      </c>
      <c r="X4294" t="str">
        <f>IF(ISBLANK(S4294),"Intersection","Non-Intersection")</f>
        <v>Non-Intersection</v>
      </c>
      <c r="Y4294" t="s">
        <v>5011</v>
      </c>
      <c r="Z4294" t="str">
        <f t="shared" si="984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971"/>
        <v>40909</v>
      </c>
      <c r="D4295" s="4">
        <f t="shared" si="972"/>
        <v>0.77049180327868849</v>
      </c>
      <c r="E4295" s="3">
        <f t="shared" si="973"/>
        <v>2012</v>
      </c>
      <c r="F4295" s="3">
        <f t="shared" si="974"/>
        <v>10</v>
      </c>
      <c r="G4295" s="3">
        <f t="shared" si="975"/>
        <v>9</v>
      </c>
      <c r="H4295" s="3">
        <f t="shared" si="976"/>
        <v>13</v>
      </c>
      <c r="I4295" s="3">
        <f t="shared" si="977"/>
        <v>25</v>
      </c>
      <c r="J4295" s="3">
        <f t="shared" si="978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979"/>
        <v>YES</v>
      </c>
      <c r="Q4295" t="str">
        <f t="shared" si="980"/>
        <v>NO</v>
      </c>
      <c r="R4295" t="str">
        <f t="shared" si="981"/>
        <v>NO</v>
      </c>
      <c r="S4295">
        <v>725</v>
      </c>
      <c r="T4295" t="s">
        <v>186</v>
      </c>
      <c r="U4295" t="str">
        <f t="shared" si="982"/>
        <v>Concord Ave</v>
      </c>
      <c r="W4295" t="str">
        <f t="shared" si="983"/>
        <v/>
      </c>
      <c r="X4295" t="str">
        <f>IF(ISBLANK(S4295),"Intersection","Non-Intersection")</f>
        <v>Non-Intersection</v>
      </c>
      <c r="Y4295" t="s">
        <v>617</v>
      </c>
      <c r="Z4295" t="str">
        <f t="shared" si="984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971"/>
        <v>40909</v>
      </c>
      <c r="D4296" s="4">
        <f t="shared" si="972"/>
        <v>0.77049180327868849</v>
      </c>
      <c r="E4296" s="3">
        <f t="shared" si="973"/>
        <v>2012</v>
      </c>
      <c r="F4296" s="3">
        <f t="shared" si="974"/>
        <v>10</v>
      </c>
      <c r="G4296" s="3">
        <f t="shared" si="975"/>
        <v>9</v>
      </c>
      <c r="H4296" s="3">
        <f t="shared" si="976"/>
        <v>15</v>
      </c>
      <c r="I4296" s="3">
        <f t="shared" si="977"/>
        <v>49</v>
      </c>
      <c r="J4296" s="3">
        <f t="shared" si="978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979"/>
        <v>YES</v>
      </c>
      <c r="Q4296" t="str">
        <f t="shared" si="980"/>
        <v>NO</v>
      </c>
      <c r="R4296" t="str">
        <f t="shared" si="981"/>
        <v>NO</v>
      </c>
      <c r="S4296">
        <v>330</v>
      </c>
      <c r="T4296" t="s">
        <v>198</v>
      </c>
      <c r="U4296" t="str">
        <f t="shared" si="982"/>
        <v>Mount Auburn St</v>
      </c>
      <c r="W4296" t="str">
        <f t="shared" si="983"/>
        <v/>
      </c>
      <c r="X4296" t="str">
        <f>IF(ISBLANK(S4296),"Intersection","Non-Intersection")</f>
        <v>Non-Intersection</v>
      </c>
      <c r="Y4296" t="s">
        <v>1488</v>
      </c>
      <c r="Z4296" t="str">
        <f t="shared" si="984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971"/>
        <v>40909</v>
      </c>
      <c r="D4297" s="4">
        <f t="shared" si="972"/>
        <v>0.77049180327868849</v>
      </c>
      <c r="E4297" s="3">
        <f t="shared" si="973"/>
        <v>2012</v>
      </c>
      <c r="F4297" s="3">
        <f t="shared" si="974"/>
        <v>10</v>
      </c>
      <c r="G4297" s="3">
        <f t="shared" si="975"/>
        <v>9</v>
      </c>
      <c r="H4297" s="3">
        <f t="shared" si="976"/>
        <v>16</v>
      </c>
      <c r="I4297" s="3">
        <f t="shared" si="977"/>
        <v>30</v>
      </c>
      <c r="J4297" s="3">
        <f t="shared" si="978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979"/>
        <v>YES</v>
      </c>
      <c r="Q4297" t="str">
        <f t="shared" si="980"/>
        <v>NO</v>
      </c>
      <c r="R4297" t="str">
        <f t="shared" si="981"/>
        <v>NO</v>
      </c>
      <c r="S4297">
        <v>703</v>
      </c>
      <c r="T4297" t="s">
        <v>198</v>
      </c>
      <c r="U4297" t="str">
        <f t="shared" si="982"/>
        <v>Mount Auburn St</v>
      </c>
      <c r="W4297" t="str">
        <f t="shared" si="983"/>
        <v/>
      </c>
      <c r="X4297" t="str">
        <f>IF(ISBLANK(S4297),"Intersection","Non-Intersection")</f>
        <v>Non-Intersection</v>
      </c>
      <c r="Y4297" t="s">
        <v>5013</v>
      </c>
      <c r="Z4297" t="str">
        <f t="shared" si="984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971"/>
        <v>40909</v>
      </c>
      <c r="D4298" s="4">
        <f t="shared" si="972"/>
        <v>0.77049180327868849</v>
      </c>
      <c r="E4298" s="3">
        <f t="shared" si="973"/>
        <v>2012</v>
      </c>
      <c r="F4298" s="3">
        <f t="shared" si="974"/>
        <v>10</v>
      </c>
      <c r="G4298" s="3">
        <f t="shared" si="975"/>
        <v>9</v>
      </c>
      <c r="H4298" s="3">
        <f t="shared" si="976"/>
        <v>17</v>
      </c>
      <c r="I4298" s="3">
        <f t="shared" si="977"/>
        <v>44</v>
      </c>
      <c r="J4298" s="3">
        <f t="shared" si="978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979"/>
        <v>YES</v>
      </c>
      <c r="Q4298" t="str">
        <f t="shared" si="980"/>
        <v>NO</v>
      </c>
      <c r="R4298" t="str">
        <f t="shared" si="981"/>
        <v>NO</v>
      </c>
      <c r="S4298">
        <v>520</v>
      </c>
      <c r="T4298" t="s">
        <v>14</v>
      </c>
      <c r="U4298" t="str">
        <f t="shared" si="982"/>
        <v>Massachusetts Ave</v>
      </c>
      <c r="W4298" t="str">
        <f t="shared" si="983"/>
        <v/>
      </c>
      <c r="X4298" t="str">
        <f>IF(ISBLANK(S4298),"Intersection","Non-Intersection")</f>
        <v>Non-Intersection</v>
      </c>
      <c r="Y4298" t="s">
        <v>5015</v>
      </c>
      <c r="Z4298" t="str">
        <f t="shared" si="984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971"/>
        <v>40909</v>
      </c>
      <c r="D4299" s="4">
        <f t="shared" si="972"/>
        <v>0.77049180327868849</v>
      </c>
      <c r="E4299" s="3">
        <f t="shared" si="973"/>
        <v>2012</v>
      </c>
      <c r="F4299" s="3">
        <f t="shared" si="974"/>
        <v>10</v>
      </c>
      <c r="G4299" s="3">
        <f t="shared" si="975"/>
        <v>9</v>
      </c>
      <c r="H4299" s="3">
        <f t="shared" si="976"/>
        <v>17</v>
      </c>
      <c r="I4299" s="3">
        <f t="shared" si="977"/>
        <v>46</v>
      </c>
      <c r="J4299" s="3">
        <f t="shared" si="978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979"/>
        <v>YES</v>
      </c>
      <c r="Q4299" t="str">
        <f t="shared" si="980"/>
        <v>NO</v>
      </c>
      <c r="R4299" t="str">
        <f t="shared" si="981"/>
        <v>NO</v>
      </c>
      <c r="T4299" t="s">
        <v>453</v>
      </c>
      <c r="U4299" t="str">
        <f t="shared" si="982"/>
        <v>Brookline St</v>
      </c>
      <c r="V4299" t="s">
        <v>14</v>
      </c>
      <c r="W4299" t="str">
        <f t="shared" si="983"/>
        <v>Massachusetts Ave</v>
      </c>
      <c r="X4299" t="str">
        <f>IF(ISBLANK(S4299),"Intersection","Non-Intersection")</f>
        <v>Intersection</v>
      </c>
      <c r="Y4299" t="s">
        <v>1622</v>
      </c>
      <c r="Z4299" t="str">
        <f t="shared" si="984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971"/>
        <v>40909</v>
      </c>
      <c r="D4300" s="4">
        <f t="shared" si="972"/>
        <v>0.77049180327868849</v>
      </c>
      <c r="E4300" s="3">
        <f t="shared" si="973"/>
        <v>2012</v>
      </c>
      <c r="F4300" s="3">
        <f t="shared" si="974"/>
        <v>10</v>
      </c>
      <c r="G4300" s="3">
        <f t="shared" si="975"/>
        <v>9</v>
      </c>
      <c r="H4300" s="3">
        <f t="shared" si="976"/>
        <v>10</v>
      </c>
      <c r="I4300" s="3">
        <f t="shared" si="977"/>
        <v>19</v>
      </c>
      <c r="J4300" s="3">
        <f t="shared" si="978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979"/>
        <v>YES</v>
      </c>
      <c r="Q4300" t="str">
        <f t="shared" si="980"/>
        <v>NO</v>
      </c>
      <c r="R4300" t="str">
        <f t="shared" si="981"/>
        <v>NO</v>
      </c>
      <c r="S4300">
        <v>35</v>
      </c>
      <c r="T4300" t="s">
        <v>268</v>
      </c>
      <c r="U4300" t="str">
        <f t="shared" si="982"/>
        <v>White St</v>
      </c>
      <c r="W4300" t="str">
        <f t="shared" si="983"/>
        <v/>
      </c>
      <c r="X4300" t="str">
        <f>IF(ISBLANK(S4300),"Intersection","Non-Intersection")</f>
        <v>Non-Intersection</v>
      </c>
      <c r="Y4300" t="s">
        <v>933</v>
      </c>
      <c r="Z4300" t="str">
        <f t="shared" si="984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971"/>
        <v>40909</v>
      </c>
      <c r="D4301" s="4">
        <f t="shared" si="972"/>
        <v>0.77049180327868849</v>
      </c>
      <c r="E4301" s="3">
        <f t="shared" si="973"/>
        <v>2012</v>
      </c>
      <c r="F4301" s="3">
        <f t="shared" si="974"/>
        <v>10</v>
      </c>
      <c r="G4301" s="3">
        <f t="shared" si="975"/>
        <v>9</v>
      </c>
      <c r="H4301" s="3">
        <f t="shared" si="976"/>
        <v>15</v>
      </c>
      <c r="I4301" s="3">
        <f t="shared" si="977"/>
        <v>14</v>
      </c>
      <c r="J4301" s="3">
        <f t="shared" si="978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979"/>
        <v>YES</v>
      </c>
      <c r="Q4301" t="str">
        <f t="shared" si="980"/>
        <v>NO</v>
      </c>
      <c r="R4301" t="str">
        <f t="shared" si="981"/>
        <v>NO</v>
      </c>
      <c r="T4301" t="s">
        <v>509</v>
      </c>
      <c r="U4301" t="str">
        <f t="shared" si="982"/>
        <v>Green St</v>
      </c>
      <c r="V4301" t="s">
        <v>42</v>
      </c>
      <c r="W4301" t="str">
        <f t="shared" si="983"/>
        <v>Putnam Ave</v>
      </c>
      <c r="X4301" t="str">
        <f>IF(ISBLANK(S4301),"Intersection","Non-Intersection")</f>
        <v>Intersection</v>
      </c>
      <c r="Y4301" t="s">
        <v>2628</v>
      </c>
      <c r="Z4301" t="str">
        <f t="shared" si="984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971"/>
        <v>40909</v>
      </c>
      <c r="D4302" s="4">
        <f t="shared" si="972"/>
        <v>0.77322404371584696</v>
      </c>
      <c r="E4302" s="3">
        <f t="shared" si="973"/>
        <v>2012</v>
      </c>
      <c r="F4302" s="3">
        <f t="shared" si="974"/>
        <v>10</v>
      </c>
      <c r="G4302" s="3">
        <f t="shared" si="975"/>
        <v>10</v>
      </c>
      <c r="H4302" s="3">
        <f t="shared" si="976"/>
        <v>9</v>
      </c>
      <c r="I4302" s="3">
        <f t="shared" si="977"/>
        <v>20</v>
      </c>
      <c r="J4302" s="3">
        <f t="shared" si="978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979"/>
        <v>YES</v>
      </c>
      <c r="Q4302" t="str">
        <f t="shared" si="980"/>
        <v>NO</v>
      </c>
      <c r="R4302" t="str">
        <f t="shared" si="981"/>
        <v>NO</v>
      </c>
      <c r="T4302" t="s">
        <v>665</v>
      </c>
      <c r="U4302" t="str">
        <f t="shared" si="982"/>
        <v>New St</v>
      </c>
      <c r="V4302" t="s">
        <v>186</v>
      </c>
      <c r="W4302" t="str">
        <f t="shared" si="983"/>
        <v>Concord Ave</v>
      </c>
      <c r="X4302" t="str">
        <f>IF(ISBLANK(S4302),"Intersection","Non-Intersection")</f>
        <v>Intersection</v>
      </c>
      <c r="Y4302" t="s">
        <v>5017</v>
      </c>
      <c r="Z4302" t="str">
        <f t="shared" si="984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971"/>
        <v>40909</v>
      </c>
      <c r="D4303" s="4">
        <f t="shared" si="972"/>
        <v>0.77322404371584696</v>
      </c>
      <c r="E4303" s="3">
        <f t="shared" si="973"/>
        <v>2012</v>
      </c>
      <c r="F4303" s="3">
        <f t="shared" si="974"/>
        <v>10</v>
      </c>
      <c r="G4303" s="3">
        <f t="shared" si="975"/>
        <v>10</v>
      </c>
      <c r="H4303" s="3">
        <f t="shared" si="976"/>
        <v>9</v>
      </c>
      <c r="I4303" s="3">
        <f t="shared" si="977"/>
        <v>49</v>
      </c>
      <c r="J4303" s="3">
        <f t="shared" si="978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979"/>
        <v>YES</v>
      </c>
      <c r="Q4303" t="str">
        <f t="shared" si="980"/>
        <v>NO</v>
      </c>
      <c r="R4303" t="str">
        <f t="shared" si="981"/>
        <v>NO</v>
      </c>
      <c r="T4303" t="s">
        <v>198</v>
      </c>
      <c r="U4303" t="str">
        <f t="shared" si="982"/>
        <v>Mount Auburn St</v>
      </c>
      <c r="V4303" t="s">
        <v>2285</v>
      </c>
      <c r="W4303" t="str">
        <f t="shared" si="983"/>
        <v>Homer Ave</v>
      </c>
      <c r="X4303" t="str">
        <f>IF(ISBLANK(S4303),"Intersection","Non-Intersection")</f>
        <v>Intersection</v>
      </c>
      <c r="Y4303" t="s">
        <v>3334</v>
      </c>
      <c r="Z4303" t="str">
        <f t="shared" si="984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971"/>
        <v>40909</v>
      </c>
      <c r="D4304" s="4">
        <f t="shared" si="972"/>
        <v>0.77322404371584696</v>
      </c>
      <c r="E4304" s="3">
        <f t="shared" si="973"/>
        <v>2012</v>
      </c>
      <c r="F4304" s="3">
        <f t="shared" si="974"/>
        <v>10</v>
      </c>
      <c r="G4304" s="3">
        <f t="shared" si="975"/>
        <v>10</v>
      </c>
      <c r="H4304" s="3">
        <f t="shared" si="976"/>
        <v>9</v>
      </c>
      <c r="I4304" s="3">
        <f t="shared" si="977"/>
        <v>59</v>
      </c>
      <c r="J4304" s="3">
        <f t="shared" si="978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979"/>
        <v>YES</v>
      </c>
      <c r="Q4304" t="str">
        <f t="shared" si="980"/>
        <v>NO</v>
      </c>
      <c r="R4304" t="str">
        <f t="shared" si="981"/>
        <v>NO</v>
      </c>
      <c r="T4304" t="s">
        <v>316</v>
      </c>
      <c r="U4304" t="str">
        <f t="shared" si="982"/>
        <v>Bishop Allen Dr</v>
      </c>
      <c r="W4304" t="str">
        <f t="shared" si="983"/>
        <v/>
      </c>
      <c r="X4304" t="str">
        <f>IF(ISBLANK(S4304),"Intersection","Non-Intersection")</f>
        <v>Intersection</v>
      </c>
      <c r="Y4304" t="s">
        <v>1374</v>
      </c>
      <c r="Z4304" t="str">
        <f t="shared" si="984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971"/>
        <v>40909</v>
      </c>
      <c r="D4305" s="4">
        <f t="shared" si="972"/>
        <v>0.77322404371584696</v>
      </c>
      <c r="E4305" s="3">
        <f t="shared" si="973"/>
        <v>2012</v>
      </c>
      <c r="F4305" s="3">
        <f t="shared" si="974"/>
        <v>10</v>
      </c>
      <c r="G4305" s="3">
        <f t="shared" si="975"/>
        <v>10</v>
      </c>
      <c r="H4305" s="3">
        <f t="shared" si="976"/>
        <v>11</v>
      </c>
      <c r="I4305" s="3">
        <f t="shared" si="977"/>
        <v>48</v>
      </c>
      <c r="J4305" s="3">
        <f t="shared" si="978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979"/>
        <v>YES</v>
      </c>
      <c r="Q4305" t="str">
        <f t="shared" si="980"/>
        <v>NO</v>
      </c>
      <c r="R4305" t="str">
        <f t="shared" si="981"/>
        <v>YES</v>
      </c>
      <c r="S4305">
        <v>425</v>
      </c>
      <c r="T4305" t="s">
        <v>14</v>
      </c>
      <c r="U4305" t="str">
        <f t="shared" si="982"/>
        <v>Massachusetts Ave</v>
      </c>
      <c r="W4305" t="str">
        <f t="shared" si="983"/>
        <v/>
      </c>
      <c r="X4305" t="str">
        <f>IF(ISBLANK(S4305),"Intersection","Non-Intersection")</f>
        <v>Non-Intersection</v>
      </c>
      <c r="Y4305" t="s">
        <v>5018</v>
      </c>
      <c r="Z4305" t="str">
        <f t="shared" si="984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971"/>
        <v>40909</v>
      </c>
      <c r="D4306" s="4">
        <f t="shared" si="972"/>
        <v>0.77322404371584696</v>
      </c>
      <c r="E4306" s="3">
        <f t="shared" si="973"/>
        <v>2012</v>
      </c>
      <c r="F4306" s="3">
        <f t="shared" si="974"/>
        <v>10</v>
      </c>
      <c r="G4306" s="3">
        <f t="shared" si="975"/>
        <v>10</v>
      </c>
      <c r="H4306" s="3">
        <f t="shared" si="976"/>
        <v>13</v>
      </c>
      <c r="I4306" s="3">
        <f t="shared" si="977"/>
        <v>34</v>
      </c>
      <c r="J4306" s="3">
        <f t="shared" si="978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979"/>
        <v>YES</v>
      </c>
      <c r="Q4306" t="str">
        <f t="shared" si="980"/>
        <v>NO</v>
      </c>
      <c r="R4306" t="str">
        <f t="shared" si="981"/>
        <v>NO</v>
      </c>
      <c r="T4306" t="s">
        <v>19</v>
      </c>
      <c r="U4306" t="str">
        <f t="shared" si="982"/>
        <v>Cambridge St</v>
      </c>
      <c r="V4306" t="s">
        <v>1174</v>
      </c>
      <c r="W4306" t="str">
        <f t="shared" si="983"/>
        <v>Roberts Rd</v>
      </c>
      <c r="X4306" t="str">
        <f>IF(ISBLANK(S4306),"Intersection","Non-Intersection")</f>
        <v>Intersection</v>
      </c>
      <c r="Y4306" t="s">
        <v>1175</v>
      </c>
      <c r="Z4306" t="str">
        <f t="shared" si="984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971"/>
        <v>40909</v>
      </c>
      <c r="D4307" s="4">
        <f t="shared" si="972"/>
        <v>0.77322404371584696</v>
      </c>
      <c r="E4307" s="3">
        <f t="shared" si="973"/>
        <v>2012</v>
      </c>
      <c r="F4307" s="3">
        <f t="shared" si="974"/>
        <v>10</v>
      </c>
      <c r="G4307" s="3">
        <f t="shared" si="975"/>
        <v>10</v>
      </c>
      <c r="H4307" s="3">
        <f t="shared" si="976"/>
        <v>15</v>
      </c>
      <c r="I4307" s="3">
        <f t="shared" si="977"/>
        <v>0</v>
      </c>
      <c r="J4307" s="3">
        <f t="shared" si="978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979"/>
        <v>YES</v>
      </c>
      <c r="Q4307" t="str">
        <f t="shared" si="980"/>
        <v>NO</v>
      </c>
      <c r="R4307" t="str">
        <f t="shared" si="981"/>
        <v>NO</v>
      </c>
      <c r="T4307" t="s">
        <v>41</v>
      </c>
      <c r="U4307" t="str">
        <f t="shared" si="982"/>
        <v>River St</v>
      </c>
      <c r="V4307" t="s">
        <v>108</v>
      </c>
      <c r="W4307" t="str">
        <f t="shared" si="983"/>
        <v>Franklin St</v>
      </c>
      <c r="X4307" t="str">
        <f>IF(ISBLANK(S4307),"Intersection","Non-Intersection")</f>
        <v>Intersection</v>
      </c>
      <c r="Y4307" t="s">
        <v>427</v>
      </c>
      <c r="Z4307" t="str">
        <f t="shared" si="984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971"/>
        <v>40909</v>
      </c>
      <c r="D4308" s="4">
        <f t="shared" si="972"/>
        <v>0.77322404371584696</v>
      </c>
      <c r="E4308" s="3">
        <f t="shared" si="973"/>
        <v>2012</v>
      </c>
      <c r="F4308" s="3">
        <f t="shared" si="974"/>
        <v>10</v>
      </c>
      <c r="G4308" s="3">
        <f t="shared" si="975"/>
        <v>10</v>
      </c>
      <c r="H4308" s="3">
        <f t="shared" si="976"/>
        <v>16</v>
      </c>
      <c r="I4308" s="3">
        <f t="shared" si="977"/>
        <v>30</v>
      </c>
      <c r="J4308" s="3">
        <f t="shared" si="978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979"/>
        <v>YES</v>
      </c>
      <c r="Q4308" t="str">
        <f t="shared" si="980"/>
        <v>YES</v>
      </c>
      <c r="R4308" t="str">
        <f t="shared" si="981"/>
        <v>NO</v>
      </c>
      <c r="T4308" t="s">
        <v>186</v>
      </c>
      <c r="U4308" t="str">
        <f t="shared" si="982"/>
        <v>Concord Ave</v>
      </c>
      <c r="V4308" t="s">
        <v>413</v>
      </c>
      <c r="W4308" t="str">
        <f t="shared" si="983"/>
        <v>Smith Pl</v>
      </c>
      <c r="X4308" t="str">
        <f>IF(ISBLANK(S4308),"Intersection","Non-Intersection")</f>
        <v>Intersection</v>
      </c>
      <c r="Y4308" t="s">
        <v>859</v>
      </c>
      <c r="Z4308" t="str">
        <f t="shared" si="984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971"/>
        <v>40909</v>
      </c>
      <c r="D4309" s="4">
        <f t="shared" si="972"/>
        <v>0.77322404371584696</v>
      </c>
      <c r="E4309" s="3">
        <f t="shared" si="973"/>
        <v>2012</v>
      </c>
      <c r="F4309" s="3">
        <f t="shared" si="974"/>
        <v>10</v>
      </c>
      <c r="G4309" s="3">
        <f t="shared" si="975"/>
        <v>10</v>
      </c>
      <c r="H4309" s="3">
        <f t="shared" si="976"/>
        <v>10</v>
      </c>
      <c r="I4309" s="3">
        <f t="shared" si="977"/>
        <v>30</v>
      </c>
      <c r="J4309" s="3">
        <f t="shared" si="978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979"/>
        <v>YES</v>
      </c>
      <c r="Q4309" t="str">
        <f t="shared" si="980"/>
        <v>NO</v>
      </c>
      <c r="R4309" t="str">
        <f t="shared" si="981"/>
        <v>NO</v>
      </c>
      <c r="T4309" t="s">
        <v>1729</v>
      </c>
      <c r="U4309" t="str">
        <f t="shared" si="982"/>
        <v>Cross St</v>
      </c>
      <c r="V4309" t="s">
        <v>119</v>
      </c>
      <c r="W4309" t="str">
        <f t="shared" si="983"/>
        <v>Albany St</v>
      </c>
      <c r="X4309" t="str">
        <f>IF(ISBLANK(S4309),"Intersection","Non-Intersection")</f>
        <v>Intersection</v>
      </c>
      <c r="Y4309" t="s">
        <v>5020</v>
      </c>
      <c r="Z4309" t="str">
        <f t="shared" si="984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971"/>
        <v>40909</v>
      </c>
      <c r="D4310" s="4">
        <f t="shared" si="972"/>
        <v>0.77322404371584696</v>
      </c>
      <c r="E4310" s="3">
        <f t="shared" si="973"/>
        <v>2012</v>
      </c>
      <c r="F4310" s="3">
        <f t="shared" si="974"/>
        <v>10</v>
      </c>
      <c r="G4310" s="3">
        <f t="shared" si="975"/>
        <v>10</v>
      </c>
      <c r="H4310" s="3">
        <f t="shared" si="976"/>
        <v>6</v>
      </c>
      <c r="I4310" s="3">
        <f t="shared" si="977"/>
        <v>43</v>
      </c>
      <c r="J4310" s="3">
        <f t="shared" si="978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979"/>
        <v>YES</v>
      </c>
      <c r="Q4310" t="str">
        <f t="shared" si="980"/>
        <v>NO</v>
      </c>
      <c r="R4310" t="str">
        <f t="shared" si="981"/>
        <v>YES</v>
      </c>
      <c r="T4310" t="s">
        <v>487</v>
      </c>
      <c r="U4310" t="str">
        <f t="shared" si="982"/>
        <v>Beech St</v>
      </c>
      <c r="V4310" t="s">
        <v>97</v>
      </c>
      <c r="W4310" t="str">
        <f t="shared" si="983"/>
        <v>Peabody St</v>
      </c>
      <c r="X4310" t="str">
        <f>IF(ISBLANK(S4310),"Intersection","Non-Intersection")</f>
        <v>Intersection</v>
      </c>
      <c r="Y4310" t="s">
        <v>5021</v>
      </c>
      <c r="Z4310" t="str">
        <f t="shared" si="984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971"/>
        <v>40909</v>
      </c>
      <c r="D4311" s="4">
        <f t="shared" si="972"/>
        <v>0.77595628415300544</v>
      </c>
      <c r="E4311" s="3">
        <f t="shared" si="973"/>
        <v>2012</v>
      </c>
      <c r="F4311" s="3">
        <f t="shared" si="974"/>
        <v>10</v>
      </c>
      <c r="G4311" s="3">
        <f t="shared" si="975"/>
        <v>11</v>
      </c>
      <c r="H4311" s="3">
        <f t="shared" si="976"/>
        <v>3</v>
      </c>
      <c r="I4311" s="3">
        <f t="shared" si="977"/>
        <v>0</v>
      </c>
      <c r="J4311" s="3">
        <f t="shared" si="978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979"/>
        <v>YES</v>
      </c>
      <c r="Q4311" t="str">
        <f t="shared" si="980"/>
        <v>NO</v>
      </c>
      <c r="R4311" t="str">
        <f t="shared" si="981"/>
        <v>NO</v>
      </c>
      <c r="S4311">
        <v>426</v>
      </c>
      <c r="T4311" t="s">
        <v>142</v>
      </c>
      <c r="U4311" t="str">
        <f t="shared" si="982"/>
        <v>Huron Ave</v>
      </c>
      <c r="W4311" t="str">
        <f t="shared" si="983"/>
        <v/>
      </c>
      <c r="X4311" t="str">
        <f>IF(ISBLANK(S4311),"Intersection","Non-Intersection")</f>
        <v>Non-Intersection</v>
      </c>
      <c r="Y4311" t="s">
        <v>5022</v>
      </c>
      <c r="Z4311" t="str">
        <f t="shared" si="984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971"/>
        <v>40909</v>
      </c>
      <c r="D4312" s="4">
        <f t="shared" si="972"/>
        <v>0.77595628415300544</v>
      </c>
      <c r="E4312" s="3">
        <f t="shared" si="973"/>
        <v>2012</v>
      </c>
      <c r="F4312" s="3">
        <f t="shared" si="974"/>
        <v>10</v>
      </c>
      <c r="G4312" s="3">
        <f t="shared" si="975"/>
        <v>11</v>
      </c>
      <c r="H4312" s="3">
        <f t="shared" si="976"/>
        <v>11</v>
      </c>
      <c r="I4312" s="3">
        <f t="shared" si="977"/>
        <v>32</v>
      </c>
      <c r="J4312" s="3">
        <f t="shared" si="978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979"/>
        <v>YES</v>
      </c>
      <c r="Q4312" t="str">
        <f t="shared" si="980"/>
        <v>YES</v>
      </c>
      <c r="R4312" t="str">
        <f t="shared" si="981"/>
        <v>NO</v>
      </c>
      <c r="S4312">
        <v>33</v>
      </c>
      <c r="T4312" t="s">
        <v>166</v>
      </c>
      <c r="U4312" t="str">
        <f t="shared" si="982"/>
        <v>Oxford Ave</v>
      </c>
      <c r="W4312" t="str">
        <f t="shared" si="983"/>
        <v/>
      </c>
      <c r="X4312" t="str">
        <f>IF(ISBLANK(S4312),"Intersection","Non-Intersection")</f>
        <v>Non-Intersection</v>
      </c>
      <c r="Y4312" t="s">
        <v>2726</v>
      </c>
      <c r="Z4312" t="str">
        <f t="shared" si="984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971"/>
        <v>40909</v>
      </c>
      <c r="D4313" s="4">
        <f t="shared" si="972"/>
        <v>0.77595628415300544</v>
      </c>
      <c r="E4313" s="3">
        <f t="shared" si="973"/>
        <v>2012</v>
      </c>
      <c r="F4313" s="3">
        <f t="shared" si="974"/>
        <v>10</v>
      </c>
      <c r="G4313" s="3">
        <f t="shared" si="975"/>
        <v>11</v>
      </c>
      <c r="H4313" s="3">
        <f t="shared" si="976"/>
        <v>17</v>
      </c>
      <c r="I4313" s="3">
        <f t="shared" si="977"/>
        <v>35</v>
      </c>
      <c r="J4313" s="3">
        <f t="shared" si="978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979"/>
        <v>YES</v>
      </c>
      <c r="Q4313" t="str">
        <f t="shared" si="980"/>
        <v>NO</v>
      </c>
      <c r="R4313" t="str">
        <f t="shared" si="981"/>
        <v>NO</v>
      </c>
      <c r="S4313">
        <v>1000</v>
      </c>
      <c r="T4313" t="s">
        <v>14</v>
      </c>
      <c r="U4313" t="str">
        <f t="shared" si="982"/>
        <v>Massachusetts Ave</v>
      </c>
      <c r="W4313" t="str">
        <f t="shared" si="983"/>
        <v/>
      </c>
      <c r="X4313" t="str">
        <f>IF(ISBLANK(S4313),"Intersection","Non-Intersection")</f>
        <v>Non-Intersection</v>
      </c>
      <c r="Y4313" t="s">
        <v>5024</v>
      </c>
      <c r="Z4313" t="str">
        <f t="shared" si="984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971"/>
        <v>40909</v>
      </c>
      <c r="D4314" s="4">
        <f t="shared" si="972"/>
        <v>0.77868852459016391</v>
      </c>
      <c r="E4314" s="3">
        <f t="shared" si="973"/>
        <v>2012</v>
      </c>
      <c r="F4314" s="3">
        <f t="shared" si="974"/>
        <v>10</v>
      </c>
      <c r="G4314" s="3">
        <f t="shared" si="975"/>
        <v>12</v>
      </c>
      <c r="H4314" s="3">
        <f t="shared" si="976"/>
        <v>10</v>
      </c>
      <c r="I4314" s="3">
        <f t="shared" si="977"/>
        <v>40</v>
      </c>
      <c r="J4314" s="3">
        <f t="shared" si="978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979"/>
        <v>YES</v>
      </c>
      <c r="Q4314" t="str">
        <f t="shared" si="980"/>
        <v>NO</v>
      </c>
      <c r="R4314" t="str">
        <f t="shared" si="981"/>
        <v>NO</v>
      </c>
      <c r="T4314" t="s">
        <v>342</v>
      </c>
      <c r="U4314" t="str">
        <f t="shared" si="982"/>
        <v>Prospect St</v>
      </c>
      <c r="V4314" t="s">
        <v>19</v>
      </c>
      <c r="W4314" t="str">
        <f t="shared" si="983"/>
        <v>Cambridge St</v>
      </c>
      <c r="X4314" t="str">
        <f>IF(ISBLANK(S4314),"Intersection","Non-Intersection")</f>
        <v>Intersection</v>
      </c>
      <c r="Y4314" t="s">
        <v>3214</v>
      </c>
      <c r="Z4314" t="str">
        <f t="shared" si="984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971"/>
        <v>40909</v>
      </c>
      <c r="D4315" s="4">
        <f t="shared" si="972"/>
        <v>0.77868852459016391</v>
      </c>
      <c r="E4315" s="3">
        <f t="shared" si="973"/>
        <v>2012</v>
      </c>
      <c r="F4315" s="3">
        <f t="shared" si="974"/>
        <v>10</v>
      </c>
      <c r="G4315" s="3">
        <f t="shared" si="975"/>
        <v>12</v>
      </c>
      <c r="H4315" s="3">
        <f t="shared" si="976"/>
        <v>12</v>
      </c>
      <c r="I4315" s="3">
        <f t="shared" si="977"/>
        <v>20</v>
      </c>
      <c r="J4315" s="3">
        <f t="shared" si="978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979"/>
        <v>YES</v>
      </c>
      <c r="Q4315" t="str">
        <f t="shared" si="980"/>
        <v>NO</v>
      </c>
      <c r="R4315" t="str">
        <f t="shared" si="981"/>
        <v>NO</v>
      </c>
      <c r="T4315" t="s">
        <v>14</v>
      </c>
      <c r="U4315" t="str">
        <f t="shared" si="982"/>
        <v>Massachusetts Ave</v>
      </c>
      <c r="V4315" t="s">
        <v>5008</v>
      </c>
      <c r="W4315" t="str">
        <f t="shared" si="983"/>
        <v>Newman St</v>
      </c>
      <c r="X4315" t="str">
        <f>IF(ISBLANK(S4315),"Intersection","Non-Intersection")</f>
        <v>Intersection</v>
      </c>
      <c r="Y4315" t="s">
        <v>5009</v>
      </c>
      <c r="Z4315" t="str">
        <f t="shared" si="984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971"/>
        <v>40909</v>
      </c>
      <c r="D4316" s="4">
        <f t="shared" si="972"/>
        <v>0.77868852459016391</v>
      </c>
      <c r="E4316" s="3">
        <f t="shared" si="973"/>
        <v>2012</v>
      </c>
      <c r="F4316" s="3">
        <f t="shared" si="974"/>
        <v>10</v>
      </c>
      <c r="G4316" s="3">
        <f t="shared" si="975"/>
        <v>12</v>
      </c>
      <c r="H4316" s="3">
        <f t="shared" si="976"/>
        <v>14</v>
      </c>
      <c r="I4316" s="3">
        <f t="shared" si="977"/>
        <v>10</v>
      </c>
      <c r="J4316" s="3">
        <f t="shared" si="978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979"/>
        <v>YES</v>
      </c>
      <c r="Q4316" t="str">
        <f t="shared" si="980"/>
        <v>NO</v>
      </c>
      <c r="R4316" t="str">
        <f t="shared" si="981"/>
        <v>NO</v>
      </c>
      <c r="T4316" t="s">
        <v>209</v>
      </c>
      <c r="U4316" t="str">
        <f t="shared" si="982"/>
        <v>Binney St</v>
      </c>
      <c r="V4316" t="s">
        <v>61</v>
      </c>
      <c r="W4316" t="str">
        <f t="shared" si="983"/>
        <v>First St</v>
      </c>
      <c r="X4316" t="str">
        <f>IF(ISBLANK(S4316),"Intersection","Non-Intersection")</f>
        <v>Intersection</v>
      </c>
      <c r="Y4316" t="s">
        <v>579</v>
      </c>
      <c r="Z4316" t="str">
        <f t="shared" si="984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971"/>
        <v>40909</v>
      </c>
      <c r="D4317" s="4">
        <f t="shared" si="972"/>
        <v>0.77868852459016391</v>
      </c>
      <c r="E4317" s="3">
        <f t="shared" si="973"/>
        <v>2012</v>
      </c>
      <c r="F4317" s="3">
        <f t="shared" si="974"/>
        <v>10</v>
      </c>
      <c r="G4317" s="3">
        <f t="shared" si="975"/>
        <v>12</v>
      </c>
      <c r="H4317" s="3">
        <f t="shared" si="976"/>
        <v>14</v>
      </c>
      <c r="I4317" s="3">
        <f t="shared" si="977"/>
        <v>15</v>
      </c>
      <c r="J4317" s="3">
        <f t="shared" si="978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979"/>
        <v>YES</v>
      </c>
      <c r="Q4317" t="str">
        <f t="shared" si="980"/>
        <v>NO</v>
      </c>
      <c r="R4317" t="str">
        <f t="shared" si="981"/>
        <v>NO</v>
      </c>
      <c r="T4317" t="s">
        <v>14</v>
      </c>
      <c r="U4317" t="str">
        <f t="shared" si="982"/>
        <v>Massachusetts Ave</v>
      </c>
      <c r="V4317" t="s">
        <v>487</v>
      </c>
      <c r="W4317" t="str">
        <f t="shared" si="983"/>
        <v>Beech St</v>
      </c>
      <c r="X4317" t="str">
        <f>IF(ISBLANK(S4317),"Intersection","Non-Intersection")</f>
        <v>Intersection</v>
      </c>
      <c r="Y4317" t="s">
        <v>787</v>
      </c>
      <c r="Z4317" t="str">
        <f t="shared" si="984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971"/>
        <v>40909</v>
      </c>
      <c r="D4318" s="4">
        <f t="shared" si="972"/>
        <v>0.77868852459016391</v>
      </c>
      <c r="E4318" s="3">
        <f t="shared" si="973"/>
        <v>2012</v>
      </c>
      <c r="F4318" s="3">
        <f t="shared" si="974"/>
        <v>10</v>
      </c>
      <c r="G4318" s="3">
        <f t="shared" si="975"/>
        <v>12</v>
      </c>
      <c r="H4318" s="3">
        <f t="shared" si="976"/>
        <v>15</v>
      </c>
      <c r="I4318" s="3">
        <f t="shared" si="977"/>
        <v>2</v>
      </c>
      <c r="J4318" s="3">
        <f t="shared" si="978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979"/>
        <v>YES</v>
      </c>
      <c r="Q4318" t="str">
        <f t="shared" si="980"/>
        <v>NO</v>
      </c>
      <c r="R4318" t="str">
        <f t="shared" si="981"/>
        <v>NO</v>
      </c>
      <c r="T4318" t="s">
        <v>14</v>
      </c>
      <c r="U4318" t="str">
        <f t="shared" si="982"/>
        <v>Massachusetts Ave</v>
      </c>
      <c r="V4318" t="s">
        <v>601</v>
      </c>
      <c r="W4318" t="str">
        <f t="shared" si="983"/>
        <v>Cedar St</v>
      </c>
      <c r="X4318" t="str">
        <f>IF(ISBLANK(S4318),"Intersection","Non-Intersection")</f>
        <v>Intersection</v>
      </c>
      <c r="Y4318" t="s">
        <v>602</v>
      </c>
      <c r="Z4318" t="str">
        <f t="shared" si="984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971"/>
        <v>40909</v>
      </c>
      <c r="D4319" s="4">
        <f t="shared" si="972"/>
        <v>0.77868852459016391</v>
      </c>
      <c r="E4319" s="3">
        <f t="shared" si="973"/>
        <v>2012</v>
      </c>
      <c r="F4319" s="3">
        <f t="shared" si="974"/>
        <v>10</v>
      </c>
      <c r="G4319" s="3">
        <f t="shared" si="975"/>
        <v>12</v>
      </c>
      <c r="H4319" s="3">
        <f t="shared" si="976"/>
        <v>17</v>
      </c>
      <c r="I4319" s="3">
        <f t="shared" si="977"/>
        <v>0</v>
      </c>
      <c r="J4319" s="3">
        <f t="shared" si="978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979"/>
        <v>YES</v>
      </c>
      <c r="Q4319" t="str">
        <f t="shared" si="980"/>
        <v>YES</v>
      </c>
      <c r="R4319" t="str">
        <f t="shared" si="981"/>
        <v>NO</v>
      </c>
      <c r="T4319" t="s">
        <v>14</v>
      </c>
      <c r="U4319" t="str">
        <f t="shared" si="982"/>
        <v>Massachusetts Ave</v>
      </c>
      <c r="V4319" t="s">
        <v>315</v>
      </c>
      <c r="W4319" t="str">
        <f t="shared" si="983"/>
        <v>Essex St</v>
      </c>
      <c r="X4319" t="str">
        <f>IF(ISBLANK(S4319),"Intersection","Non-Intersection")</f>
        <v>Intersection</v>
      </c>
      <c r="Y4319" t="s">
        <v>1383</v>
      </c>
      <c r="Z4319" t="str">
        <f t="shared" si="984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971"/>
        <v>40909</v>
      </c>
      <c r="D4320" s="4">
        <f t="shared" si="972"/>
        <v>0.78142076502732238</v>
      </c>
      <c r="E4320" s="3">
        <f t="shared" si="973"/>
        <v>2012</v>
      </c>
      <c r="F4320" s="3">
        <f t="shared" si="974"/>
        <v>10</v>
      </c>
      <c r="G4320" s="3">
        <f t="shared" si="975"/>
        <v>13</v>
      </c>
      <c r="H4320" s="3">
        <f t="shared" si="976"/>
        <v>13</v>
      </c>
      <c r="I4320" s="3">
        <f t="shared" si="977"/>
        <v>57</v>
      </c>
      <c r="J4320" s="3">
        <f t="shared" si="978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979"/>
        <v>YES</v>
      </c>
      <c r="Q4320" t="str">
        <f t="shared" si="980"/>
        <v>NO</v>
      </c>
      <c r="R4320" t="str">
        <f t="shared" si="981"/>
        <v>YES</v>
      </c>
      <c r="S4320">
        <v>49</v>
      </c>
      <c r="T4320" t="s">
        <v>268</v>
      </c>
      <c r="U4320" t="str">
        <f t="shared" si="982"/>
        <v>White St</v>
      </c>
      <c r="V4320" t="s">
        <v>1958</v>
      </c>
      <c r="W4320" t="str">
        <f t="shared" si="983"/>
        <v>Porter Cir</v>
      </c>
      <c r="X4320" t="str">
        <f>IF(ISBLANK(S4320),"Intersection","Non-Intersection")</f>
        <v>Non-Intersection</v>
      </c>
      <c r="Y4320" t="s">
        <v>270</v>
      </c>
      <c r="Z4320" t="str">
        <f t="shared" si="984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971"/>
        <v>40909</v>
      </c>
      <c r="D4321" s="4">
        <f t="shared" si="972"/>
        <v>0.78142076502732238</v>
      </c>
      <c r="E4321" s="3">
        <f t="shared" si="973"/>
        <v>2012</v>
      </c>
      <c r="F4321" s="3">
        <f t="shared" si="974"/>
        <v>10</v>
      </c>
      <c r="G4321" s="3">
        <f t="shared" si="975"/>
        <v>13</v>
      </c>
      <c r="H4321" s="3">
        <f t="shared" si="976"/>
        <v>20</v>
      </c>
      <c r="I4321" s="3">
        <f t="shared" si="977"/>
        <v>55</v>
      </c>
      <c r="J4321" s="3">
        <f t="shared" si="978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979"/>
        <v>YES</v>
      </c>
      <c r="Q4321" t="str">
        <f t="shared" si="980"/>
        <v>NO</v>
      </c>
      <c r="R4321" t="str">
        <f t="shared" si="981"/>
        <v>NO</v>
      </c>
      <c r="S4321">
        <v>1357</v>
      </c>
      <c r="T4321" t="s">
        <v>19</v>
      </c>
      <c r="U4321" t="str">
        <f t="shared" si="982"/>
        <v>Cambridge St</v>
      </c>
      <c r="W4321" t="str">
        <f t="shared" si="983"/>
        <v/>
      </c>
      <c r="X4321" t="str">
        <f>IF(ISBLANK(S4321),"Intersection","Non-Intersection")</f>
        <v>Non-Intersection</v>
      </c>
      <c r="Y4321" t="s">
        <v>5026</v>
      </c>
      <c r="Z4321" t="str">
        <f t="shared" si="984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971"/>
        <v>40909</v>
      </c>
      <c r="D4322" s="4">
        <f t="shared" si="972"/>
        <v>0.78142076502732238</v>
      </c>
      <c r="E4322" s="3">
        <f t="shared" si="973"/>
        <v>2012</v>
      </c>
      <c r="F4322" s="3">
        <f t="shared" si="974"/>
        <v>10</v>
      </c>
      <c r="G4322" s="3">
        <f t="shared" si="975"/>
        <v>13</v>
      </c>
      <c r="H4322" s="3">
        <f t="shared" si="976"/>
        <v>9</v>
      </c>
      <c r="I4322" s="3">
        <f t="shared" si="977"/>
        <v>59</v>
      </c>
      <c r="J4322" s="3">
        <f t="shared" si="978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979"/>
        <v>YES</v>
      </c>
      <c r="Q4322" t="str">
        <f t="shared" si="980"/>
        <v>NO</v>
      </c>
      <c r="R4322" t="str">
        <f t="shared" si="981"/>
        <v>NO</v>
      </c>
      <c r="S4322">
        <v>1</v>
      </c>
      <c r="T4322" t="s">
        <v>105</v>
      </c>
      <c r="U4322" t="str">
        <f t="shared" si="982"/>
        <v>Broadway</v>
      </c>
      <c r="W4322" t="str">
        <f t="shared" si="983"/>
        <v/>
      </c>
      <c r="X4322" t="str">
        <f>IF(ISBLANK(S4322),"Intersection","Non-Intersection")</f>
        <v>Non-Intersection</v>
      </c>
      <c r="Y4322" t="s">
        <v>283</v>
      </c>
      <c r="Z4322" t="str">
        <f t="shared" si="984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971"/>
        <v>40909</v>
      </c>
      <c r="D4323" s="4">
        <f t="shared" si="972"/>
        <v>0.78142076502732238</v>
      </c>
      <c r="E4323" s="3">
        <f t="shared" si="973"/>
        <v>2012</v>
      </c>
      <c r="F4323" s="3">
        <f t="shared" si="974"/>
        <v>10</v>
      </c>
      <c r="G4323" s="3">
        <f t="shared" si="975"/>
        <v>13</v>
      </c>
      <c r="H4323" s="3">
        <f t="shared" si="976"/>
        <v>14</v>
      </c>
      <c r="I4323" s="3">
        <f t="shared" si="977"/>
        <v>17</v>
      </c>
      <c r="J4323" s="3">
        <f t="shared" si="978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979"/>
        <v>YES</v>
      </c>
      <c r="Q4323" t="str">
        <f t="shared" si="980"/>
        <v>NO</v>
      </c>
      <c r="R4323" t="str">
        <f t="shared" si="981"/>
        <v>NO</v>
      </c>
      <c r="T4323" t="s">
        <v>42</v>
      </c>
      <c r="U4323" t="str">
        <f t="shared" si="982"/>
        <v>Putnam Ave</v>
      </c>
      <c r="V4323" t="s">
        <v>1024</v>
      </c>
      <c r="W4323" t="str">
        <f t="shared" si="983"/>
        <v>Kinnaird St</v>
      </c>
      <c r="X4323" t="str">
        <f>IF(ISBLANK(S4323),"Intersection","Non-Intersection")</f>
        <v>Intersection</v>
      </c>
      <c r="Y4323" t="s">
        <v>2183</v>
      </c>
      <c r="Z4323" t="str">
        <f t="shared" si="984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971"/>
        <v>40909</v>
      </c>
      <c r="D4324" s="4">
        <f t="shared" si="972"/>
        <v>0.78142076502732238</v>
      </c>
      <c r="E4324" s="3">
        <f t="shared" si="973"/>
        <v>2012</v>
      </c>
      <c r="F4324" s="3">
        <f t="shared" si="974"/>
        <v>10</v>
      </c>
      <c r="G4324" s="3">
        <f t="shared" si="975"/>
        <v>13</v>
      </c>
      <c r="H4324" s="3">
        <f t="shared" si="976"/>
        <v>13</v>
      </c>
      <c r="I4324" s="3">
        <f t="shared" si="977"/>
        <v>12</v>
      </c>
      <c r="J4324" s="3">
        <f t="shared" si="978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979"/>
        <v>YES</v>
      </c>
      <c r="Q4324" t="str">
        <f t="shared" si="980"/>
        <v>NO</v>
      </c>
      <c r="R4324" t="str">
        <f t="shared" si="981"/>
        <v>NO</v>
      </c>
      <c r="T4324" t="s">
        <v>42</v>
      </c>
      <c r="U4324" t="str">
        <f t="shared" si="982"/>
        <v>Putnam Ave</v>
      </c>
      <c r="V4324" t="s">
        <v>178</v>
      </c>
      <c r="W4324" t="str">
        <f t="shared" si="983"/>
        <v>Pleasant St</v>
      </c>
      <c r="X4324" t="str">
        <f>IF(ISBLANK(S4324),"Intersection","Non-Intersection")</f>
        <v>Intersection</v>
      </c>
      <c r="Y4324" t="s">
        <v>179</v>
      </c>
      <c r="Z4324" t="str">
        <f t="shared" si="984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971"/>
        <v>40909</v>
      </c>
      <c r="D4325" s="4">
        <f t="shared" si="972"/>
        <v>0.78415300546448086</v>
      </c>
      <c r="E4325" s="3">
        <f t="shared" si="973"/>
        <v>2012</v>
      </c>
      <c r="F4325" s="3">
        <f t="shared" si="974"/>
        <v>10</v>
      </c>
      <c r="G4325" s="3">
        <f t="shared" si="975"/>
        <v>14</v>
      </c>
      <c r="H4325" s="3">
        <f t="shared" si="976"/>
        <v>3</v>
      </c>
      <c r="I4325" s="3">
        <f t="shared" si="977"/>
        <v>49</v>
      </c>
      <c r="J4325" s="3">
        <f t="shared" si="978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979"/>
        <v>YES</v>
      </c>
      <c r="Q4325" t="str">
        <f t="shared" si="980"/>
        <v>NO</v>
      </c>
      <c r="R4325" t="str">
        <f t="shared" si="981"/>
        <v>NO</v>
      </c>
      <c r="T4325" t="s">
        <v>53</v>
      </c>
      <c r="U4325" t="str">
        <f t="shared" si="982"/>
        <v>Monsignor Obrien Hwy</v>
      </c>
      <c r="V4325" t="s">
        <v>4331</v>
      </c>
      <c r="W4325" t="str">
        <f t="shared" si="983"/>
        <v>Leighton</v>
      </c>
      <c r="X4325" t="str">
        <f>IF(ISBLANK(S4325),"Intersection","Non-Intersection")</f>
        <v>Intersection</v>
      </c>
      <c r="Y4325" t="s">
        <v>5028</v>
      </c>
      <c r="Z4325" t="str">
        <f t="shared" si="984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971"/>
        <v>40909</v>
      </c>
      <c r="D4326" s="4">
        <f t="shared" si="972"/>
        <v>0.78415300546448086</v>
      </c>
      <c r="E4326" s="3">
        <f t="shared" si="973"/>
        <v>2012</v>
      </c>
      <c r="F4326" s="3">
        <f t="shared" si="974"/>
        <v>10</v>
      </c>
      <c r="G4326" s="3">
        <f t="shared" si="975"/>
        <v>14</v>
      </c>
      <c r="H4326" s="3">
        <f t="shared" si="976"/>
        <v>10</v>
      </c>
      <c r="I4326" s="3">
        <f t="shared" si="977"/>
        <v>12</v>
      </c>
      <c r="J4326" s="3">
        <f t="shared" si="978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979"/>
        <v>YES</v>
      </c>
      <c r="Q4326" t="str">
        <f t="shared" si="980"/>
        <v>YES</v>
      </c>
      <c r="R4326" t="str">
        <f t="shared" si="981"/>
        <v>NO</v>
      </c>
      <c r="T4326" t="s">
        <v>74</v>
      </c>
      <c r="U4326" t="str">
        <f t="shared" si="982"/>
        <v>Hampshire St</v>
      </c>
      <c r="W4326" t="str">
        <f t="shared" si="983"/>
        <v/>
      </c>
      <c r="X4326" t="str">
        <f>IF(ISBLANK(S4326),"Intersection","Non-Intersection")</f>
        <v>Intersection</v>
      </c>
      <c r="Y4326" t="s">
        <v>1519</v>
      </c>
      <c r="Z4326" t="str">
        <f t="shared" si="984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971"/>
        <v>40909</v>
      </c>
      <c r="D4327" s="4">
        <f t="shared" si="972"/>
        <v>0.78415300546448086</v>
      </c>
      <c r="E4327" s="3">
        <f t="shared" si="973"/>
        <v>2012</v>
      </c>
      <c r="F4327" s="3">
        <f t="shared" si="974"/>
        <v>10</v>
      </c>
      <c r="G4327" s="3">
        <f t="shared" si="975"/>
        <v>14</v>
      </c>
      <c r="H4327" s="3">
        <f t="shared" si="976"/>
        <v>17</v>
      </c>
      <c r="I4327" s="3">
        <f t="shared" si="977"/>
        <v>29</v>
      </c>
      <c r="J4327" s="3">
        <f t="shared" si="978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979"/>
        <v>YES</v>
      </c>
      <c r="Q4327" t="str">
        <f t="shared" si="980"/>
        <v>YES</v>
      </c>
      <c r="R4327" t="str">
        <f t="shared" si="981"/>
        <v>NO</v>
      </c>
      <c r="S4327">
        <v>1008</v>
      </c>
      <c r="T4327" t="s">
        <v>19</v>
      </c>
      <c r="U4327" t="str">
        <f t="shared" si="982"/>
        <v>Cambridge St</v>
      </c>
      <c r="V4327" t="s">
        <v>101</v>
      </c>
      <c r="W4327" t="str">
        <f t="shared" si="983"/>
        <v>Columbia St</v>
      </c>
      <c r="X4327" t="str">
        <f>IF(ISBLANK(S4327),"Intersection","Non-Intersection")</f>
        <v>Non-Intersection</v>
      </c>
      <c r="Y4327" t="s">
        <v>5030</v>
      </c>
      <c r="Z4327" t="str">
        <f t="shared" si="984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971"/>
        <v>40909</v>
      </c>
      <c r="D4328" s="4">
        <f t="shared" si="972"/>
        <v>0.78415300546448086</v>
      </c>
      <c r="E4328" s="3">
        <f t="shared" si="973"/>
        <v>2012</v>
      </c>
      <c r="F4328" s="3">
        <f t="shared" si="974"/>
        <v>10</v>
      </c>
      <c r="G4328" s="3">
        <f t="shared" si="975"/>
        <v>14</v>
      </c>
      <c r="H4328" s="3">
        <f t="shared" si="976"/>
        <v>16</v>
      </c>
      <c r="I4328" s="3">
        <f t="shared" si="977"/>
        <v>44</v>
      </c>
      <c r="J4328" s="3">
        <f t="shared" si="978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979"/>
        <v>YES</v>
      </c>
      <c r="Q4328" t="str">
        <f t="shared" si="980"/>
        <v>NO</v>
      </c>
      <c r="R4328" t="str">
        <f t="shared" si="981"/>
        <v>NO</v>
      </c>
      <c r="T4328" t="s">
        <v>1062</v>
      </c>
      <c r="U4328" t="str">
        <f t="shared" si="982"/>
        <v>Cambridgeside Pl</v>
      </c>
      <c r="W4328" t="str">
        <f t="shared" si="983"/>
        <v/>
      </c>
      <c r="X4328" t="str">
        <f>IF(ISBLANK(S4328),"Intersection","Non-Intersection")</f>
        <v>Intersection</v>
      </c>
      <c r="Y4328" t="s">
        <v>1283</v>
      </c>
      <c r="Z4328" t="str">
        <f t="shared" si="984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971"/>
        <v>40909</v>
      </c>
      <c r="D4329" s="4">
        <f t="shared" si="972"/>
        <v>0.78688524590163933</v>
      </c>
      <c r="E4329" s="3">
        <f t="shared" si="973"/>
        <v>2012</v>
      </c>
      <c r="F4329" s="3">
        <f t="shared" si="974"/>
        <v>10</v>
      </c>
      <c r="G4329" s="3">
        <f t="shared" si="975"/>
        <v>15</v>
      </c>
      <c r="H4329" s="3">
        <f t="shared" si="976"/>
        <v>13</v>
      </c>
      <c r="I4329" s="3">
        <f t="shared" si="977"/>
        <v>9</v>
      </c>
      <c r="J4329" s="3">
        <f t="shared" si="978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979"/>
        <v>YES</v>
      </c>
      <c r="Q4329" t="str">
        <f t="shared" si="980"/>
        <v>NO</v>
      </c>
      <c r="R4329" t="str">
        <f t="shared" si="981"/>
        <v>NO</v>
      </c>
      <c r="T4329" t="s">
        <v>198</v>
      </c>
      <c r="U4329" t="str">
        <f t="shared" si="982"/>
        <v>Mount Auburn St</v>
      </c>
      <c r="V4329" t="s">
        <v>464</v>
      </c>
      <c r="W4329" t="str">
        <f t="shared" si="983"/>
        <v>Aberdeen Way</v>
      </c>
      <c r="X4329" t="str">
        <f>IF(ISBLANK(S4329),"Intersection","Non-Intersection")</f>
        <v>Intersection</v>
      </c>
      <c r="Y4329" t="s">
        <v>1666</v>
      </c>
      <c r="Z4329" t="str">
        <f t="shared" si="984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971"/>
        <v>40909</v>
      </c>
      <c r="D4330" s="4">
        <f t="shared" si="972"/>
        <v>0.7896174863387978</v>
      </c>
      <c r="E4330" s="3">
        <f t="shared" si="973"/>
        <v>2012</v>
      </c>
      <c r="F4330" s="3">
        <f t="shared" si="974"/>
        <v>10</v>
      </c>
      <c r="G4330" s="3">
        <f t="shared" si="975"/>
        <v>16</v>
      </c>
      <c r="H4330" s="3">
        <f t="shared" si="976"/>
        <v>12</v>
      </c>
      <c r="I4330" s="3">
        <f t="shared" si="977"/>
        <v>10</v>
      </c>
      <c r="J4330" s="3">
        <f t="shared" si="978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979"/>
        <v>YES</v>
      </c>
      <c r="Q4330" t="str">
        <f t="shared" si="980"/>
        <v>NO</v>
      </c>
      <c r="R4330" t="str">
        <f t="shared" si="981"/>
        <v>YES</v>
      </c>
      <c r="T4330" t="s">
        <v>14</v>
      </c>
      <c r="U4330" t="str">
        <f t="shared" si="982"/>
        <v>Massachusetts Ave</v>
      </c>
      <c r="V4330" t="s">
        <v>66</v>
      </c>
      <c r="W4330" t="str">
        <f t="shared" si="983"/>
        <v>Dudley St</v>
      </c>
      <c r="X4330" t="str">
        <f>IF(ISBLANK(S4330),"Intersection","Non-Intersection")</f>
        <v>Intersection</v>
      </c>
      <c r="Y4330" t="s">
        <v>5032</v>
      </c>
      <c r="Z4330" t="str">
        <f t="shared" si="984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971"/>
        <v>40909</v>
      </c>
      <c r="D4331" s="4">
        <f t="shared" si="972"/>
        <v>0.7896174863387978</v>
      </c>
      <c r="E4331" s="3">
        <f t="shared" si="973"/>
        <v>2012</v>
      </c>
      <c r="F4331" s="3">
        <f t="shared" si="974"/>
        <v>10</v>
      </c>
      <c r="G4331" s="3">
        <f t="shared" si="975"/>
        <v>16</v>
      </c>
      <c r="H4331" s="3">
        <f t="shared" si="976"/>
        <v>17</v>
      </c>
      <c r="I4331" s="3">
        <f t="shared" si="977"/>
        <v>6</v>
      </c>
      <c r="J4331" s="3">
        <f t="shared" si="978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979"/>
        <v>YES</v>
      </c>
      <c r="Q4331" t="str">
        <f t="shared" si="980"/>
        <v>NO</v>
      </c>
      <c r="R4331" t="str">
        <f t="shared" si="981"/>
        <v>YES</v>
      </c>
      <c r="T4331" t="s">
        <v>138</v>
      </c>
      <c r="U4331" t="str">
        <f t="shared" si="982"/>
        <v>Felton St</v>
      </c>
      <c r="W4331" t="str">
        <f t="shared" si="983"/>
        <v/>
      </c>
      <c r="X4331" t="str">
        <f>IF(ISBLANK(S4331),"Intersection","Non-Intersection")</f>
        <v>Intersection</v>
      </c>
      <c r="Y4331" t="s">
        <v>5033</v>
      </c>
      <c r="Z4331" t="str">
        <f t="shared" si="984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971"/>
        <v>40909</v>
      </c>
      <c r="D4332" s="4">
        <f t="shared" si="972"/>
        <v>0.79234972677595628</v>
      </c>
      <c r="E4332" s="3">
        <f t="shared" si="973"/>
        <v>2012</v>
      </c>
      <c r="F4332" s="3">
        <f t="shared" si="974"/>
        <v>10</v>
      </c>
      <c r="G4332" s="3">
        <f t="shared" si="975"/>
        <v>17</v>
      </c>
      <c r="H4332" s="3">
        <f t="shared" si="976"/>
        <v>9</v>
      </c>
      <c r="I4332" s="3">
        <f t="shared" si="977"/>
        <v>34</v>
      </c>
      <c r="J4332" s="3">
        <f t="shared" si="978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979"/>
        <v>YES</v>
      </c>
      <c r="Q4332" t="str">
        <f t="shared" si="980"/>
        <v>NO</v>
      </c>
      <c r="R4332" t="str">
        <f t="shared" si="981"/>
        <v>NO</v>
      </c>
      <c r="S4332">
        <v>1</v>
      </c>
      <c r="T4332" t="s">
        <v>203</v>
      </c>
      <c r="U4332" t="str">
        <f t="shared" si="982"/>
        <v>Memorial Dr</v>
      </c>
      <c r="W4332" t="str">
        <f t="shared" si="983"/>
        <v/>
      </c>
      <c r="X4332" t="str">
        <f>IF(ISBLANK(S4332),"Intersection","Non-Intersection")</f>
        <v>Non-Intersection</v>
      </c>
      <c r="Y4332" t="s">
        <v>5034</v>
      </c>
      <c r="Z4332" t="str">
        <f t="shared" si="984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971"/>
        <v>40909</v>
      </c>
      <c r="D4333" s="4">
        <f t="shared" si="972"/>
        <v>0.79234972677595628</v>
      </c>
      <c r="E4333" s="3">
        <f t="shared" si="973"/>
        <v>2012</v>
      </c>
      <c r="F4333" s="3">
        <f t="shared" si="974"/>
        <v>10</v>
      </c>
      <c r="G4333" s="3">
        <f t="shared" si="975"/>
        <v>17</v>
      </c>
      <c r="H4333" s="3">
        <f t="shared" si="976"/>
        <v>9</v>
      </c>
      <c r="I4333" s="3">
        <f t="shared" si="977"/>
        <v>56</v>
      </c>
      <c r="J4333" s="3">
        <f t="shared" si="978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979"/>
        <v>NO</v>
      </c>
      <c r="Q4333" t="str">
        <f t="shared" si="980"/>
        <v>NO</v>
      </c>
      <c r="R4333" t="str">
        <f t="shared" si="981"/>
        <v>YES</v>
      </c>
      <c r="T4333" t="s">
        <v>19</v>
      </c>
      <c r="U4333" t="str">
        <f t="shared" si="982"/>
        <v>Cambridge St</v>
      </c>
      <c r="V4333" t="s">
        <v>101</v>
      </c>
      <c r="W4333" t="str">
        <f t="shared" si="983"/>
        <v>Columbia St</v>
      </c>
      <c r="X4333" t="str">
        <f>IF(ISBLANK(S4333),"Intersection","Non-Intersection")</f>
        <v>Intersection</v>
      </c>
      <c r="Y4333" t="s">
        <v>438</v>
      </c>
      <c r="Z4333" t="str">
        <f t="shared" si="984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971"/>
        <v>40909</v>
      </c>
      <c r="D4334" s="4">
        <f t="shared" si="972"/>
        <v>0.79234972677595628</v>
      </c>
      <c r="E4334" s="3">
        <f t="shared" si="973"/>
        <v>2012</v>
      </c>
      <c r="F4334" s="3">
        <f t="shared" si="974"/>
        <v>10</v>
      </c>
      <c r="G4334" s="3">
        <f t="shared" si="975"/>
        <v>17</v>
      </c>
      <c r="H4334" s="3">
        <f t="shared" si="976"/>
        <v>17</v>
      </c>
      <c r="I4334" s="3">
        <f t="shared" si="977"/>
        <v>46</v>
      </c>
      <c r="J4334" s="3">
        <f t="shared" si="978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979"/>
        <v>YES</v>
      </c>
      <c r="Q4334" t="str">
        <f t="shared" si="980"/>
        <v>YES</v>
      </c>
      <c r="R4334" t="str">
        <f t="shared" si="981"/>
        <v>NO</v>
      </c>
      <c r="T4334" t="s">
        <v>19</v>
      </c>
      <c r="U4334" t="str">
        <f t="shared" si="982"/>
        <v>Cambridge St</v>
      </c>
      <c r="V4334" t="s">
        <v>189</v>
      </c>
      <c r="W4334" t="str">
        <f t="shared" si="983"/>
        <v>Windsor St</v>
      </c>
      <c r="X4334" t="str">
        <f>IF(ISBLANK(S4334),"Intersection","Non-Intersection")</f>
        <v>Intersection</v>
      </c>
      <c r="Y4334" t="s">
        <v>244</v>
      </c>
      <c r="Z4334" t="str">
        <f t="shared" si="984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971"/>
        <v>40909</v>
      </c>
      <c r="D4335" s="4">
        <f t="shared" si="972"/>
        <v>0.79234972677595628</v>
      </c>
      <c r="E4335" s="3">
        <f t="shared" si="973"/>
        <v>2012</v>
      </c>
      <c r="F4335" s="3">
        <f t="shared" si="974"/>
        <v>10</v>
      </c>
      <c r="G4335" s="3">
        <f t="shared" si="975"/>
        <v>17</v>
      </c>
      <c r="H4335" s="3">
        <f t="shared" si="976"/>
        <v>16</v>
      </c>
      <c r="I4335" s="3">
        <f t="shared" si="977"/>
        <v>54</v>
      </c>
      <c r="J4335" s="3">
        <f t="shared" si="978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979"/>
        <v>YES</v>
      </c>
      <c r="Q4335" t="str">
        <f t="shared" si="980"/>
        <v>NO</v>
      </c>
      <c r="R4335" t="str">
        <f t="shared" si="981"/>
        <v>NO</v>
      </c>
      <c r="S4335">
        <v>1030</v>
      </c>
      <c r="T4335" t="s">
        <v>19</v>
      </c>
      <c r="U4335" t="str">
        <f t="shared" si="982"/>
        <v>Cambridge St</v>
      </c>
      <c r="W4335" t="str">
        <f t="shared" si="983"/>
        <v/>
      </c>
      <c r="X4335" t="str">
        <f>IF(ISBLANK(S4335),"Intersection","Non-Intersection")</f>
        <v>Non-Intersection</v>
      </c>
      <c r="Y4335" t="s">
        <v>4669</v>
      </c>
      <c r="Z4335" t="str">
        <f t="shared" si="984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971"/>
        <v>40909</v>
      </c>
      <c r="D4336" s="4">
        <f t="shared" si="972"/>
        <v>0.79234972677595628</v>
      </c>
      <c r="E4336" s="3">
        <f t="shared" si="973"/>
        <v>2012</v>
      </c>
      <c r="F4336" s="3">
        <f t="shared" si="974"/>
        <v>10</v>
      </c>
      <c r="G4336" s="3">
        <f t="shared" si="975"/>
        <v>17</v>
      </c>
      <c r="H4336" s="3">
        <f t="shared" si="976"/>
        <v>18</v>
      </c>
      <c r="I4336" s="3">
        <f t="shared" si="977"/>
        <v>24</v>
      </c>
      <c r="J4336" s="3">
        <f t="shared" si="978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979"/>
        <v>YES</v>
      </c>
      <c r="Q4336" t="str">
        <f t="shared" si="980"/>
        <v>YES</v>
      </c>
      <c r="R4336" t="str">
        <f t="shared" si="981"/>
        <v>NO</v>
      </c>
      <c r="T4336" t="s">
        <v>74</v>
      </c>
      <c r="U4336" t="str">
        <f t="shared" si="982"/>
        <v>Hampshire St</v>
      </c>
      <c r="V4336" t="s">
        <v>75</v>
      </c>
      <c r="W4336" t="str">
        <f t="shared" si="983"/>
        <v>Elm St</v>
      </c>
      <c r="X4336" t="str">
        <f>IF(ISBLANK(S4336),"Intersection","Non-Intersection")</f>
        <v>Intersection</v>
      </c>
      <c r="Y4336" t="s">
        <v>76</v>
      </c>
      <c r="Z4336" t="str">
        <f t="shared" si="984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971"/>
        <v>40909</v>
      </c>
      <c r="D4337" s="4">
        <f t="shared" si="972"/>
        <v>0.79508196721311475</v>
      </c>
      <c r="E4337" s="3">
        <f t="shared" si="973"/>
        <v>2012</v>
      </c>
      <c r="F4337" s="3">
        <f t="shared" si="974"/>
        <v>10</v>
      </c>
      <c r="G4337" s="3">
        <f t="shared" si="975"/>
        <v>18</v>
      </c>
      <c r="H4337" s="3">
        <f t="shared" si="976"/>
        <v>6</v>
      </c>
      <c r="I4337" s="3">
        <f t="shared" si="977"/>
        <v>0</v>
      </c>
      <c r="J4337" s="3">
        <f t="shared" si="978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979"/>
        <v>YES</v>
      </c>
      <c r="Q4337" t="str">
        <f t="shared" si="980"/>
        <v>NO</v>
      </c>
      <c r="R4337" t="str">
        <f t="shared" si="981"/>
        <v>NO</v>
      </c>
      <c r="S4337">
        <v>22</v>
      </c>
      <c r="T4337" t="s">
        <v>1320</v>
      </c>
      <c r="U4337" t="str">
        <f t="shared" si="982"/>
        <v>Craigie St</v>
      </c>
      <c r="W4337" t="str">
        <f t="shared" si="983"/>
        <v/>
      </c>
      <c r="X4337" t="str">
        <f>IF(ISBLANK(S4337),"Intersection","Non-Intersection")</f>
        <v>Non-Intersection</v>
      </c>
      <c r="Y4337" t="s">
        <v>5036</v>
      </c>
      <c r="Z4337" t="str">
        <f t="shared" si="984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971"/>
        <v>40909</v>
      </c>
      <c r="D4338" s="4">
        <f t="shared" si="972"/>
        <v>0.79508196721311475</v>
      </c>
      <c r="E4338" s="3">
        <f t="shared" si="973"/>
        <v>2012</v>
      </c>
      <c r="F4338" s="3">
        <f t="shared" si="974"/>
        <v>10</v>
      </c>
      <c r="G4338" s="3">
        <f t="shared" si="975"/>
        <v>18</v>
      </c>
      <c r="H4338" s="3">
        <f t="shared" si="976"/>
        <v>12</v>
      </c>
      <c r="I4338" s="3">
        <f t="shared" si="977"/>
        <v>0</v>
      </c>
      <c r="J4338" s="3">
        <f t="shared" si="978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979"/>
        <v>YES</v>
      </c>
      <c r="Q4338" t="str">
        <f t="shared" si="980"/>
        <v>NO</v>
      </c>
      <c r="R4338" t="str">
        <f t="shared" si="981"/>
        <v>NO</v>
      </c>
      <c r="T4338" t="s">
        <v>32</v>
      </c>
      <c r="U4338" t="str">
        <f t="shared" si="982"/>
        <v>Main St</v>
      </c>
      <c r="V4338" t="s">
        <v>796</v>
      </c>
      <c r="W4338" t="str">
        <f t="shared" si="983"/>
        <v>Portland St</v>
      </c>
      <c r="X4338" t="str">
        <f>IF(ISBLANK(S4338),"Intersection","Non-Intersection")</f>
        <v>Intersection</v>
      </c>
      <c r="Y4338" t="s">
        <v>932</v>
      </c>
      <c r="Z4338" t="str">
        <f t="shared" si="984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971"/>
        <v>40909</v>
      </c>
      <c r="D4339" s="4">
        <f t="shared" si="972"/>
        <v>0.79508196721311475</v>
      </c>
      <c r="E4339" s="3">
        <f t="shared" si="973"/>
        <v>2012</v>
      </c>
      <c r="F4339" s="3">
        <f t="shared" si="974"/>
        <v>10</v>
      </c>
      <c r="G4339" s="3">
        <f t="shared" si="975"/>
        <v>18</v>
      </c>
      <c r="H4339" s="3">
        <f t="shared" si="976"/>
        <v>15</v>
      </c>
      <c r="I4339" s="3">
        <f t="shared" si="977"/>
        <v>59</v>
      </c>
      <c r="J4339" s="3">
        <f t="shared" si="978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979"/>
        <v>YES</v>
      </c>
      <c r="Q4339" t="str">
        <f t="shared" si="980"/>
        <v>YES</v>
      </c>
      <c r="R4339" t="str">
        <f t="shared" si="981"/>
        <v>NO</v>
      </c>
      <c r="T4339" t="s">
        <v>4327</v>
      </c>
      <c r="U4339" t="str">
        <f t="shared" si="982"/>
        <v>Banks St</v>
      </c>
      <c r="V4339" t="s">
        <v>198</v>
      </c>
      <c r="W4339" t="str">
        <f t="shared" si="983"/>
        <v>Mount Auburn St</v>
      </c>
      <c r="X4339" t="str">
        <f>IF(ISBLANK(S4339),"Intersection","Non-Intersection")</f>
        <v>Intersection</v>
      </c>
      <c r="Y4339" t="s">
        <v>5038</v>
      </c>
      <c r="Z4339" t="str">
        <f t="shared" si="984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971"/>
        <v>40909</v>
      </c>
      <c r="D4340" s="4">
        <f t="shared" si="972"/>
        <v>0.79508196721311475</v>
      </c>
      <c r="E4340" s="3">
        <f t="shared" si="973"/>
        <v>2012</v>
      </c>
      <c r="F4340" s="3">
        <f t="shared" si="974"/>
        <v>10</v>
      </c>
      <c r="G4340" s="3">
        <f t="shared" si="975"/>
        <v>18</v>
      </c>
      <c r="H4340" s="3">
        <f t="shared" si="976"/>
        <v>10</v>
      </c>
      <c r="I4340" s="3">
        <f t="shared" si="977"/>
        <v>8</v>
      </c>
      <c r="J4340" s="3">
        <f t="shared" si="978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979"/>
        <v>YES</v>
      </c>
      <c r="Q4340" t="str">
        <f t="shared" si="980"/>
        <v>NO</v>
      </c>
      <c r="R4340" t="str">
        <f t="shared" si="981"/>
        <v>NO</v>
      </c>
      <c r="S4340">
        <v>2</v>
      </c>
      <c r="T4340" t="s">
        <v>351</v>
      </c>
      <c r="U4340" t="str">
        <f t="shared" si="982"/>
        <v>Cambridge Ctr</v>
      </c>
      <c r="W4340" t="str">
        <f t="shared" si="983"/>
        <v/>
      </c>
      <c r="X4340" t="str">
        <f>IF(ISBLANK(S4340),"Intersection","Non-Intersection")</f>
        <v>Non-Intersection</v>
      </c>
      <c r="Y4340" t="s">
        <v>3068</v>
      </c>
      <c r="Z4340" t="str">
        <f t="shared" si="984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971"/>
        <v>40909</v>
      </c>
      <c r="D4341" s="4">
        <f t="shared" si="972"/>
        <v>0.79508196721311475</v>
      </c>
      <c r="E4341" s="3">
        <f t="shared" si="973"/>
        <v>2012</v>
      </c>
      <c r="F4341" s="3">
        <f t="shared" si="974"/>
        <v>10</v>
      </c>
      <c r="G4341" s="3">
        <f t="shared" si="975"/>
        <v>18</v>
      </c>
      <c r="H4341" s="3">
        <f t="shared" si="976"/>
        <v>10</v>
      </c>
      <c r="I4341" s="3">
        <f t="shared" si="977"/>
        <v>30</v>
      </c>
      <c r="J4341" s="3">
        <f t="shared" si="978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979"/>
        <v>YES</v>
      </c>
      <c r="Q4341" t="str">
        <f t="shared" si="980"/>
        <v>NO</v>
      </c>
      <c r="R4341" t="str">
        <f t="shared" si="981"/>
        <v>NO</v>
      </c>
      <c r="T4341" t="s">
        <v>14</v>
      </c>
      <c r="U4341" t="str">
        <f t="shared" si="982"/>
        <v>Massachusetts Ave</v>
      </c>
      <c r="V4341" t="s">
        <v>302</v>
      </c>
      <c r="W4341" t="str">
        <f t="shared" si="983"/>
        <v>Waterhouse St</v>
      </c>
      <c r="X4341" t="str">
        <f>IF(ISBLANK(S4341),"Intersection","Non-Intersection")</f>
        <v>Intersection</v>
      </c>
      <c r="Y4341" t="s">
        <v>303</v>
      </c>
      <c r="Z4341" t="str">
        <f t="shared" si="984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971"/>
        <v>40909</v>
      </c>
      <c r="D4342" s="4">
        <f t="shared" si="972"/>
        <v>0.79508196721311475</v>
      </c>
      <c r="E4342" s="3">
        <f t="shared" si="973"/>
        <v>2012</v>
      </c>
      <c r="F4342" s="3">
        <f t="shared" si="974"/>
        <v>10</v>
      </c>
      <c r="G4342" s="3">
        <f t="shared" si="975"/>
        <v>18</v>
      </c>
      <c r="H4342" s="3">
        <f t="shared" si="976"/>
        <v>14</v>
      </c>
      <c r="I4342" s="3">
        <f t="shared" si="977"/>
        <v>29</v>
      </c>
      <c r="J4342" s="3">
        <f t="shared" si="978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979"/>
        <v>YES</v>
      </c>
      <c r="Q4342" t="str">
        <f t="shared" si="980"/>
        <v>NO</v>
      </c>
      <c r="R4342" t="str">
        <f t="shared" si="981"/>
        <v>NO</v>
      </c>
      <c r="S4342">
        <v>784</v>
      </c>
      <c r="T4342" t="s">
        <v>203</v>
      </c>
      <c r="U4342" t="str">
        <f t="shared" si="982"/>
        <v>Memorial Dr</v>
      </c>
      <c r="W4342" t="str">
        <f t="shared" si="983"/>
        <v/>
      </c>
      <c r="X4342" t="str">
        <f>IF(ISBLANK(S4342),"Intersection","Non-Intersection")</f>
        <v>Non-Intersection</v>
      </c>
      <c r="Y4342" t="s">
        <v>3562</v>
      </c>
      <c r="Z4342" t="str">
        <f t="shared" si="984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971"/>
        <v>40909</v>
      </c>
      <c r="D4343" s="4">
        <f t="shared" si="972"/>
        <v>0.79781420765027322</v>
      </c>
      <c r="E4343" s="3">
        <f t="shared" si="973"/>
        <v>2012</v>
      </c>
      <c r="F4343" s="3">
        <f t="shared" si="974"/>
        <v>10</v>
      </c>
      <c r="G4343" s="3">
        <f t="shared" si="975"/>
        <v>19</v>
      </c>
      <c r="H4343" s="3">
        <f t="shared" si="976"/>
        <v>0</v>
      </c>
      <c r="I4343" s="3">
        <f t="shared" si="977"/>
        <v>20</v>
      </c>
      <c r="J4343" s="3">
        <f t="shared" si="978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979"/>
        <v>YES</v>
      </c>
      <c r="Q4343" t="str">
        <f t="shared" si="980"/>
        <v>NO</v>
      </c>
      <c r="R4343" t="str">
        <f t="shared" si="981"/>
        <v>NO</v>
      </c>
      <c r="T4343" t="s">
        <v>14</v>
      </c>
      <c r="U4343" t="str">
        <f t="shared" si="982"/>
        <v>Massachusetts Ave</v>
      </c>
      <c r="V4343" t="s">
        <v>195</v>
      </c>
      <c r="W4343" t="str">
        <f t="shared" si="983"/>
        <v>Sidney St</v>
      </c>
      <c r="X4343" t="str">
        <f>IF(ISBLANK(S4343),"Intersection","Non-Intersection")</f>
        <v>Intersection</v>
      </c>
      <c r="Y4343" t="s">
        <v>196</v>
      </c>
      <c r="Z4343" t="str">
        <f t="shared" si="984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971"/>
        <v>40909</v>
      </c>
      <c r="D4344" s="4">
        <f t="shared" si="972"/>
        <v>0.79781420765027322</v>
      </c>
      <c r="E4344" s="3">
        <f t="shared" si="973"/>
        <v>2012</v>
      </c>
      <c r="F4344" s="3">
        <f t="shared" si="974"/>
        <v>10</v>
      </c>
      <c r="G4344" s="3">
        <f t="shared" si="975"/>
        <v>19</v>
      </c>
      <c r="H4344" s="3">
        <f t="shared" si="976"/>
        <v>14</v>
      </c>
      <c r="I4344" s="3">
        <f t="shared" si="977"/>
        <v>19</v>
      </c>
      <c r="J4344" s="3">
        <f t="shared" si="978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979"/>
        <v>YES</v>
      </c>
      <c r="Q4344" t="str">
        <f t="shared" si="980"/>
        <v>NO</v>
      </c>
      <c r="R4344" t="str">
        <f t="shared" si="981"/>
        <v>NO</v>
      </c>
      <c r="T4344" t="s">
        <v>147</v>
      </c>
      <c r="U4344" t="str">
        <f t="shared" si="982"/>
        <v>Sixth St</v>
      </c>
      <c r="V4344" t="s">
        <v>698</v>
      </c>
      <c r="W4344" t="str">
        <f t="shared" si="983"/>
        <v>Thorndike St</v>
      </c>
      <c r="X4344" t="str">
        <f>IF(ISBLANK(S4344),"Intersection","Non-Intersection")</f>
        <v>Intersection</v>
      </c>
      <c r="Y4344" t="s">
        <v>2035</v>
      </c>
      <c r="Z4344" t="str">
        <f t="shared" si="984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971"/>
        <v>40909</v>
      </c>
      <c r="D4345" s="4">
        <f t="shared" si="972"/>
        <v>0.79781420765027322</v>
      </c>
      <c r="E4345" s="3">
        <f t="shared" si="973"/>
        <v>2012</v>
      </c>
      <c r="F4345" s="3">
        <f t="shared" si="974"/>
        <v>10</v>
      </c>
      <c r="G4345" s="3">
        <f t="shared" si="975"/>
        <v>19</v>
      </c>
      <c r="H4345" s="3">
        <f t="shared" si="976"/>
        <v>15</v>
      </c>
      <c r="I4345" s="3">
        <f t="shared" si="977"/>
        <v>42</v>
      </c>
      <c r="J4345" s="3">
        <f t="shared" si="978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979"/>
        <v>YES</v>
      </c>
      <c r="Q4345" t="str">
        <f t="shared" si="980"/>
        <v>NO</v>
      </c>
      <c r="R4345" t="str">
        <f t="shared" si="981"/>
        <v>NO</v>
      </c>
      <c r="S4345" s="2">
        <v>42339</v>
      </c>
      <c r="T4345" t="s">
        <v>335</v>
      </c>
      <c r="U4345" t="str">
        <f t="shared" si="982"/>
        <v>Ware St</v>
      </c>
      <c r="W4345" t="str">
        <f t="shared" si="983"/>
        <v/>
      </c>
      <c r="X4345" t="str">
        <f>IF(ISBLANK(S4345),"Intersection","Non-Intersection")</f>
        <v>Non-Intersection</v>
      </c>
      <c r="Y4345" t="s">
        <v>5040</v>
      </c>
      <c r="Z4345" t="str">
        <f t="shared" si="984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971"/>
        <v>40909</v>
      </c>
      <c r="D4346" s="4">
        <f t="shared" si="972"/>
        <v>0.79781420765027322</v>
      </c>
      <c r="E4346" s="3">
        <f t="shared" si="973"/>
        <v>2012</v>
      </c>
      <c r="F4346" s="3">
        <f t="shared" si="974"/>
        <v>10</v>
      </c>
      <c r="G4346" s="3">
        <f t="shared" si="975"/>
        <v>19</v>
      </c>
      <c r="H4346" s="3">
        <f t="shared" si="976"/>
        <v>20</v>
      </c>
      <c r="I4346" s="3">
        <f t="shared" si="977"/>
        <v>7</v>
      </c>
      <c r="J4346" s="3">
        <f t="shared" si="978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979"/>
        <v>YES</v>
      </c>
      <c r="Q4346" t="str">
        <f t="shared" si="980"/>
        <v>NO</v>
      </c>
      <c r="R4346" t="str">
        <f t="shared" si="981"/>
        <v>NO</v>
      </c>
      <c r="T4346" t="s">
        <v>105</v>
      </c>
      <c r="U4346" t="str">
        <f t="shared" si="982"/>
        <v>Broadway</v>
      </c>
      <c r="V4346" t="s">
        <v>498</v>
      </c>
      <c r="W4346" t="str">
        <f t="shared" si="983"/>
        <v>Ellery St</v>
      </c>
      <c r="X4346" t="str">
        <f>IF(ISBLANK(S4346),"Intersection","Non-Intersection")</f>
        <v>Intersection</v>
      </c>
      <c r="Y4346" t="s">
        <v>499</v>
      </c>
      <c r="Z4346" t="str">
        <f t="shared" si="984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985">EOMONTH(B4347,MONTH(B4347)*-1)+1</f>
        <v>40909</v>
      </c>
      <c r="D4347" s="4">
        <f t="shared" ref="D4347:D4408" si="986">YEARFRAC(C4347,B4347,1)</f>
        <v>0.79781420765027322</v>
      </c>
      <c r="E4347" s="3">
        <f t="shared" ref="E4347:E4408" si="987">YEAR(B4347)</f>
        <v>2012</v>
      </c>
      <c r="F4347" s="3">
        <f t="shared" ref="F4347:F4408" si="988">MONTH(B4347)</f>
        <v>10</v>
      </c>
      <c r="G4347" s="3">
        <f t="shared" ref="G4347:G4408" si="989">DAY(B4347)</f>
        <v>19</v>
      </c>
      <c r="H4347" s="3">
        <f t="shared" ref="H4347:H4408" si="990">HOUR(B4347)</f>
        <v>11</v>
      </c>
      <c r="I4347" s="3">
        <f t="shared" ref="I4347:I4408" si="991">MINUTE(B4347)</f>
        <v>39</v>
      </c>
      <c r="J4347" s="3">
        <f t="shared" ref="J4347:J4408" si="992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993">IF(OR(N4347="Auto",O4347="Auto"),"YES",IF(OR(N4347="Taxi",O4347="Taxi"),"YES",IF(OR(N4347="Van",O4347="Van"),"YES",IF(OR(N4347="Truck",O4347="Truck"),"YES","NO"))))</f>
        <v>YES</v>
      </c>
      <c r="Q4347" t="str">
        <f t="shared" ref="Q4347:Q4408" si="994">IF(OR(N4347="Bicycle",O4347="Bicycle"),"YES","NO")</f>
        <v>NO</v>
      </c>
      <c r="R4347" t="str">
        <f t="shared" ref="R4347:R4408" si="995">IF(OR(N4347="Pedestrian",O4347="Pedestrian"),"YES","NO")</f>
        <v>NO</v>
      </c>
      <c r="T4347" t="s">
        <v>27</v>
      </c>
      <c r="U4347" t="str">
        <f t="shared" si="982"/>
        <v>Western Ave</v>
      </c>
      <c r="V4347" t="s">
        <v>509</v>
      </c>
      <c r="W4347" t="str">
        <f t="shared" si="983"/>
        <v>Green St</v>
      </c>
      <c r="X4347" t="str">
        <f>IF(ISBLANK(S4347),"Intersection","Non-Intersection")</f>
        <v>Intersection</v>
      </c>
      <c r="Y4347" t="s">
        <v>571</v>
      </c>
      <c r="Z4347" t="str">
        <f t="shared" si="984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985"/>
        <v>40909</v>
      </c>
      <c r="D4348" s="4">
        <f t="shared" si="986"/>
        <v>0.80054644808743169</v>
      </c>
      <c r="E4348" s="3">
        <f t="shared" si="987"/>
        <v>2012</v>
      </c>
      <c r="F4348" s="3">
        <f t="shared" si="988"/>
        <v>10</v>
      </c>
      <c r="G4348" s="3">
        <f t="shared" si="989"/>
        <v>20</v>
      </c>
      <c r="H4348" s="3">
        <f t="shared" si="990"/>
        <v>6</v>
      </c>
      <c r="I4348" s="3">
        <f t="shared" si="991"/>
        <v>4</v>
      </c>
      <c r="J4348" s="3">
        <f t="shared" si="992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993"/>
        <v>YES</v>
      </c>
      <c r="Q4348" t="str">
        <f t="shared" si="994"/>
        <v>NO</v>
      </c>
      <c r="R4348" t="str">
        <f t="shared" si="995"/>
        <v>NO</v>
      </c>
      <c r="S4348">
        <v>241</v>
      </c>
      <c r="T4348" t="s">
        <v>129</v>
      </c>
      <c r="U4348" t="str">
        <f t="shared" si="982"/>
        <v>Cardinal Medeiros Ave</v>
      </c>
      <c r="W4348" t="str">
        <f t="shared" si="983"/>
        <v/>
      </c>
      <c r="X4348" t="str">
        <f>IF(ISBLANK(S4348),"Intersection","Non-Intersection")</f>
        <v>Non-Intersection</v>
      </c>
      <c r="Y4348" t="s">
        <v>5042</v>
      </c>
      <c r="Z4348" t="str">
        <f t="shared" si="984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985"/>
        <v>40909</v>
      </c>
      <c r="D4349" s="4">
        <f t="shared" si="986"/>
        <v>0.80054644808743169</v>
      </c>
      <c r="E4349" s="3">
        <f t="shared" si="987"/>
        <v>2012</v>
      </c>
      <c r="F4349" s="3">
        <f t="shared" si="988"/>
        <v>10</v>
      </c>
      <c r="G4349" s="3">
        <f t="shared" si="989"/>
        <v>20</v>
      </c>
      <c r="H4349" s="3">
        <f t="shared" si="990"/>
        <v>10</v>
      </c>
      <c r="I4349" s="3">
        <f t="shared" si="991"/>
        <v>2</v>
      </c>
      <c r="J4349" s="3">
        <f t="shared" si="992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993"/>
        <v>YES</v>
      </c>
      <c r="Q4349" t="str">
        <f t="shared" si="994"/>
        <v>NO</v>
      </c>
      <c r="R4349" t="str">
        <f t="shared" si="995"/>
        <v>NO</v>
      </c>
      <c r="S4349">
        <v>70</v>
      </c>
      <c r="T4349" t="s">
        <v>104</v>
      </c>
      <c r="U4349" t="str">
        <f t="shared" si="982"/>
        <v>Inman St</v>
      </c>
      <c r="W4349" t="str">
        <f t="shared" si="983"/>
        <v/>
      </c>
      <c r="X4349" t="str">
        <f>IF(ISBLANK(S4349),"Intersection","Non-Intersection")</f>
        <v>Non-Intersection</v>
      </c>
      <c r="Y4349" t="s">
        <v>4816</v>
      </c>
      <c r="Z4349" t="str">
        <f t="shared" si="984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985"/>
        <v>40909</v>
      </c>
      <c r="D4350" s="4">
        <f t="shared" si="986"/>
        <v>0.80054644808743169</v>
      </c>
      <c r="E4350" s="3">
        <f t="shared" si="987"/>
        <v>2012</v>
      </c>
      <c r="F4350" s="3">
        <f t="shared" si="988"/>
        <v>10</v>
      </c>
      <c r="G4350" s="3">
        <f t="shared" si="989"/>
        <v>20</v>
      </c>
      <c r="H4350" s="3">
        <f t="shared" si="990"/>
        <v>12</v>
      </c>
      <c r="I4350" s="3">
        <f t="shared" si="991"/>
        <v>45</v>
      </c>
      <c r="J4350" s="3">
        <f t="shared" si="992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993"/>
        <v>YES</v>
      </c>
      <c r="Q4350" t="str">
        <f t="shared" si="994"/>
        <v>NO</v>
      </c>
      <c r="R4350" t="str">
        <f t="shared" si="995"/>
        <v>NO</v>
      </c>
      <c r="S4350">
        <v>200</v>
      </c>
      <c r="T4350" t="s">
        <v>170</v>
      </c>
      <c r="U4350" t="str">
        <f t="shared" si="982"/>
        <v>Alewife Brook Pky</v>
      </c>
      <c r="W4350" t="str">
        <f t="shared" si="983"/>
        <v/>
      </c>
      <c r="X4350" t="str">
        <f>IF(ISBLANK(S4350),"Intersection","Non-Intersection")</f>
        <v>Non-Intersection</v>
      </c>
      <c r="Y4350" t="s">
        <v>2274</v>
      </c>
      <c r="Z4350" t="str">
        <f t="shared" si="984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985"/>
        <v>40909</v>
      </c>
      <c r="D4351" s="4">
        <f t="shared" si="986"/>
        <v>0.80054644808743169</v>
      </c>
      <c r="E4351" s="3">
        <f t="shared" si="987"/>
        <v>2012</v>
      </c>
      <c r="F4351" s="3">
        <f t="shared" si="988"/>
        <v>10</v>
      </c>
      <c r="G4351" s="3">
        <f t="shared" si="989"/>
        <v>20</v>
      </c>
      <c r="H4351" s="3">
        <f t="shared" si="990"/>
        <v>14</v>
      </c>
      <c r="I4351" s="3">
        <f t="shared" si="991"/>
        <v>49</v>
      </c>
      <c r="J4351" s="3">
        <f t="shared" si="992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993"/>
        <v>YES</v>
      </c>
      <c r="Q4351" t="str">
        <f t="shared" si="994"/>
        <v>YES</v>
      </c>
      <c r="R4351" t="str">
        <f t="shared" si="995"/>
        <v>NO</v>
      </c>
      <c r="S4351">
        <v>1452</v>
      </c>
      <c r="T4351" t="s">
        <v>19</v>
      </c>
      <c r="U4351" t="str">
        <f t="shared" si="982"/>
        <v>Cambridge St</v>
      </c>
      <c r="W4351" t="str">
        <f t="shared" si="983"/>
        <v/>
      </c>
      <c r="X4351" t="str">
        <f>IF(ISBLANK(S4351),"Intersection","Non-Intersection")</f>
        <v>Non-Intersection</v>
      </c>
      <c r="Y4351" t="s">
        <v>5044</v>
      </c>
      <c r="Z4351" t="str">
        <f t="shared" si="984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985"/>
        <v>40909</v>
      </c>
      <c r="D4352" s="4">
        <f t="shared" si="986"/>
        <v>0.80054644808743169</v>
      </c>
      <c r="E4352" s="3">
        <f t="shared" si="987"/>
        <v>2012</v>
      </c>
      <c r="F4352" s="3">
        <f t="shared" si="988"/>
        <v>10</v>
      </c>
      <c r="G4352" s="3">
        <f t="shared" si="989"/>
        <v>20</v>
      </c>
      <c r="H4352" s="3">
        <f t="shared" si="990"/>
        <v>15</v>
      </c>
      <c r="I4352" s="3">
        <f t="shared" si="991"/>
        <v>0</v>
      </c>
      <c r="J4352" s="3">
        <f t="shared" si="992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993"/>
        <v>YES</v>
      </c>
      <c r="Q4352" t="str">
        <f t="shared" si="994"/>
        <v>NO</v>
      </c>
      <c r="R4352" t="str">
        <f t="shared" si="995"/>
        <v>NO</v>
      </c>
      <c r="S4352">
        <v>20</v>
      </c>
      <c r="T4352" t="s">
        <v>185</v>
      </c>
      <c r="U4352" t="str">
        <f t="shared" si="982"/>
        <v>Garden St</v>
      </c>
      <c r="V4352" t="s">
        <v>351</v>
      </c>
      <c r="W4352" t="str">
        <f t="shared" si="983"/>
        <v>Cambridge Ctr</v>
      </c>
      <c r="X4352" t="str">
        <f>IF(ISBLANK(S4352),"Intersection","Non-Intersection")</f>
        <v>Non-Intersection</v>
      </c>
      <c r="Y4352" t="s">
        <v>5046</v>
      </c>
      <c r="Z4352" t="str">
        <f t="shared" si="984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985"/>
        <v>40909</v>
      </c>
      <c r="D4353" s="4">
        <f t="shared" si="986"/>
        <v>0.80054644808743169</v>
      </c>
      <c r="E4353" s="3">
        <f t="shared" si="987"/>
        <v>2012</v>
      </c>
      <c r="F4353" s="3">
        <f t="shared" si="988"/>
        <v>10</v>
      </c>
      <c r="G4353" s="3">
        <f t="shared" si="989"/>
        <v>20</v>
      </c>
      <c r="H4353" s="3">
        <f t="shared" si="990"/>
        <v>16</v>
      </c>
      <c r="I4353" s="3">
        <f t="shared" si="991"/>
        <v>5</v>
      </c>
      <c r="J4353" s="3">
        <f t="shared" si="992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993"/>
        <v>YES</v>
      </c>
      <c r="Q4353" t="str">
        <f t="shared" si="994"/>
        <v>NO</v>
      </c>
      <c r="R4353" t="str">
        <f t="shared" si="995"/>
        <v>NO</v>
      </c>
      <c r="S4353">
        <v>211</v>
      </c>
      <c r="T4353" t="s">
        <v>170</v>
      </c>
      <c r="U4353" t="str">
        <f t="shared" si="982"/>
        <v>Alewife Brook Pky</v>
      </c>
      <c r="W4353" t="str">
        <f t="shared" si="983"/>
        <v/>
      </c>
      <c r="X4353" t="str">
        <f>IF(ISBLANK(S4353),"Intersection","Non-Intersection")</f>
        <v>Non-Intersection</v>
      </c>
      <c r="Y4353" t="s">
        <v>1359</v>
      </c>
      <c r="Z4353" t="str">
        <f t="shared" si="984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985"/>
        <v>40909</v>
      </c>
      <c r="D4354" s="4">
        <f t="shared" si="986"/>
        <v>0.80327868852459017</v>
      </c>
      <c r="E4354" s="3">
        <f t="shared" si="987"/>
        <v>2012</v>
      </c>
      <c r="F4354" s="3">
        <f t="shared" si="988"/>
        <v>10</v>
      </c>
      <c r="G4354" s="3">
        <f t="shared" si="989"/>
        <v>21</v>
      </c>
      <c r="H4354" s="3">
        <f t="shared" si="990"/>
        <v>2</v>
      </c>
      <c r="I4354" s="3">
        <f t="shared" si="991"/>
        <v>19</v>
      </c>
      <c r="J4354" s="3">
        <f t="shared" si="992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993"/>
        <v>YES</v>
      </c>
      <c r="Q4354" t="str">
        <f t="shared" si="994"/>
        <v>NO</v>
      </c>
      <c r="R4354" t="str">
        <f t="shared" si="995"/>
        <v>NO</v>
      </c>
      <c r="S4354">
        <v>77</v>
      </c>
      <c r="T4354" t="s">
        <v>14</v>
      </c>
      <c r="U4354" t="str">
        <f t="shared" si="982"/>
        <v>Massachusetts Ave</v>
      </c>
      <c r="W4354" t="str">
        <f t="shared" si="983"/>
        <v/>
      </c>
      <c r="X4354" t="str">
        <f>IF(ISBLANK(S4354),"Intersection","Non-Intersection")</f>
        <v>Non-Intersection</v>
      </c>
      <c r="Y4354" t="s">
        <v>415</v>
      </c>
      <c r="Z4354" t="str">
        <f t="shared" si="984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985"/>
        <v>40909</v>
      </c>
      <c r="D4355" s="4">
        <f t="shared" si="986"/>
        <v>0.80327868852459017</v>
      </c>
      <c r="E4355" s="3">
        <f t="shared" si="987"/>
        <v>2012</v>
      </c>
      <c r="F4355" s="3">
        <f t="shared" si="988"/>
        <v>10</v>
      </c>
      <c r="G4355" s="3">
        <f t="shared" si="989"/>
        <v>21</v>
      </c>
      <c r="H4355" s="3">
        <f t="shared" si="990"/>
        <v>15</v>
      </c>
      <c r="I4355" s="3">
        <f t="shared" si="991"/>
        <v>30</v>
      </c>
      <c r="J4355" s="3">
        <f t="shared" si="992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993"/>
        <v>YES</v>
      </c>
      <c r="Q4355" t="str">
        <f t="shared" si="994"/>
        <v>YES</v>
      </c>
      <c r="R4355" t="str">
        <f t="shared" si="995"/>
        <v>NO</v>
      </c>
      <c r="T4355" t="s">
        <v>19</v>
      </c>
      <c r="U4355" t="str">
        <f t="shared" ref="U4355:U4418" si="996">TRIM(PROPER(T4355))</f>
        <v>Cambridge St</v>
      </c>
      <c r="V4355" t="s">
        <v>410</v>
      </c>
      <c r="W4355" t="str">
        <f t="shared" ref="W4355:W4418" si="997">TRIM(PROPER(V4355))</f>
        <v>Highland Ave</v>
      </c>
      <c r="X4355" t="str">
        <f>IF(ISBLANK(S4355),"Intersection","Non-Intersection")</f>
        <v>Intersection</v>
      </c>
      <c r="Y4355" t="s">
        <v>3667</v>
      </c>
      <c r="Z4355" t="str">
        <f t="shared" ref="Z4355:Z4418" si="998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985"/>
        <v>40909</v>
      </c>
      <c r="D4356" s="4">
        <f t="shared" si="986"/>
        <v>0.80327868852459017</v>
      </c>
      <c r="E4356" s="3">
        <f t="shared" si="987"/>
        <v>2012</v>
      </c>
      <c r="F4356" s="3">
        <f t="shared" si="988"/>
        <v>10</v>
      </c>
      <c r="G4356" s="3">
        <f t="shared" si="989"/>
        <v>21</v>
      </c>
      <c r="H4356" s="3">
        <f t="shared" si="990"/>
        <v>22</v>
      </c>
      <c r="I4356" s="3">
        <f t="shared" si="991"/>
        <v>27</v>
      </c>
      <c r="J4356" s="3">
        <f t="shared" si="992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993"/>
        <v>YES</v>
      </c>
      <c r="Q4356" t="str">
        <f t="shared" si="994"/>
        <v>NO</v>
      </c>
      <c r="R4356" t="str">
        <f t="shared" si="995"/>
        <v>NO</v>
      </c>
      <c r="S4356">
        <v>90</v>
      </c>
      <c r="T4356" t="s">
        <v>27</v>
      </c>
      <c r="U4356" t="str">
        <f t="shared" si="996"/>
        <v>Western Ave</v>
      </c>
      <c r="W4356" t="str">
        <f t="shared" si="997"/>
        <v/>
      </c>
      <c r="X4356" t="str">
        <f>IF(ISBLANK(S4356),"Intersection","Non-Intersection")</f>
        <v>Non-Intersection</v>
      </c>
      <c r="Y4356" t="s">
        <v>5048</v>
      </c>
      <c r="Z4356" t="str">
        <f t="shared" si="998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985"/>
        <v>40909</v>
      </c>
      <c r="D4357" s="4">
        <f t="shared" si="986"/>
        <v>0.80601092896174864</v>
      </c>
      <c r="E4357" s="3">
        <f t="shared" si="987"/>
        <v>2012</v>
      </c>
      <c r="F4357" s="3">
        <f t="shared" si="988"/>
        <v>10</v>
      </c>
      <c r="G4357" s="3">
        <f t="shared" si="989"/>
        <v>22</v>
      </c>
      <c r="H4357" s="3">
        <f t="shared" si="990"/>
        <v>8</v>
      </c>
      <c r="I4357" s="3">
        <f t="shared" si="991"/>
        <v>0</v>
      </c>
      <c r="J4357" s="3">
        <f t="shared" si="992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993"/>
        <v>YES</v>
      </c>
      <c r="Q4357" t="str">
        <f t="shared" si="994"/>
        <v>NO</v>
      </c>
      <c r="R4357" t="str">
        <f t="shared" si="995"/>
        <v>NO</v>
      </c>
      <c r="T4357" t="s">
        <v>19</v>
      </c>
      <c r="U4357" t="str">
        <f t="shared" si="996"/>
        <v>Cambridge St</v>
      </c>
      <c r="V4357" t="s">
        <v>1006</v>
      </c>
      <c r="W4357" t="str">
        <f t="shared" si="997"/>
        <v>Irving St</v>
      </c>
      <c r="X4357" t="str">
        <f>IF(ISBLANK(S4357),"Intersection","Non-Intersection")</f>
        <v>Intersection</v>
      </c>
      <c r="Y4357" t="s">
        <v>2309</v>
      </c>
      <c r="Z4357" t="str">
        <f t="shared" si="998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985"/>
        <v>40909</v>
      </c>
      <c r="D4358" s="4">
        <f t="shared" si="986"/>
        <v>0.80601092896174864</v>
      </c>
      <c r="E4358" s="3">
        <f t="shared" si="987"/>
        <v>2012</v>
      </c>
      <c r="F4358" s="3">
        <f t="shared" si="988"/>
        <v>10</v>
      </c>
      <c r="G4358" s="3">
        <f t="shared" si="989"/>
        <v>22</v>
      </c>
      <c r="H4358" s="3">
        <f t="shared" si="990"/>
        <v>6</v>
      </c>
      <c r="I4358" s="3">
        <f t="shared" si="991"/>
        <v>40</v>
      </c>
      <c r="J4358" s="3">
        <f t="shared" si="992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993"/>
        <v>YES</v>
      </c>
      <c r="Q4358" t="str">
        <f t="shared" si="994"/>
        <v>NO</v>
      </c>
      <c r="R4358" t="str">
        <f t="shared" si="995"/>
        <v>NO</v>
      </c>
      <c r="S4358">
        <v>581</v>
      </c>
      <c r="T4358" t="s">
        <v>14</v>
      </c>
      <c r="U4358" t="str">
        <f t="shared" si="996"/>
        <v>Massachusetts Ave</v>
      </c>
      <c r="W4358" t="str">
        <f t="shared" si="997"/>
        <v/>
      </c>
      <c r="X4358" t="str">
        <f>IF(ISBLANK(S4358),"Intersection","Non-Intersection")</f>
        <v>Non-Intersection</v>
      </c>
      <c r="Y4358" t="s">
        <v>1811</v>
      </c>
      <c r="Z4358" t="str">
        <f t="shared" si="998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985"/>
        <v>40909</v>
      </c>
      <c r="D4359" s="4">
        <f t="shared" si="986"/>
        <v>0.80601092896174864</v>
      </c>
      <c r="E4359" s="3">
        <f t="shared" si="987"/>
        <v>2012</v>
      </c>
      <c r="F4359" s="3">
        <f t="shared" si="988"/>
        <v>10</v>
      </c>
      <c r="G4359" s="3">
        <f t="shared" si="989"/>
        <v>22</v>
      </c>
      <c r="H4359" s="3">
        <f t="shared" si="990"/>
        <v>15</v>
      </c>
      <c r="I4359" s="3">
        <f t="shared" si="991"/>
        <v>56</v>
      </c>
      <c r="J4359" s="3">
        <f t="shared" si="992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993"/>
        <v>YES</v>
      </c>
      <c r="Q4359" t="str">
        <f t="shared" si="994"/>
        <v>NO</v>
      </c>
      <c r="R4359" t="str">
        <f t="shared" si="995"/>
        <v>NO</v>
      </c>
      <c r="T4359" t="s">
        <v>354</v>
      </c>
      <c r="U4359" t="str">
        <f t="shared" si="996"/>
        <v>Linnaean St</v>
      </c>
      <c r="V4359" t="s">
        <v>14</v>
      </c>
      <c r="W4359" t="str">
        <f t="shared" si="997"/>
        <v>Massachusetts Ave</v>
      </c>
      <c r="X4359" t="str">
        <f>IF(ISBLANK(S4359),"Intersection","Non-Intersection")</f>
        <v>Intersection</v>
      </c>
      <c r="Y4359" t="s">
        <v>1417</v>
      </c>
      <c r="Z4359" t="str">
        <f t="shared" si="998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985"/>
        <v>40909</v>
      </c>
      <c r="D4360" s="4">
        <f t="shared" si="986"/>
        <v>0.80874316939890711</v>
      </c>
      <c r="E4360" s="3">
        <f t="shared" si="987"/>
        <v>2012</v>
      </c>
      <c r="F4360" s="3">
        <f t="shared" si="988"/>
        <v>10</v>
      </c>
      <c r="G4360" s="3">
        <f t="shared" si="989"/>
        <v>23</v>
      </c>
      <c r="H4360" s="3">
        <f t="shared" si="990"/>
        <v>11</v>
      </c>
      <c r="I4360" s="3">
        <f t="shared" si="991"/>
        <v>49</v>
      </c>
      <c r="J4360" s="3">
        <f t="shared" si="992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993"/>
        <v>YES</v>
      </c>
      <c r="Q4360" t="str">
        <f t="shared" si="994"/>
        <v>NO</v>
      </c>
      <c r="R4360" t="str">
        <f t="shared" si="995"/>
        <v>NO</v>
      </c>
      <c r="T4360" t="s">
        <v>105</v>
      </c>
      <c r="U4360" t="str">
        <f t="shared" si="996"/>
        <v>Broadway</v>
      </c>
      <c r="V4360" t="s">
        <v>567</v>
      </c>
      <c r="W4360" t="str">
        <f t="shared" si="997"/>
        <v>Davis St</v>
      </c>
      <c r="X4360" t="str">
        <f>IF(ISBLANK(S4360),"Intersection","Non-Intersection")</f>
        <v>Intersection</v>
      </c>
      <c r="Y4360" t="s">
        <v>3907</v>
      </c>
      <c r="Z4360" t="str">
        <f t="shared" si="998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985"/>
        <v>40909</v>
      </c>
      <c r="D4361" s="4">
        <f t="shared" si="986"/>
        <v>0.80874316939890711</v>
      </c>
      <c r="E4361" s="3">
        <f t="shared" si="987"/>
        <v>2012</v>
      </c>
      <c r="F4361" s="3">
        <f t="shared" si="988"/>
        <v>10</v>
      </c>
      <c r="G4361" s="3">
        <f t="shared" si="989"/>
        <v>23</v>
      </c>
      <c r="H4361" s="3">
        <f t="shared" si="990"/>
        <v>14</v>
      </c>
      <c r="I4361" s="3">
        <f t="shared" si="991"/>
        <v>25</v>
      </c>
      <c r="J4361" s="3">
        <f t="shared" si="992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993"/>
        <v>YES</v>
      </c>
      <c r="Q4361" t="str">
        <f t="shared" si="994"/>
        <v>NO</v>
      </c>
      <c r="R4361" t="str">
        <f t="shared" si="995"/>
        <v>NO</v>
      </c>
      <c r="S4361">
        <v>1066</v>
      </c>
      <c r="T4361" t="s">
        <v>19</v>
      </c>
      <c r="U4361" t="str">
        <f t="shared" si="996"/>
        <v>Cambridge St</v>
      </c>
      <c r="W4361" t="str">
        <f t="shared" si="997"/>
        <v/>
      </c>
      <c r="X4361" t="str">
        <f>IF(ISBLANK(S4361),"Intersection","Non-Intersection")</f>
        <v>Non-Intersection</v>
      </c>
      <c r="Y4361" t="s">
        <v>5050</v>
      </c>
      <c r="Z4361" t="str">
        <f t="shared" si="998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985"/>
        <v>40909</v>
      </c>
      <c r="D4362" s="4">
        <f t="shared" si="986"/>
        <v>0.80874316939890711</v>
      </c>
      <c r="E4362" s="3">
        <f t="shared" si="987"/>
        <v>2012</v>
      </c>
      <c r="F4362" s="3">
        <f t="shared" si="988"/>
        <v>10</v>
      </c>
      <c r="G4362" s="3">
        <f t="shared" si="989"/>
        <v>23</v>
      </c>
      <c r="H4362" s="3">
        <f t="shared" si="990"/>
        <v>16</v>
      </c>
      <c r="I4362" s="3">
        <f t="shared" si="991"/>
        <v>38</v>
      </c>
      <c r="J4362" s="3">
        <f t="shared" si="992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993"/>
        <v>YES</v>
      </c>
      <c r="Q4362" t="str">
        <f t="shared" si="994"/>
        <v>NO</v>
      </c>
      <c r="R4362" t="str">
        <f t="shared" si="995"/>
        <v>NO</v>
      </c>
      <c r="T4362" t="s">
        <v>155</v>
      </c>
      <c r="U4362" t="str">
        <f t="shared" si="996"/>
        <v>Richdale Ave</v>
      </c>
      <c r="V4362" t="s">
        <v>291</v>
      </c>
      <c r="W4362" t="str">
        <f t="shared" si="997"/>
        <v>Raymond St</v>
      </c>
      <c r="X4362" t="str">
        <f>IF(ISBLANK(S4362),"Intersection","Non-Intersection")</f>
        <v>Intersection</v>
      </c>
      <c r="Y4362" t="s">
        <v>5052</v>
      </c>
      <c r="Z4362" t="str">
        <f t="shared" si="998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985"/>
        <v>40909</v>
      </c>
      <c r="D4363" s="4">
        <f t="shared" si="986"/>
        <v>0.80874316939890711</v>
      </c>
      <c r="E4363" s="3">
        <f t="shared" si="987"/>
        <v>2012</v>
      </c>
      <c r="F4363" s="3">
        <f t="shared" si="988"/>
        <v>10</v>
      </c>
      <c r="G4363" s="3">
        <f t="shared" si="989"/>
        <v>23</v>
      </c>
      <c r="H4363" s="3">
        <f t="shared" si="990"/>
        <v>22</v>
      </c>
      <c r="I4363" s="3">
        <f t="shared" si="991"/>
        <v>25</v>
      </c>
      <c r="J4363" s="3">
        <f t="shared" si="992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993"/>
        <v>YES</v>
      </c>
      <c r="Q4363" t="str">
        <f t="shared" si="994"/>
        <v>NO</v>
      </c>
      <c r="R4363" t="str">
        <f t="shared" si="995"/>
        <v>NO</v>
      </c>
      <c r="S4363">
        <v>19</v>
      </c>
      <c r="T4363" t="s">
        <v>1683</v>
      </c>
      <c r="U4363" t="str">
        <f t="shared" si="996"/>
        <v>Kelly Rd</v>
      </c>
      <c r="W4363" t="str">
        <f t="shared" si="997"/>
        <v/>
      </c>
      <c r="X4363" t="str">
        <f>IF(ISBLANK(S4363),"Intersection","Non-Intersection")</f>
        <v>Non-Intersection</v>
      </c>
      <c r="Y4363" t="s">
        <v>5054</v>
      </c>
      <c r="Z4363" t="str">
        <f t="shared" si="998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985"/>
        <v>40909</v>
      </c>
      <c r="D4364" s="4">
        <f t="shared" si="986"/>
        <v>0.80874316939890711</v>
      </c>
      <c r="E4364" s="3">
        <f t="shared" si="987"/>
        <v>2012</v>
      </c>
      <c r="F4364" s="3">
        <f t="shared" si="988"/>
        <v>10</v>
      </c>
      <c r="G4364" s="3">
        <f t="shared" si="989"/>
        <v>23</v>
      </c>
      <c r="H4364" s="3">
        <f t="shared" si="990"/>
        <v>17</v>
      </c>
      <c r="I4364" s="3">
        <f t="shared" si="991"/>
        <v>0</v>
      </c>
      <c r="J4364" s="3">
        <f t="shared" si="992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993"/>
        <v>YES</v>
      </c>
      <c r="Q4364" t="str">
        <f t="shared" si="994"/>
        <v>NO</v>
      </c>
      <c r="R4364" t="str">
        <f t="shared" si="995"/>
        <v>NO</v>
      </c>
      <c r="S4364">
        <v>1280</v>
      </c>
      <c r="T4364" t="s">
        <v>14</v>
      </c>
      <c r="U4364" t="str">
        <f t="shared" si="996"/>
        <v>Massachusetts Ave</v>
      </c>
      <c r="W4364" t="str">
        <f t="shared" si="997"/>
        <v/>
      </c>
      <c r="X4364" t="str">
        <f>IF(ISBLANK(S4364),"Intersection","Non-Intersection")</f>
        <v>Non-Intersection</v>
      </c>
      <c r="Y4364" t="s">
        <v>5056</v>
      </c>
      <c r="Z4364" t="str">
        <f t="shared" si="998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985"/>
        <v>40909</v>
      </c>
      <c r="D4365" s="4">
        <f t="shared" si="986"/>
        <v>0.80874316939890711</v>
      </c>
      <c r="E4365" s="3">
        <f t="shared" si="987"/>
        <v>2012</v>
      </c>
      <c r="F4365" s="3">
        <f t="shared" si="988"/>
        <v>10</v>
      </c>
      <c r="G4365" s="3">
        <f t="shared" si="989"/>
        <v>23</v>
      </c>
      <c r="H4365" s="3">
        <f t="shared" si="990"/>
        <v>10</v>
      </c>
      <c r="I4365" s="3">
        <f t="shared" si="991"/>
        <v>22</v>
      </c>
      <c r="J4365" s="3">
        <f t="shared" si="992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993"/>
        <v>YES</v>
      </c>
      <c r="Q4365" t="str">
        <f t="shared" si="994"/>
        <v>NO</v>
      </c>
      <c r="R4365" t="str">
        <f t="shared" si="995"/>
        <v>NO</v>
      </c>
      <c r="S4365">
        <v>6</v>
      </c>
      <c r="T4365" t="s">
        <v>268</v>
      </c>
      <c r="U4365" t="str">
        <f t="shared" si="996"/>
        <v>White St</v>
      </c>
      <c r="W4365" t="str">
        <f t="shared" si="997"/>
        <v/>
      </c>
      <c r="X4365" t="str">
        <f>IF(ISBLANK(S4365),"Intersection","Non-Intersection")</f>
        <v>Non-Intersection</v>
      </c>
      <c r="Y4365" t="s">
        <v>5058</v>
      </c>
      <c r="Z4365" t="str">
        <f t="shared" si="998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985"/>
        <v>40909</v>
      </c>
      <c r="D4366" s="4">
        <f t="shared" si="986"/>
        <v>0.80874316939890711</v>
      </c>
      <c r="E4366" s="3">
        <f t="shared" si="987"/>
        <v>2012</v>
      </c>
      <c r="F4366" s="3">
        <f t="shared" si="988"/>
        <v>10</v>
      </c>
      <c r="G4366" s="3">
        <f t="shared" si="989"/>
        <v>23</v>
      </c>
      <c r="H4366" s="3">
        <f t="shared" si="990"/>
        <v>19</v>
      </c>
      <c r="I4366" s="3">
        <f t="shared" si="991"/>
        <v>28</v>
      </c>
      <c r="J4366" s="3">
        <f t="shared" si="992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993"/>
        <v>YES</v>
      </c>
      <c r="Q4366" t="str">
        <f t="shared" si="994"/>
        <v>NO</v>
      </c>
      <c r="R4366" t="str">
        <f t="shared" si="995"/>
        <v>NO</v>
      </c>
      <c r="S4366">
        <v>222</v>
      </c>
      <c r="T4366" t="s">
        <v>105</v>
      </c>
      <c r="U4366" t="str">
        <f t="shared" si="996"/>
        <v>Broadway</v>
      </c>
      <c r="W4366" t="str">
        <f t="shared" si="997"/>
        <v/>
      </c>
      <c r="X4366" t="str">
        <f>IF(ISBLANK(S4366),"Intersection","Non-Intersection")</f>
        <v>Non-Intersection</v>
      </c>
      <c r="Y4366" t="s">
        <v>2033</v>
      </c>
      <c r="Z4366" t="str">
        <f t="shared" si="998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985"/>
        <v>40909</v>
      </c>
      <c r="D4367" s="4">
        <f t="shared" si="986"/>
        <v>0.81147540983606559</v>
      </c>
      <c r="E4367" s="3">
        <f t="shared" si="987"/>
        <v>2012</v>
      </c>
      <c r="F4367" s="3">
        <f t="shared" si="988"/>
        <v>10</v>
      </c>
      <c r="G4367" s="3">
        <f t="shared" si="989"/>
        <v>24</v>
      </c>
      <c r="H4367" s="3">
        <f t="shared" si="990"/>
        <v>9</v>
      </c>
      <c r="I4367" s="3">
        <f t="shared" si="991"/>
        <v>40</v>
      </c>
      <c r="J4367" s="3">
        <f t="shared" si="992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993"/>
        <v>YES</v>
      </c>
      <c r="Q4367" t="str">
        <f t="shared" si="994"/>
        <v>NO</v>
      </c>
      <c r="R4367" t="str">
        <f t="shared" si="995"/>
        <v>NO</v>
      </c>
      <c r="S4367">
        <v>2030</v>
      </c>
      <c r="T4367" t="s">
        <v>14</v>
      </c>
      <c r="U4367" t="str">
        <f t="shared" si="996"/>
        <v>Massachusetts Ave</v>
      </c>
      <c r="W4367" t="str">
        <f t="shared" si="997"/>
        <v/>
      </c>
      <c r="X4367" t="str">
        <f>IF(ISBLANK(S4367),"Intersection","Non-Intersection")</f>
        <v>Non-Intersection</v>
      </c>
      <c r="Y4367" t="s">
        <v>2924</v>
      </c>
      <c r="Z4367" t="str">
        <f t="shared" si="998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985"/>
        <v>40909</v>
      </c>
      <c r="D4368" s="4">
        <f t="shared" si="986"/>
        <v>0.81147540983606559</v>
      </c>
      <c r="E4368" s="3">
        <f t="shared" si="987"/>
        <v>2012</v>
      </c>
      <c r="F4368" s="3">
        <f t="shared" si="988"/>
        <v>10</v>
      </c>
      <c r="G4368" s="3">
        <f t="shared" si="989"/>
        <v>24</v>
      </c>
      <c r="H4368" s="3">
        <f t="shared" si="990"/>
        <v>8</v>
      </c>
      <c r="I4368" s="3">
        <f t="shared" si="991"/>
        <v>29</v>
      </c>
      <c r="J4368" s="3">
        <f t="shared" si="992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993"/>
        <v>YES</v>
      </c>
      <c r="Q4368" t="str">
        <f t="shared" si="994"/>
        <v>YES</v>
      </c>
      <c r="R4368" t="str">
        <f t="shared" si="995"/>
        <v>NO</v>
      </c>
      <c r="T4368" t="s">
        <v>14</v>
      </c>
      <c r="U4368" t="str">
        <f t="shared" si="996"/>
        <v>Massachusetts Ave</v>
      </c>
      <c r="V4368" t="s">
        <v>268</v>
      </c>
      <c r="W4368" t="str">
        <f t="shared" si="997"/>
        <v>White St</v>
      </c>
      <c r="X4368" t="str">
        <f>IF(ISBLANK(S4368),"Intersection","Non-Intersection")</f>
        <v>Intersection</v>
      </c>
      <c r="Y4368" t="s">
        <v>2723</v>
      </c>
      <c r="Z4368" t="str">
        <f t="shared" si="998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985"/>
        <v>40909</v>
      </c>
      <c r="D4369" s="4">
        <f t="shared" si="986"/>
        <v>0.81147540983606559</v>
      </c>
      <c r="E4369" s="3">
        <f t="shared" si="987"/>
        <v>2012</v>
      </c>
      <c r="F4369" s="3">
        <f t="shared" si="988"/>
        <v>10</v>
      </c>
      <c r="G4369" s="3">
        <f t="shared" si="989"/>
        <v>24</v>
      </c>
      <c r="H4369" s="3">
        <f t="shared" si="990"/>
        <v>8</v>
      </c>
      <c r="I4369" s="3">
        <f t="shared" si="991"/>
        <v>41</v>
      </c>
      <c r="J4369" s="3">
        <f t="shared" si="992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993"/>
        <v>YES</v>
      </c>
      <c r="Q4369" t="str">
        <f t="shared" si="994"/>
        <v>NO</v>
      </c>
      <c r="R4369" t="str">
        <f t="shared" si="995"/>
        <v>NO</v>
      </c>
      <c r="T4369" t="s">
        <v>27</v>
      </c>
      <c r="U4369" t="str">
        <f t="shared" si="996"/>
        <v>Western Ave</v>
      </c>
      <c r="V4369" t="s">
        <v>1024</v>
      </c>
      <c r="W4369" t="str">
        <f t="shared" si="997"/>
        <v>Kinnaird St</v>
      </c>
      <c r="X4369" t="str">
        <f>IF(ISBLANK(S4369),"Intersection","Non-Intersection")</f>
        <v>Intersection</v>
      </c>
      <c r="Y4369" t="s">
        <v>2494</v>
      </c>
      <c r="Z4369" t="str">
        <f t="shared" si="998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985"/>
        <v>40909</v>
      </c>
      <c r="D4370" s="4">
        <f t="shared" si="986"/>
        <v>0.81420765027322406</v>
      </c>
      <c r="E4370" s="3">
        <f t="shared" si="987"/>
        <v>2012</v>
      </c>
      <c r="F4370" s="3">
        <f t="shared" si="988"/>
        <v>10</v>
      </c>
      <c r="G4370" s="3">
        <f t="shared" si="989"/>
        <v>25</v>
      </c>
      <c r="H4370" s="3">
        <f t="shared" si="990"/>
        <v>9</v>
      </c>
      <c r="I4370" s="3">
        <f t="shared" si="991"/>
        <v>30</v>
      </c>
      <c r="J4370" s="3">
        <f t="shared" si="992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993"/>
        <v>YES</v>
      </c>
      <c r="Q4370" t="str">
        <f t="shared" si="994"/>
        <v>NO</v>
      </c>
      <c r="R4370" t="str">
        <f t="shared" si="995"/>
        <v>NO</v>
      </c>
      <c r="T4370" t="s">
        <v>19</v>
      </c>
      <c r="U4370" t="str">
        <f t="shared" si="996"/>
        <v>Cambridge St</v>
      </c>
      <c r="W4370" t="str">
        <f t="shared" si="997"/>
        <v/>
      </c>
      <c r="X4370" t="str">
        <f>IF(ISBLANK(S4370),"Intersection","Non-Intersection")</f>
        <v>Intersection</v>
      </c>
      <c r="Y4370" t="s">
        <v>2237</v>
      </c>
      <c r="Z4370" t="str">
        <f t="shared" si="998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985"/>
        <v>40909</v>
      </c>
      <c r="D4371" s="4">
        <f t="shared" si="986"/>
        <v>0.81420765027322406</v>
      </c>
      <c r="E4371" s="3">
        <f t="shared" si="987"/>
        <v>2012</v>
      </c>
      <c r="F4371" s="3">
        <f t="shared" si="988"/>
        <v>10</v>
      </c>
      <c r="G4371" s="3">
        <f t="shared" si="989"/>
        <v>25</v>
      </c>
      <c r="H4371" s="3">
        <f t="shared" si="990"/>
        <v>9</v>
      </c>
      <c r="I4371" s="3">
        <f t="shared" si="991"/>
        <v>34</v>
      </c>
      <c r="J4371" s="3">
        <f t="shared" si="992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993"/>
        <v>YES</v>
      </c>
      <c r="Q4371" t="str">
        <f t="shared" si="994"/>
        <v>YES</v>
      </c>
      <c r="R4371" t="str">
        <f t="shared" si="995"/>
        <v>NO</v>
      </c>
      <c r="T4371" t="s">
        <v>19</v>
      </c>
      <c r="U4371" t="str">
        <f t="shared" si="996"/>
        <v>Cambridge St</v>
      </c>
      <c r="V4371" t="s">
        <v>138</v>
      </c>
      <c r="W4371" t="str">
        <f t="shared" si="997"/>
        <v>Felton St</v>
      </c>
      <c r="X4371" t="str">
        <f>IF(ISBLANK(S4371),"Intersection","Non-Intersection")</f>
        <v>Intersection</v>
      </c>
      <c r="Y4371" t="s">
        <v>3406</v>
      </c>
      <c r="Z4371" t="str">
        <f t="shared" si="998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985"/>
        <v>40909</v>
      </c>
      <c r="D4372" s="4">
        <f t="shared" si="986"/>
        <v>0.81420765027322406</v>
      </c>
      <c r="E4372" s="3">
        <f t="shared" si="987"/>
        <v>2012</v>
      </c>
      <c r="F4372" s="3">
        <f t="shared" si="988"/>
        <v>10</v>
      </c>
      <c r="G4372" s="3">
        <f t="shared" si="989"/>
        <v>25</v>
      </c>
      <c r="H4372" s="3">
        <f t="shared" si="990"/>
        <v>13</v>
      </c>
      <c r="I4372" s="3">
        <f t="shared" si="991"/>
        <v>15</v>
      </c>
      <c r="J4372" s="3">
        <f t="shared" si="992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993"/>
        <v>YES</v>
      </c>
      <c r="Q4372" t="str">
        <f t="shared" si="994"/>
        <v>NO</v>
      </c>
      <c r="R4372" t="str">
        <f t="shared" si="995"/>
        <v>YES</v>
      </c>
      <c r="T4372" t="s">
        <v>316</v>
      </c>
      <c r="U4372" t="str">
        <f t="shared" si="996"/>
        <v>Bishop Allen Dr</v>
      </c>
      <c r="V4372" t="s">
        <v>342</v>
      </c>
      <c r="W4372" t="str">
        <f t="shared" si="997"/>
        <v>Prospect St</v>
      </c>
      <c r="X4372" t="str">
        <f>IF(ISBLANK(S4372),"Intersection","Non-Intersection")</f>
        <v>Intersection</v>
      </c>
      <c r="Y4372" t="s">
        <v>642</v>
      </c>
      <c r="Z4372" t="str">
        <f t="shared" si="998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985"/>
        <v>40909</v>
      </c>
      <c r="D4373" s="4">
        <f t="shared" si="986"/>
        <v>0.81420765027322406</v>
      </c>
      <c r="E4373" s="3">
        <f t="shared" si="987"/>
        <v>2012</v>
      </c>
      <c r="F4373" s="3">
        <f t="shared" si="988"/>
        <v>10</v>
      </c>
      <c r="G4373" s="3">
        <f t="shared" si="989"/>
        <v>25</v>
      </c>
      <c r="H4373" s="3">
        <f t="shared" si="990"/>
        <v>13</v>
      </c>
      <c r="I4373" s="3">
        <f t="shared" si="991"/>
        <v>50</v>
      </c>
      <c r="J4373" s="3">
        <f t="shared" si="992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993"/>
        <v>YES</v>
      </c>
      <c r="Q4373" t="str">
        <f t="shared" si="994"/>
        <v>NO</v>
      </c>
      <c r="R4373" t="str">
        <f t="shared" si="995"/>
        <v>NO</v>
      </c>
      <c r="T4373" t="s">
        <v>186</v>
      </c>
      <c r="U4373" t="str">
        <f t="shared" si="996"/>
        <v>Concord Ave</v>
      </c>
      <c r="V4373" t="s">
        <v>2650</v>
      </c>
      <c r="W4373" t="str">
        <f t="shared" si="997"/>
        <v>Royal Ave</v>
      </c>
      <c r="X4373" t="str">
        <f>IF(ISBLANK(S4373),"Intersection","Non-Intersection")</f>
        <v>Intersection</v>
      </c>
      <c r="Y4373" t="s">
        <v>2651</v>
      </c>
      <c r="Z4373" t="str">
        <f t="shared" si="998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985"/>
        <v>40909</v>
      </c>
      <c r="D4374" s="4">
        <f t="shared" si="986"/>
        <v>0.81420765027322406</v>
      </c>
      <c r="E4374" s="3">
        <f t="shared" si="987"/>
        <v>2012</v>
      </c>
      <c r="F4374" s="3">
        <f t="shared" si="988"/>
        <v>10</v>
      </c>
      <c r="G4374" s="3">
        <f t="shared" si="989"/>
        <v>25</v>
      </c>
      <c r="H4374" s="3">
        <f t="shared" si="990"/>
        <v>13</v>
      </c>
      <c r="I4374" s="3">
        <f t="shared" si="991"/>
        <v>57</v>
      </c>
      <c r="J4374" s="3">
        <f t="shared" si="992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993"/>
        <v>YES</v>
      </c>
      <c r="Q4374" t="str">
        <f t="shared" si="994"/>
        <v>YES</v>
      </c>
      <c r="R4374" t="str">
        <f t="shared" si="995"/>
        <v>NO</v>
      </c>
      <c r="T4374" t="s">
        <v>667</v>
      </c>
      <c r="U4374" t="str">
        <f t="shared" si="996"/>
        <v>Tremont St</v>
      </c>
      <c r="V4374" t="s">
        <v>74</v>
      </c>
      <c r="W4374" t="str">
        <f t="shared" si="997"/>
        <v>Hampshire St</v>
      </c>
      <c r="X4374" t="str">
        <f>IF(ISBLANK(S4374),"Intersection","Non-Intersection")</f>
        <v>Intersection</v>
      </c>
      <c r="Y4374" t="s">
        <v>5060</v>
      </c>
      <c r="Z4374" t="str">
        <f t="shared" si="998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985"/>
        <v>40909</v>
      </c>
      <c r="D4375" s="4">
        <f t="shared" si="986"/>
        <v>0.81420765027322406</v>
      </c>
      <c r="E4375" s="3">
        <f t="shared" si="987"/>
        <v>2012</v>
      </c>
      <c r="F4375" s="3">
        <f t="shared" si="988"/>
        <v>10</v>
      </c>
      <c r="G4375" s="3">
        <f t="shared" si="989"/>
        <v>25</v>
      </c>
      <c r="H4375" s="3">
        <f t="shared" si="990"/>
        <v>20</v>
      </c>
      <c r="I4375" s="3">
        <f t="shared" si="991"/>
        <v>38</v>
      </c>
      <c r="J4375" s="3">
        <f t="shared" si="992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993"/>
        <v>YES</v>
      </c>
      <c r="Q4375" t="str">
        <f t="shared" si="994"/>
        <v>YES</v>
      </c>
      <c r="R4375" t="str">
        <f t="shared" si="995"/>
        <v>NO</v>
      </c>
      <c r="T4375" t="s">
        <v>14</v>
      </c>
      <c r="U4375" t="str">
        <f t="shared" si="996"/>
        <v>Massachusetts Ave</v>
      </c>
      <c r="V4375" t="s">
        <v>1316</v>
      </c>
      <c r="W4375" t="str">
        <f t="shared" si="997"/>
        <v>State St</v>
      </c>
      <c r="X4375" t="str">
        <f>IF(ISBLANK(S4375),"Intersection","Non-Intersection")</f>
        <v>Intersection</v>
      </c>
      <c r="Y4375" t="s">
        <v>1317</v>
      </c>
      <c r="Z4375" t="str">
        <f t="shared" si="998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985"/>
        <v>40909</v>
      </c>
      <c r="D4376" s="4">
        <f t="shared" si="986"/>
        <v>0.81420765027322406</v>
      </c>
      <c r="E4376" s="3">
        <f t="shared" si="987"/>
        <v>2012</v>
      </c>
      <c r="F4376" s="3">
        <f t="shared" si="988"/>
        <v>10</v>
      </c>
      <c r="G4376" s="3">
        <f t="shared" si="989"/>
        <v>25</v>
      </c>
      <c r="H4376" s="3">
        <f t="shared" si="990"/>
        <v>21</v>
      </c>
      <c r="I4376" s="3">
        <f t="shared" si="991"/>
        <v>30</v>
      </c>
      <c r="J4376" s="3">
        <f t="shared" si="992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993"/>
        <v>YES</v>
      </c>
      <c r="Q4376" t="str">
        <f t="shared" si="994"/>
        <v>NO</v>
      </c>
      <c r="R4376" t="str">
        <f t="shared" si="995"/>
        <v>NO</v>
      </c>
      <c r="S4376">
        <v>124</v>
      </c>
      <c r="T4376" t="s">
        <v>198</v>
      </c>
      <c r="U4376" t="str">
        <f t="shared" si="996"/>
        <v>Mount Auburn St</v>
      </c>
      <c r="W4376" t="str">
        <f t="shared" si="997"/>
        <v/>
      </c>
      <c r="X4376" t="str">
        <f>IF(ISBLANK(S4376),"Intersection","Non-Intersection")</f>
        <v>Non-Intersection</v>
      </c>
      <c r="Y4376" t="s">
        <v>3116</v>
      </c>
      <c r="Z4376" t="str">
        <f t="shared" si="998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985"/>
        <v>40909</v>
      </c>
      <c r="D4377" s="4">
        <f t="shared" si="986"/>
        <v>0.81420765027322406</v>
      </c>
      <c r="E4377" s="3">
        <f t="shared" si="987"/>
        <v>2012</v>
      </c>
      <c r="F4377" s="3">
        <f t="shared" si="988"/>
        <v>10</v>
      </c>
      <c r="G4377" s="3">
        <f t="shared" si="989"/>
        <v>25</v>
      </c>
      <c r="H4377" s="3">
        <f t="shared" si="990"/>
        <v>8</v>
      </c>
      <c r="I4377" s="3">
        <f t="shared" si="991"/>
        <v>39</v>
      </c>
      <c r="J4377" s="3">
        <f t="shared" si="992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993"/>
        <v>YES</v>
      </c>
      <c r="Q4377" t="str">
        <f t="shared" si="994"/>
        <v>NO</v>
      </c>
      <c r="R4377" t="str">
        <f t="shared" si="995"/>
        <v>NO</v>
      </c>
      <c r="S4377">
        <v>2500</v>
      </c>
      <c r="T4377" t="s">
        <v>14</v>
      </c>
      <c r="U4377" t="str">
        <f t="shared" si="996"/>
        <v>Massachusetts Ave</v>
      </c>
      <c r="V4377" t="s">
        <v>3001</v>
      </c>
      <c r="W4377" t="str">
        <f t="shared" si="997"/>
        <v>Edmunds St</v>
      </c>
      <c r="X4377" t="str">
        <f>IF(ISBLANK(S4377),"Intersection","Non-Intersection")</f>
        <v>Non-Intersection</v>
      </c>
      <c r="Y4377" t="s">
        <v>3846</v>
      </c>
      <c r="Z4377" t="str">
        <f t="shared" si="998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985"/>
        <v>40909</v>
      </c>
      <c r="D4378" s="4">
        <f t="shared" si="986"/>
        <v>0.81420765027322406</v>
      </c>
      <c r="E4378" s="3">
        <f t="shared" si="987"/>
        <v>2012</v>
      </c>
      <c r="F4378" s="3">
        <f t="shared" si="988"/>
        <v>10</v>
      </c>
      <c r="G4378" s="3">
        <f t="shared" si="989"/>
        <v>25</v>
      </c>
      <c r="H4378" s="3">
        <f t="shared" si="990"/>
        <v>14</v>
      </c>
      <c r="I4378" s="3">
        <f t="shared" si="991"/>
        <v>55</v>
      </c>
      <c r="J4378" s="3">
        <f t="shared" si="992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993"/>
        <v>YES</v>
      </c>
      <c r="Q4378" t="str">
        <f t="shared" si="994"/>
        <v>NO</v>
      </c>
      <c r="R4378" t="str">
        <f t="shared" si="995"/>
        <v>NO</v>
      </c>
      <c r="T4378" t="s">
        <v>97</v>
      </c>
      <c r="U4378" t="str">
        <f t="shared" si="996"/>
        <v>Peabody St</v>
      </c>
      <c r="V4378" t="s">
        <v>14</v>
      </c>
      <c r="W4378" t="str">
        <f t="shared" si="997"/>
        <v>Massachusetts Ave</v>
      </c>
      <c r="X4378" t="str">
        <f>IF(ISBLANK(S4378),"Intersection","Non-Intersection")</f>
        <v>Intersection</v>
      </c>
      <c r="Y4378" t="s">
        <v>98</v>
      </c>
      <c r="Z4378" t="str">
        <f t="shared" si="998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985"/>
        <v>40909</v>
      </c>
      <c r="D4379" s="4">
        <f t="shared" si="986"/>
        <v>0.81420765027322406</v>
      </c>
      <c r="E4379" s="3">
        <f t="shared" si="987"/>
        <v>2012</v>
      </c>
      <c r="F4379" s="3">
        <f t="shared" si="988"/>
        <v>10</v>
      </c>
      <c r="G4379" s="3">
        <f t="shared" si="989"/>
        <v>25</v>
      </c>
      <c r="H4379" s="3">
        <f t="shared" si="990"/>
        <v>14</v>
      </c>
      <c r="I4379" s="3">
        <f t="shared" si="991"/>
        <v>0</v>
      </c>
      <c r="J4379" s="3">
        <f t="shared" si="992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993"/>
        <v>NO</v>
      </c>
      <c r="Q4379" t="str">
        <f t="shared" si="994"/>
        <v>NO</v>
      </c>
      <c r="R4379" t="str">
        <f t="shared" si="995"/>
        <v>NO</v>
      </c>
      <c r="T4379" t="s">
        <v>167</v>
      </c>
      <c r="U4379" t="str">
        <f t="shared" si="996"/>
        <v>Wendell St</v>
      </c>
      <c r="V4379" t="s">
        <v>166</v>
      </c>
      <c r="W4379" t="str">
        <f t="shared" si="997"/>
        <v>Oxford Ave</v>
      </c>
      <c r="X4379" t="str">
        <f>IF(ISBLANK(S4379),"Intersection","Non-Intersection")</f>
        <v>Intersection</v>
      </c>
      <c r="Y4379" t="s">
        <v>4418</v>
      </c>
      <c r="Z4379" t="str">
        <f t="shared" si="998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985"/>
        <v>40909</v>
      </c>
      <c r="D4380" s="4">
        <f t="shared" si="986"/>
        <v>0.81693989071038253</v>
      </c>
      <c r="E4380" s="3">
        <f t="shared" si="987"/>
        <v>2012</v>
      </c>
      <c r="F4380" s="3">
        <f t="shared" si="988"/>
        <v>10</v>
      </c>
      <c r="G4380" s="3">
        <f t="shared" si="989"/>
        <v>26</v>
      </c>
      <c r="H4380" s="3">
        <f t="shared" si="990"/>
        <v>12</v>
      </c>
      <c r="I4380" s="3">
        <f t="shared" si="991"/>
        <v>20</v>
      </c>
      <c r="J4380" s="3">
        <f t="shared" si="992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993"/>
        <v>YES</v>
      </c>
      <c r="Q4380" t="str">
        <f t="shared" si="994"/>
        <v>NO</v>
      </c>
      <c r="R4380" t="str">
        <f t="shared" si="995"/>
        <v>NO</v>
      </c>
      <c r="T4380" t="s">
        <v>14</v>
      </c>
      <c r="U4380" t="str">
        <f t="shared" si="996"/>
        <v>Massachusetts Ave</v>
      </c>
      <c r="V4380" t="s">
        <v>501</v>
      </c>
      <c r="W4380" t="str">
        <f t="shared" si="997"/>
        <v>Garfield St</v>
      </c>
      <c r="X4380" t="str">
        <f>IF(ISBLANK(S4380),"Intersection","Non-Intersection")</f>
        <v>Intersection</v>
      </c>
      <c r="Y4380" t="s">
        <v>2128</v>
      </c>
      <c r="Z4380" t="str">
        <f t="shared" si="998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985"/>
        <v>40909</v>
      </c>
      <c r="D4381" s="4">
        <f t="shared" si="986"/>
        <v>0.81693989071038253</v>
      </c>
      <c r="E4381" s="3">
        <f t="shared" si="987"/>
        <v>2012</v>
      </c>
      <c r="F4381" s="3">
        <f t="shared" si="988"/>
        <v>10</v>
      </c>
      <c r="G4381" s="3">
        <f t="shared" si="989"/>
        <v>26</v>
      </c>
      <c r="H4381" s="3">
        <f t="shared" si="990"/>
        <v>18</v>
      </c>
      <c r="I4381" s="3">
        <f t="shared" si="991"/>
        <v>59</v>
      </c>
      <c r="J4381" s="3">
        <f t="shared" si="992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993"/>
        <v>YES</v>
      </c>
      <c r="Q4381" t="str">
        <f t="shared" si="994"/>
        <v>YES</v>
      </c>
      <c r="R4381" t="str">
        <f t="shared" si="995"/>
        <v>NO</v>
      </c>
      <c r="T4381" t="s">
        <v>19</v>
      </c>
      <c r="U4381" t="str">
        <f t="shared" si="996"/>
        <v>Cambridge St</v>
      </c>
      <c r="V4381" t="s">
        <v>760</v>
      </c>
      <c r="W4381" t="str">
        <f t="shared" si="997"/>
        <v>Fulkerson St</v>
      </c>
      <c r="X4381" t="str">
        <f>IF(ISBLANK(S4381),"Intersection","Non-Intersection")</f>
        <v>Intersection</v>
      </c>
      <c r="Y4381" t="s">
        <v>3703</v>
      </c>
      <c r="Z4381" t="str">
        <f t="shared" si="998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985"/>
        <v>40909</v>
      </c>
      <c r="D4382" s="4">
        <f t="shared" si="986"/>
        <v>0.81967213114754101</v>
      </c>
      <c r="E4382" s="3">
        <f t="shared" si="987"/>
        <v>2012</v>
      </c>
      <c r="F4382" s="3">
        <f t="shared" si="988"/>
        <v>10</v>
      </c>
      <c r="G4382" s="3">
        <f t="shared" si="989"/>
        <v>27</v>
      </c>
      <c r="H4382" s="3">
        <f t="shared" si="990"/>
        <v>10</v>
      </c>
      <c r="I4382" s="3">
        <f t="shared" si="991"/>
        <v>34</v>
      </c>
      <c r="J4382" s="3">
        <f t="shared" si="992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993"/>
        <v>YES</v>
      </c>
      <c r="Q4382" t="str">
        <f t="shared" si="994"/>
        <v>NO</v>
      </c>
      <c r="R4382" t="str">
        <f t="shared" si="995"/>
        <v>NO</v>
      </c>
      <c r="S4382">
        <v>128</v>
      </c>
      <c r="T4382" t="s">
        <v>413</v>
      </c>
      <c r="U4382" t="str">
        <f t="shared" si="996"/>
        <v>Smith Pl</v>
      </c>
      <c r="W4382" t="str">
        <f t="shared" si="997"/>
        <v/>
      </c>
      <c r="X4382" t="str">
        <f>IF(ISBLANK(S4382),"Intersection","Non-Intersection")</f>
        <v>Non-Intersection</v>
      </c>
      <c r="Y4382" t="s">
        <v>5063</v>
      </c>
      <c r="Z4382" t="str">
        <f t="shared" si="998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985"/>
        <v>40909</v>
      </c>
      <c r="D4383" s="4">
        <f t="shared" si="986"/>
        <v>0.81967213114754101</v>
      </c>
      <c r="E4383" s="3">
        <f t="shared" si="987"/>
        <v>2012</v>
      </c>
      <c r="F4383" s="3">
        <f t="shared" si="988"/>
        <v>10</v>
      </c>
      <c r="G4383" s="3">
        <f t="shared" si="989"/>
        <v>27</v>
      </c>
      <c r="H4383" s="3">
        <f t="shared" si="990"/>
        <v>12</v>
      </c>
      <c r="I4383" s="3">
        <f t="shared" si="991"/>
        <v>55</v>
      </c>
      <c r="J4383" s="3">
        <f t="shared" si="992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993"/>
        <v>YES</v>
      </c>
      <c r="Q4383" t="str">
        <f t="shared" si="994"/>
        <v>NO</v>
      </c>
      <c r="R4383" t="str">
        <f t="shared" si="995"/>
        <v>NO</v>
      </c>
      <c r="S4383">
        <v>615</v>
      </c>
      <c r="T4383" t="s">
        <v>186</v>
      </c>
      <c r="U4383" t="str">
        <f t="shared" si="996"/>
        <v>Concord Ave</v>
      </c>
      <c r="W4383" t="str">
        <f t="shared" si="997"/>
        <v/>
      </c>
      <c r="X4383" t="str">
        <f>IF(ISBLANK(S4383),"Intersection","Non-Intersection")</f>
        <v>Non-Intersection</v>
      </c>
      <c r="Y4383" t="s">
        <v>2303</v>
      </c>
      <c r="Z4383" t="str">
        <f t="shared" si="998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985"/>
        <v>40909</v>
      </c>
      <c r="D4384" s="4">
        <f t="shared" si="986"/>
        <v>0.82240437158469948</v>
      </c>
      <c r="E4384" s="3">
        <f t="shared" si="987"/>
        <v>2012</v>
      </c>
      <c r="F4384" s="3">
        <f t="shared" si="988"/>
        <v>10</v>
      </c>
      <c r="G4384" s="3">
        <f t="shared" si="989"/>
        <v>28</v>
      </c>
      <c r="H4384" s="3">
        <f t="shared" si="990"/>
        <v>12</v>
      </c>
      <c r="I4384" s="3">
        <f t="shared" si="991"/>
        <v>8</v>
      </c>
      <c r="J4384" s="3">
        <f t="shared" si="992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993"/>
        <v>YES</v>
      </c>
      <c r="Q4384" t="str">
        <f t="shared" si="994"/>
        <v>NO</v>
      </c>
      <c r="R4384" t="str">
        <f t="shared" si="995"/>
        <v>YES</v>
      </c>
      <c r="T4384" t="s">
        <v>37</v>
      </c>
      <c r="U4384" t="str">
        <f t="shared" si="996"/>
        <v>Magazine St</v>
      </c>
      <c r="V4384" t="s">
        <v>1299</v>
      </c>
      <c r="W4384" t="str">
        <f t="shared" si="997"/>
        <v>Lawrence St</v>
      </c>
      <c r="X4384" t="str">
        <f>IF(ISBLANK(S4384),"Intersection","Non-Intersection")</f>
        <v>Intersection</v>
      </c>
      <c r="Y4384" t="s">
        <v>1300</v>
      </c>
      <c r="Z4384" t="str">
        <f t="shared" si="998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985"/>
        <v>40909</v>
      </c>
      <c r="D4385" s="4">
        <f t="shared" si="986"/>
        <v>0.82513661202185795</v>
      </c>
      <c r="E4385" s="3">
        <f t="shared" si="987"/>
        <v>2012</v>
      </c>
      <c r="F4385" s="3">
        <f t="shared" si="988"/>
        <v>10</v>
      </c>
      <c r="G4385" s="3">
        <f t="shared" si="989"/>
        <v>29</v>
      </c>
      <c r="H4385" s="3">
        <f t="shared" si="990"/>
        <v>10</v>
      </c>
      <c r="I4385" s="3">
        <f t="shared" si="991"/>
        <v>50</v>
      </c>
      <c r="J4385" s="3">
        <f t="shared" si="992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993"/>
        <v>YES</v>
      </c>
      <c r="Q4385" t="str">
        <f t="shared" si="994"/>
        <v>NO</v>
      </c>
      <c r="R4385" t="str">
        <f t="shared" si="995"/>
        <v>NO</v>
      </c>
      <c r="T4385" t="s">
        <v>186</v>
      </c>
      <c r="U4385" t="str">
        <f t="shared" si="996"/>
        <v>Concord Ave</v>
      </c>
      <c r="V4385" t="s">
        <v>5065</v>
      </c>
      <c r="W4385" t="str">
        <f t="shared" si="997"/>
        <v>Alpine Pl</v>
      </c>
      <c r="X4385" t="str">
        <f>IF(ISBLANK(S4385),"Intersection","Non-Intersection")</f>
        <v>Intersection</v>
      </c>
      <c r="Y4385" t="s">
        <v>5066</v>
      </c>
      <c r="Z4385" t="str">
        <f t="shared" si="998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985"/>
        <v>40909</v>
      </c>
      <c r="D4386" s="4">
        <f t="shared" si="986"/>
        <v>0.82513661202185795</v>
      </c>
      <c r="E4386" s="3">
        <f t="shared" si="987"/>
        <v>2012</v>
      </c>
      <c r="F4386" s="3">
        <f t="shared" si="988"/>
        <v>10</v>
      </c>
      <c r="G4386" s="3">
        <f t="shared" si="989"/>
        <v>29</v>
      </c>
      <c r="H4386" s="3">
        <f t="shared" si="990"/>
        <v>6</v>
      </c>
      <c r="I4386" s="3">
        <f t="shared" si="991"/>
        <v>59</v>
      </c>
      <c r="J4386" s="3">
        <f t="shared" si="992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993"/>
        <v>YES</v>
      </c>
      <c r="Q4386" t="str">
        <f t="shared" si="994"/>
        <v>NO</v>
      </c>
      <c r="R4386" t="str">
        <f t="shared" si="995"/>
        <v>NO</v>
      </c>
      <c r="S4386">
        <v>27</v>
      </c>
      <c r="T4386" t="s">
        <v>832</v>
      </c>
      <c r="U4386" t="str">
        <f t="shared" si="996"/>
        <v>Fairmont Ave</v>
      </c>
      <c r="W4386" t="str">
        <f t="shared" si="997"/>
        <v/>
      </c>
      <c r="X4386" t="str">
        <f>IF(ISBLANK(S4386),"Intersection","Non-Intersection")</f>
        <v>Non-Intersection</v>
      </c>
      <c r="Y4386" t="s">
        <v>1327</v>
      </c>
      <c r="Z4386" t="str">
        <f t="shared" si="998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985"/>
        <v>40909</v>
      </c>
      <c r="D4387" s="4">
        <f t="shared" si="986"/>
        <v>0.82786885245901642</v>
      </c>
      <c r="E4387" s="3">
        <f t="shared" si="987"/>
        <v>2012</v>
      </c>
      <c r="F4387" s="3">
        <f t="shared" si="988"/>
        <v>10</v>
      </c>
      <c r="G4387" s="3">
        <f t="shared" si="989"/>
        <v>30</v>
      </c>
      <c r="H4387" s="3">
        <f t="shared" si="990"/>
        <v>6</v>
      </c>
      <c r="I4387" s="3">
        <f t="shared" si="991"/>
        <v>40</v>
      </c>
      <c r="J4387" s="3">
        <f t="shared" si="992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993"/>
        <v>YES</v>
      </c>
      <c r="Q4387" t="str">
        <f t="shared" si="994"/>
        <v>NO</v>
      </c>
      <c r="R4387" t="str">
        <f t="shared" si="995"/>
        <v>NO</v>
      </c>
      <c r="S4387">
        <v>2375</v>
      </c>
      <c r="T4387" t="s">
        <v>14</v>
      </c>
      <c r="U4387" t="str">
        <f t="shared" si="996"/>
        <v>Massachusetts Ave</v>
      </c>
      <c r="W4387" t="str">
        <f t="shared" si="997"/>
        <v/>
      </c>
      <c r="X4387" t="str">
        <f>IF(ISBLANK(S4387),"Intersection","Non-Intersection")</f>
        <v>Non-Intersection</v>
      </c>
      <c r="Y4387" t="s">
        <v>5068</v>
      </c>
      <c r="Z4387" t="str">
        <f t="shared" si="998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985"/>
        <v>40909</v>
      </c>
      <c r="D4388" s="4">
        <f t="shared" si="986"/>
        <v>0.82786885245901642</v>
      </c>
      <c r="E4388" s="3">
        <f t="shared" si="987"/>
        <v>2012</v>
      </c>
      <c r="F4388" s="3">
        <f t="shared" si="988"/>
        <v>10</v>
      </c>
      <c r="G4388" s="3">
        <f t="shared" si="989"/>
        <v>30</v>
      </c>
      <c r="H4388" s="3">
        <f t="shared" si="990"/>
        <v>13</v>
      </c>
      <c r="I4388" s="3">
        <f t="shared" si="991"/>
        <v>50</v>
      </c>
      <c r="J4388" s="3">
        <f t="shared" si="992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993"/>
        <v>YES</v>
      </c>
      <c r="Q4388" t="str">
        <f t="shared" si="994"/>
        <v>NO</v>
      </c>
      <c r="R4388" t="str">
        <f t="shared" si="995"/>
        <v>NO</v>
      </c>
      <c r="T4388" t="s">
        <v>19</v>
      </c>
      <c r="U4388" t="str">
        <f t="shared" si="996"/>
        <v>Cambridge St</v>
      </c>
      <c r="V4388" t="s">
        <v>667</v>
      </c>
      <c r="W4388" t="str">
        <f t="shared" si="997"/>
        <v>Tremont St</v>
      </c>
      <c r="X4388" t="str">
        <f>IF(ISBLANK(S4388),"Intersection","Non-Intersection")</f>
        <v>Intersection</v>
      </c>
      <c r="Y4388" t="s">
        <v>3074</v>
      </c>
      <c r="Z4388" t="str">
        <f t="shared" si="998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985"/>
        <v>40909</v>
      </c>
      <c r="D4389" s="4">
        <f t="shared" si="986"/>
        <v>0.82786885245901642</v>
      </c>
      <c r="E4389" s="3">
        <f t="shared" si="987"/>
        <v>2012</v>
      </c>
      <c r="F4389" s="3">
        <f t="shared" si="988"/>
        <v>10</v>
      </c>
      <c r="G4389" s="3">
        <f t="shared" si="989"/>
        <v>30</v>
      </c>
      <c r="H4389" s="3">
        <f t="shared" si="990"/>
        <v>17</v>
      </c>
      <c r="I4389" s="3">
        <f t="shared" si="991"/>
        <v>54</v>
      </c>
      <c r="J4389" s="3">
        <f t="shared" si="992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993"/>
        <v>YES</v>
      </c>
      <c r="Q4389" t="str">
        <f t="shared" si="994"/>
        <v>NO</v>
      </c>
      <c r="R4389" t="str">
        <f t="shared" si="995"/>
        <v>NO</v>
      </c>
      <c r="T4389" t="s">
        <v>14</v>
      </c>
      <c r="U4389" t="str">
        <f t="shared" si="996"/>
        <v>Massachusetts Ave</v>
      </c>
      <c r="V4389" t="s">
        <v>977</v>
      </c>
      <c r="W4389" t="str">
        <f t="shared" si="997"/>
        <v>Russell St</v>
      </c>
      <c r="X4389" t="str">
        <f>IF(ISBLANK(S4389),"Intersection","Non-Intersection")</f>
        <v>Intersection</v>
      </c>
      <c r="Y4389" t="s">
        <v>978</v>
      </c>
      <c r="Z4389" t="str">
        <f t="shared" si="998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985"/>
        <v>40909</v>
      </c>
      <c r="D4390" s="4">
        <f t="shared" si="986"/>
        <v>0.82786885245901642</v>
      </c>
      <c r="E4390" s="3">
        <f t="shared" si="987"/>
        <v>2012</v>
      </c>
      <c r="F4390" s="3">
        <f t="shared" si="988"/>
        <v>10</v>
      </c>
      <c r="G4390" s="3">
        <f t="shared" si="989"/>
        <v>30</v>
      </c>
      <c r="H4390" s="3">
        <f t="shared" si="990"/>
        <v>19</v>
      </c>
      <c r="I4390" s="3">
        <f t="shared" si="991"/>
        <v>30</v>
      </c>
      <c r="J4390" s="3">
        <f t="shared" si="992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993"/>
        <v>YES</v>
      </c>
      <c r="Q4390" t="str">
        <f t="shared" si="994"/>
        <v>YES</v>
      </c>
      <c r="R4390" t="str">
        <f t="shared" si="995"/>
        <v>NO</v>
      </c>
      <c r="T4390" t="s">
        <v>326</v>
      </c>
      <c r="U4390" t="str">
        <f t="shared" si="996"/>
        <v>Jfk St</v>
      </c>
      <c r="V4390" t="s">
        <v>1223</v>
      </c>
      <c r="W4390" t="str">
        <f t="shared" si="997"/>
        <v>Winthrop Sq</v>
      </c>
      <c r="X4390" t="str">
        <f>IF(ISBLANK(S4390),"Intersection","Non-Intersection")</f>
        <v>Intersection</v>
      </c>
      <c r="Y4390" t="s">
        <v>3756</v>
      </c>
      <c r="Z4390" t="str">
        <f t="shared" si="998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985"/>
        <v>40909</v>
      </c>
      <c r="D4391" s="4">
        <f t="shared" si="986"/>
        <v>0.8306010928961749</v>
      </c>
      <c r="E4391" s="3">
        <f t="shared" si="987"/>
        <v>2012</v>
      </c>
      <c r="F4391" s="3">
        <f t="shared" si="988"/>
        <v>10</v>
      </c>
      <c r="G4391" s="3">
        <f t="shared" si="989"/>
        <v>31</v>
      </c>
      <c r="H4391" s="3">
        <f t="shared" si="990"/>
        <v>3</v>
      </c>
      <c r="I4391" s="3">
        <f t="shared" si="991"/>
        <v>4</v>
      </c>
      <c r="J4391" s="3">
        <f t="shared" si="992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993"/>
        <v>YES</v>
      </c>
      <c r="Q4391" t="str">
        <f t="shared" si="994"/>
        <v>NO</v>
      </c>
      <c r="R4391" t="str">
        <f t="shared" si="995"/>
        <v>NO</v>
      </c>
      <c r="S4391">
        <v>822</v>
      </c>
      <c r="T4391" t="s">
        <v>126</v>
      </c>
      <c r="U4391" t="str">
        <f t="shared" si="996"/>
        <v>Somerville Ave</v>
      </c>
      <c r="W4391" t="str">
        <f t="shared" si="997"/>
        <v/>
      </c>
      <c r="X4391" t="str">
        <f>IF(ISBLANK(S4391),"Intersection","Non-Intersection")</f>
        <v>Non-Intersection</v>
      </c>
      <c r="Y4391" t="s">
        <v>5070</v>
      </c>
      <c r="Z4391" t="str">
        <f t="shared" si="998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985"/>
        <v>40909</v>
      </c>
      <c r="D4392" s="4">
        <f t="shared" si="986"/>
        <v>0.8306010928961749</v>
      </c>
      <c r="E4392" s="3">
        <f t="shared" si="987"/>
        <v>2012</v>
      </c>
      <c r="F4392" s="3">
        <f t="shared" si="988"/>
        <v>10</v>
      </c>
      <c r="G4392" s="3">
        <f t="shared" si="989"/>
        <v>31</v>
      </c>
      <c r="H4392" s="3">
        <f t="shared" si="990"/>
        <v>12</v>
      </c>
      <c r="I4392" s="3">
        <f t="shared" si="991"/>
        <v>0</v>
      </c>
      <c r="J4392" s="3">
        <f t="shared" si="992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993"/>
        <v>YES</v>
      </c>
      <c r="Q4392" t="str">
        <f t="shared" si="994"/>
        <v>NO</v>
      </c>
      <c r="R4392" t="str">
        <f t="shared" si="995"/>
        <v>NO</v>
      </c>
      <c r="S4392">
        <v>49</v>
      </c>
      <c r="T4392" t="s">
        <v>268</v>
      </c>
      <c r="U4392" t="str">
        <f t="shared" si="996"/>
        <v>White St</v>
      </c>
      <c r="W4392" t="str">
        <f t="shared" si="997"/>
        <v/>
      </c>
      <c r="X4392" t="str">
        <f>IF(ISBLANK(S4392),"Intersection","Non-Intersection")</f>
        <v>Non-Intersection</v>
      </c>
      <c r="Y4392" t="s">
        <v>270</v>
      </c>
      <c r="Z4392" t="str">
        <f t="shared" si="998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985"/>
        <v>40909</v>
      </c>
      <c r="D4393" s="4">
        <f t="shared" si="986"/>
        <v>0.8306010928961749</v>
      </c>
      <c r="E4393" s="3">
        <f t="shared" si="987"/>
        <v>2012</v>
      </c>
      <c r="F4393" s="3">
        <f t="shared" si="988"/>
        <v>10</v>
      </c>
      <c r="G4393" s="3">
        <f t="shared" si="989"/>
        <v>31</v>
      </c>
      <c r="H4393" s="3">
        <f t="shared" si="990"/>
        <v>14</v>
      </c>
      <c r="I4393" s="3">
        <f t="shared" si="991"/>
        <v>45</v>
      </c>
      <c r="J4393" s="3">
        <f t="shared" si="992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993"/>
        <v>YES</v>
      </c>
      <c r="Q4393" t="str">
        <f t="shared" si="994"/>
        <v>NO</v>
      </c>
      <c r="R4393" t="str">
        <f t="shared" si="995"/>
        <v>NO</v>
      </c>
      <c r="T4393" t="s">
        <v>14</v>
      </c>
      <c r="U4393" t="str">
        <f t="shared" si="996"/>
        <v>Massachusetts Ave</v>
      </c>
      <c r="V4393" t="s">
        <v>97</v>
      </c>
      <c r="W4393" t="str">
        <f t="shared" si="997"/>
        <v>Peabody St</v>
      </c>
      <c r="X4393" t="str">
        <f>IF(ISBLANK(S4393),"Intersection","Non-Intersection")</f>
        <v>Intersection</v>
      </c>
      <c r="Y4393" t="s">
        <v>4705</v>
      </c>
      <c r="Z4393" t="str">
        <f t="shared" si="998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985"/>
        <v>40909</v>
      </c>
      <c r="D4394" s="4">
        <f t="shared" si="986"/>
        <v>0.8306010928961749</v>
      </c>
      <c r="E4394" s="3">
        <f t="shared" si="987"/>
        <v>2012</v>
      </c>
      <c r="F4394" s="3">
        <f t="shared" si="988"/>
        <v>10</v>
      </c>
      <c r="G4394" s="3">
        <f t="shared" si="989"/>
        <v>31</v>
      </c>
      <c r="H4394" s="3">
        <f t="shared" si="990"/>
        <v>17</v>
      </c>
      <c r="I4394" s="3">
        <f t="shared" si="991"/>
        <v>26</v>
      </c>
      <c r="J4394" s="3">
        <f t="shared" si="992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993"/>
        <v>YES</v>
      </c>
      <c r="Q4394" t="str">
        <f t="shared" si="994"/>
        <v>YES</v>
      </c>
      <c r="R4394" t="str">
        <f t="shared" si="995"/>
        <v>NO</v>
      </c>
      <c r="T4394" t="s">
        <v>14</v>
      </c>
      <c r="U4394" t="str">
        <f t="shared" si="996"/>
        <v>Massachusetts Ave</v>
      </c>
      <c r="V4394" t="s">
        <v>1316</v>
      </c>
      <c r="W4394" t="str">
        <f t="shared" si="997"/>
        <v>State St</v>
      </c>
      <c r="X4394" t="str">
        <f>IF(ISBLANK(S4394),"Intersection","Non-Intersection")</f>
        <v>Intersection</v>
      </c>
      <c r="Y4394" t="s">
        <v>1317</v>
      </c>
      <c r="Z4394" t="str">
        <f t="shared" si="998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985"/>
        <v>40909</v>
      </c>
      <c r="D4395" s="4">
        <f t="shared" si="986"/>
        <v>0.8306010928961749</v>
      </c>
      <c r="E4395" s="3">
        <f t="shared" si="987"/>
        <v>2012</v>
      </c>
      <c r="F4395" s="3">
        <f t="shared" si="988"/>
        <v>10</v>
      </c>
      <c r="G4395" s="3">
        <f t="shared" si="989"/>
        <v>31</v>
      </c>
      <c r="H4395" s="3">
        <f t="shared" si="990"/>
        <v>17</v>
      </c>
      <c r="I4395" s="3">
        <f t="shared" si="991"/>
        <v>35</v>
      </c>
      <c r="J4395" s="3">
        <f t="shared" si="992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993"/>
        <v>YES</v>
      </c>
      <c r="Q4395" t="str">
        <f t="shared" si="994"/>
        <v>NO</v>
      </c>
      <c r="R4395" t="str">
        <f t="shared" si="995"/>
        <v>YES</v>
      </c>
      <c r="S4395">
        <v>21</v>
      </c>
      <c r="T4395" t="s">
        <v>252</v>
      </c>
      <c r="U4395" t="str">
        <f t="shared" si="996"/>
        <v>Walden St</v>
      </c>
      <c r="W4395" t="str">
        <f t="shared" si="997"/>
        <v/>
      </c>
      <c r="X4395" t="str">
        <f>IF(ISBLANK(S4395),"Intersection","Non-Intersection")</f>
        <v>Non-Intersection</v>
      </c>
      <c r="Y4395" t="s">
        <v>5072</v>
      </c>
      <c r="Z4395" t="str">
        <f t="shared" si="998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985"/>
        <v>40909</v>
      </c>
      <c r="D4396" s="4">
        <f t="shared" si="986"/>
        <v>0.8306010928961749</v>
      </c>
      <c r="E4396" s="3">
        <f t="shared" si="987"/>
        <v>2012</v>
      </c>
      <c r="F4396" s="3">
        <f t="shared" si="988"/>
        <v>10</v>
      </c>
      <c r="G4396" s="3">
        <f t="shared" si="989"/>
        <v>31</v>
      </c>
      <c r="H4396" s="3">
        <f t="shared" si="990"/>
        <v>20</v>
      </c>
      <c r="I4396" s="3">
        <f t="shared" si="991"/>
        <v>48</v>
      </c>
      <c r="J4396" s="3">
        <f t="shared" si="992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993"/>
        <v>YES</v>
      </c>
      <c r="Q4396" t="str">
        <f t="shared" si="994"/>
        <v>NO</v>
      </c>
      <c r="R4396" t="str">
        <f t="shared" si="995"/>
        <v>YES</v>
      </c>
      <c r="S4396">
        <v>1256</v>
      </c>
      <c r="T4396" t="s">
        <v>14</v>
      </c>
      <c r="U4396" t="str">
        <f t="shared" si="996"/>
        <v>Massachusetts Ave</v>
      </c>
      <c r="W4396" t="str">
        <f t="shared" si="997"/>
        <v/>
      </c>
      <c r="X4396" t="str">
        <f>IF(ISBLANK(S4396),"Intersection","Non-Intersection")</f>
        <v>Non-Intersection</v>
      </c>
      <c r="Y4396" t="s">
        <v>5074</v>
      </c>
      <c r="Z4396" t="str">
        <f t="shared" si="998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985"/>
        <v>40909</v>
      </c>
      <c r="D4397" s="4">
        <f t="shared" si="986"/>
        <v>0.8306010928961749</v>
      </c>
      <c r="E4397" s="3">
        <f t="shared" si="987"/>
        <v>2012</v>
      </c>
      <c r="F4397" s="3">
        <f t="shared" si="988"/>
        <v>10</v>
      </c>
      <c r="G4397" s="3">
        <f t="shared" si="989"/>
        <v>31</v>
      </c>
      <c r="H4397" s="3">
        <f t="shared" si="990"/>
        <v>12</v>
      </c>
      <c r="I4397" s="3">
        <f t="shared" si="991"/>
        <v>45</v>
      </c>
      <c r="J4397" s="3">
        <f t="shared" si="992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993"/>
        <v>YES</v>
      </c>
      <c r="Q4397" t="str">
        <f t="shared" si="994"/>
        <v>NO</v>
      </c>
      <c r="R4397" t="str">
        <f t="shared" si="995"/>
        <v>NO</v>
      </c>
      <c r="T4397" t="s">
        <v>209</v>
      </c>
      <c r="U4397" t="str">
        <f t="shared" si="996"/>
        <v>Binney St</v>
      </c>
      <c r="V4397" t="s">
        <v>61</v>
      </c>
      <c r="W4397" t="str">
        <f t="shared" si="997"/>
        <v>First St</v>
      </c>
      <c r="X4397" t="str">
        <f>IF(ISBLANK(S4397),"Intersection","Non-Intersection")</f>
        <v>Intersection</v>
      </c>
      <c r="Y4397" t="s">
        <v>579</v>
      </c>
      <c r="Z4397" t="str">
        <f t="shared" si="998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985"/>
        <v>40909</v>
      </c>
      <c r="D4398" s="4">
        <f t="shared" si="986"/>
        <v>0.8306010928961749</v>
      </c>
      <c r="E4398" s="3">
        <f t="shared" si="987"/>
        <v>2012</v>
      </c>
      <c r="F4398" s="3">
        <f t="shared" si="988"/>
        <v>10</v>
      </c>
      <c r="G4398" s="3">
        <f t="shared" si="989"/>
        <v>31</v>
      </c>
      <c r="H4398" s="3">
        <f t="shared" si="990"/>
        <v>12</v>
      </c>
      <c r="I4398" s="3">
        <f t="shared" si="991"/>
        <v>0</v>
      </c>
      <c r="J4398" s="3">
        <f t="shared" si="992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993"/>
        <v>YES</v>
      </c>
      <c r="Q4398" t="str">
        <f t="shared" si="994"/>
        <v>NO</v>
      </c>
      <c r="R4398" t="str">
        <f t="shared" si="995"/>
        <v>NO</v>
      </c>
      <c r="T4398" t="s">
        <v>420</v>
      </c>
      <c r="U4398" t="str">
        <f t="shared" si="996"/>
        <v>Douglass St</v>
      </c>
      <c r="V4398" t="s">
        <v>316</v>
      </c>
      <c r="W4398" t="str">
        <f t="shared" si="997"/>
        <v>Bishop Allen Dr</v>
      </c>
      <c r="X4398" t="str">
        <f>IF(ISBLANK(S4398),"Intersection","Non-Intersection")</f>
        <v>Intersection</v>
      </c>
      <c r="Y4398" t="s">
        <v>4089</v>
      </c>
      <c r="Z4398" t="str">
        <f t="shared" si="998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985"/>
        <v>40909</v>
      </c>
      <c r="D4399" s="4">
        <f t="shared" si="986"/>
        <v>0.83333333333333337</v>
      </c>
      <c r="E4399" s="3">
        <f t="shared" si="987"/>
        <v>2012</v>
      </c>
      <c r="F4399" s="3">
        <f t="shared" si="988"/>
        <v>11</v>
      </c>
      <c r="G4399" s="3">
        <f t="shared" si="989"/>
        <v>1</v>
      </c>
      <c r="H4399" s="3">
        <f t="shared" si="990"/>
        <v>17</v>
      </c>
      <c r="I4399" s="3">
        <f t="shared" si="991"/>
        <v>35</v>
      </c>
      <c r="J4399" s="3">
        <f t="shared" si="992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993"/>
        <v>YES</v>
      </c>
      <c r="Q4399" t="str">
        <f t="shared" si="994"/>
        <v>NO</v>
      </c>
      <c r="R4399" t="str">
        <f t="shared" si="995"/>
        <v>NO</v>
      </c>
      <c r="T4399" t="s">
        <v>19</v>
      </c>
      <c r="U4399" t="str">
        <f t="shared" si="996"/>
        <v>Cambridge St</v>
      </c>
      <c r="V4399" t="s">
        <v>387</v>
      </c>
      <c r="W4399" t="str">
        <f t="shared" si="997"/>
        <v>Antrim St</v>
      </c>
      <c r="X4399" t="str">
        <f>IF(ISBLANK(S4399),"Intersection","Non-Intersection")</f>
        <v>Intersection</v>
      </c>
      <c r="Y4399" t="s">
        <v>952</v>
      </c>
      <c r="Z4399" t="str">
        <f t="shared" si="998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985"/>
        <v>40909</v>
      </c>
      <c r="D4400" s="4">
        <f t="shared" si="986"/>
        <v>0.83333333333333337</v>
      </c>
      <c r="E4400" s="3">
        <f t="shared" si="987"/>
        <v>2012</v>
      </c>
      <c r="F4400" s="3">
        <f t="shared" si="988"/>
        <v>11</v>
      </c>
      <c r="G4400" s="3">
        <f t="shared" si="989"/>
        <v>1</v>
      </c>
      <c r="H4400" s="3">
        <f t="shared" si="990"/>
        <v>7</v>
      </c>
      <c r="I4400" s="3">
        <f t="shared" si="991"/>
        <v>9</v>
      </c>
      <c r="J4400" s="3">
        <f t="shared" si="992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993"/>
        <v>YES</v>
      </c>
      <c r="Q4400" t="str">
        <f t="shared" si="994"/>
        <v>NO</v>
      </c>
      <c r="R4400" t="str">
        <f t="shared" si="995"/>
        <v>NO</v>
      </c>
      <c r="S4400">
        <v>1</v>
      </c>
      <c r="T4400" t="s">
        <v>162</v>
      </c>
      <c r="U4400" t="str">
        <f t="shared" si="996"/>
        <v>Bennett St</v>
      </c>
      <c r="W4400" t="str">
        <f t="shared" si="997"/>
        <v/>
      </c>
      <c r="X4400" t="str">
        <f>IF(ISBLANK(S4400),"Intersection","Non-Intersection")</f>
        <v>Non-Intersection</v>
      </c>
      <c r="Y4400" t="s">
        <v>163</v>
      </c>
      <c r="Z4400" t="str">
        <f t="shared" si="998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985"/>
        <v>40909</v>
      </c>
      <c r="D4401" s="4">
        <f t="shared" si="986"/>
        <v>0.83333333333333337</v>
      </c>
      <c r="E4401" s="3">
        <f t="shared" si="987"/>
        <v>2012</v>
      </c>
      <c r="F4401" s="3">
        <f t="shared" si="988"/>
        <v>11</v>
      </c>
      <c r="G4401" s="3">
        <f t="shared" si="989"/>
        <v>1</v>
      </c>
      <c r="H4401" s="3">
        <f t="shared" si="990"/>
        <v>15</v>
      </c>
      <c r="I4401" s="3">
        <f t="shared" si="991"/>
        <v>30</v>
      </c>
      <c r="J4401" s="3">
        <f t="shared" si="992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993"/>
        <v>YES</v>
      </c>
      <c r="Q4401" t="str">
        <f t="shared" si="994"/>
        <v>NO</v>
      </c>
      <c r="R4401" t="str">
        <f t="shared" si="995"/>
        <v>YES</v>
      </c>
      <c r="T4401" t="s">
        <v>134</v>
      </c>
      <c r="U4401" t="str">
        <f t="shared" si="996"/>
        <v>Quincy St</v>
      </c>
      <c r="V4401" t="s">
        <v>19</v>
      </c>
      <c r="W4401" t="str">
        <f t="shared" si="997"/>
        <v>Cambridge St</v>
      </c>
      <c r="X4401" t="str">
        <f>IF(ISBLANK(S4401),"Intersection","Non-Intersection")</f>
        <v>Intersection</v>
      </c>
      <c r="Y4401" t="s">
        <v>426</v>
      </c>
      <c r="Z4401" t="str">
        <f t="shared" si="998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985"/>
        <v>40909</v>
      </c>
      <c r="D4402" s="4">
        <f t="shared" si="986"/>
        <v>0.83333333333333337</v>
      </c>
      <c r="E4402" s="3">
        <f t="shared" si="987"/>
        <v>2012</v>
      </c>
      <c r="F4402" s="3">
        <f t="shared" si="988"/>
        <v>11</v>
      </c>
      <c r="G4402" s="3">
        <f t="shared" si="989"/>
        <v>1</v>
      </c>
      <c r="H4402" s="3">
        <f t="shared" si="990"/>
        <v>14</v>
      </c>
      <c r="I4402" s="3">
        <f t="shared" si="991"/>
        <v>45</v>
      </c>
      <c r="J4402" s="3">
        <f t="shared" si="992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993"/>
        <v>YES</v>
      </c>
      <c r="Q4402" t="str">
        <f t="shared" si="994"/>
        <v>NO</v>
      </c>
      <c r="R4402" t="str">
        <f t="shared" si="995"/>
        <v>NO</v>
      </c>
      <c r="T4402" t="s">
        <v>509</v>
      </c>
      <c r="U4402" t="str">
        <f t="shared" si="996"/>
        <v>Green St</v>
      </c>
      <c r="V4402" t="s">
        <v>453</v>
      </c>
      <c r="W4402" t="str">
        <f t="shared" si="997"/>
        <v>Brookline St</v>
      </c>
      <c r="X4402" t="str">
        <f>IF(ISBLANK(S4402),"Intersection","Non-Intersection")</f>
        <v>Intersection</v>
      </c>
      <c r="Y4402" t="s">
        <v>3462</v>
      </c>
      <c r="Z4402" t="str">
        <f t="shared" si="998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985"/>
        <v>40909</v>
      </c>
      <c r="D4403" s="4">
        <f t="shared" si="986"/>
        <v>0.83333333333333337</v>
      </c>
      <c r="E4403" s="3">
        <f t="shared" si="987"/>
        <v>2012</v>
      </c>
      <c r="F4403" s="3">
        <f t="shared" si="988"/>
        <v>11</v>
      </c>
      <c r="G4403" s="3">
        <f t="shared" si="989"/>
        <v>1</v>
      </c>
      <c r="H4403" s="3">
        <f t="shared" si="990"/>
        <v>21</v>
      </c>
      <c r="I4403" s="3">
        <f t="shared" si="991"/>
        <v>36</v>
      </c>
      <c r="J4403" s="3">
        <f t="shared" si="992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993"/>
        <v>YES</v>
      </c>
      <c r="Q4403" t="str">
        <f t="shared" si="994"/>
        <v>NO</v>
      </c>
      <c r="R4403" t="str">
        <f t="shared" si="995"/>
        <v>YES</v>
      </c>
      <c r="S4403">
        <v>2343</v>
      </c>
      <c r="T4403" t="s">
        <v>14</v>
      </c>
      <c r="U4403" t="str">
        <f t="shared" si="996"/>
        <v>Massachusetts Ave</v>
      </c>
      <c r="W4403" t="str">
        <f t="shared" si="997"/>
        <v/>
      </c>
      <c r="X4403" t="str">
        <f>IF(ISBLANK(S4403),"Intersection","Non-Intersection")</f>
        <v>Non-Intersection</v>
      </c>
      <c r="Y4403" t="s">
        <v>5076</v>
      </c>
      <c r="Z4403" t="str">
        <f t="shared" si="998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985"/>
        <v>40909</v>
      </c>
      <c r="D4404" s="4">
        <f t="shared" si="986"/>
        <v>0.83606557377049184</v>
      </c>
      <c r="E4404" s="3">
        <f t="shared" si="987"/>
        <v>2012</v>
      </c>
      <c r="F4404" s="3">
        <f t="shared" si="988"/>
        <v>11</v>
      </c>
      <c r="G4404" s="3">
        <f t="shared" si="989"/>
        <v>2</v>
      </c>
      <c r="H4404" s="3">
        <f t="shared" si="990"/>
        <v>7</v>
      </c>
      <c r="I4404" s="3">
        <f t="shared" si="991"/>
        <v>3</v>
      </c>
      <c r="J4404" s="3">
        <f t="shared" si="992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993"/>
        <v>YES</v>
      </c>
      <c r="Q4404" t="str">
        <f t="shared" si="994"/>
        <v>NO</v>
      </c>
      <c r="R4404" t="str">
        <f t="shared" si="995"/>
        <v>YES</v>
      </c>
      <c r="T4404" t="s">
        <v>14</v>
      </c>
      <c r="U4404" t="str">
        <f t="shared" si="996"/>
        <v>Massachusetts Ave</v>
      </c>
      <c r="V4404" t="s">
        <v>202</v>
      </c>
      <c r="W4404" t="str">
        <f t="shared" si="997"/>
        <v>Vassar St</v>
      </c>
      <c r="X4404" t="str">
        <f>IF(ISBLANK(S4404),"Intersection","Non-Intersection")</f>
        <v>Intersection</v>
      </c>
      <c r="Y4404" t="s">
        <v>361</v>
      </c>
      <c r="Z4404" t="str">
        <f t="shared" si="998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985"/>
        <v>40909</v>
      </c>
      <c r="D4405" s="4">
        <f t="shared" si="986"/>
        <v>0.83606557377049184</v>
      </c>
      <c r="E4405" s="3">
        <f t="shared" si="987"/>
        <v>2012</v>
      </c>
      <c r="F4405" s="3">
        <f t="shared" si="988"/>
        <v>11</v>
      </c>
      <c r="G4405" s="3">
        <f t="shared" si="989"/>
        <v>2</v>
      </c>
      <c r="H4405" s="3">
        <f t="shared" si="990"/>
        <v>9</v>
      </c>
      <c r="I4405" s="3">
        <f t="shared" si="991"/>
        <v>40</v>
      </c>
      <c r="J4405" s="3">
        <f t="shared" si="992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993"/>
        <v>YES</v>
      </c>
      <c r="Q4405" t="str">
        <f t="shared" si="994"/>
        <v>NO</v>
      </c>
      <c r="R4405" t="str">
        <f t="shared" si="995"/>
        <v>NO</v>
      </c>
      <c r="T4405" t="s">
        <v>138</v>
      </c>
      <c r="U4405" t="str">
        <f t="shared" si="996"/>
        <v>Felton St</v>
      </c>
      <c r="W4405" t="str">
        <f t="shared" si="997"/>
        <v/>
      </c>
      <c r="X4405" t="str">
        <f>IF(ISBLANK(S4405),"Intersection","Non-Intersection")</f>
        <v>Intersection</v>
      </c>
      <c r="Y4405" t="s">
        <v>5033</v>
      </c>
      <c r="Z4405" t="str">
        <f t="shared" si="998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985"/>
        <v>40909</v>
      </c>
      <c r="D4406" s="4">
        <f t="shared" si="986"/>
        <v>0.83606557377049184</v>
      </c>
      <c r="E4406" s="3">
        <f t="shared" si="987"/>
        <v>2012</v>
      </c>
      <c r="F4406" s="3">
        <f t="shared" si="988"/>
        <v>11</v>
      </c>
      <c r="G4406" s="3">
        <f t="shared" si="989"/>
        <v>2</v>
      </c>
      <c r="H4406" s="3">
        <f t="shared" si="990"/>
        <v>11</v>
      </c>
      <c r="I4406" s="3">
        <f t="shared" si="991"/>
        <v>45</v>
      </c>
      <c r="J4406" s="3">
        <f t="shared" si="992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993"/>
        <v>YES</v>
      </c>
      <c r="Q4406" t="str">
        <f t="shared" si="994"/>
        <v>NO</v>
      </c>
      <c r="R4406" t="str">
        <f t="shared" si="995"/>
        <v>NO</v>
      </c>
      <c r="T4406" t="s">
        <v>37</v>
      </c>
      <c r="U4406" t="str">
        <f t="shared" si="996"/>
        <v>Magazine St</v>
      </c>
      <c r="V4406" t="s">
        <v>116</v>
      </c>
      <c r="W4406" t="str">
        <f t="shared" si="997"/>
        <v>Chestnut St</v>
      </c>
      <c r="X4406" t="str">
        <f>IF(ISBLANK(S4406),"Intersection","Non-Intersection")</f>
        <v>Intersection</v>
      </c>
      <c r="Y4406" t="s">
        <v>1246</v>
      </c>
      <c r="Z4406" t="str">
        <f t="shared" si="998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985"/>
        <v>40909</v>
      </c>
      <c r="D4407" s="4">
        <f t="shared" si="986"/>
        <v>0.83606557377049184</v>
      </c>
      <c r="E4407" s="3">
        <f t="shared" si="987"/>
        <v>2012</v>
      </c>
      <c r="F4407" s="3">
        <f t="shared" si="988"/>
        <v>11</v>
      </c>
      <c r="G4407" s="3">
        <f t="shared" si="989"/>
        <v>2</v>
      </c>
      <c r="H4407" s="3">
        <f t="shared" si="990"/>
        <v>15</v>
      </c>
      <c r="I4407" s="3">
        <f t="shared" si="991"/>
        <v>0</v>
      </c>
      <c r="J4407" s="3">
        <f t="shared" si="992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993"/>
        <v>YES</v>
      </c>
      <c r="Q4407" t="str">
        <f t="shared" si="994"/>
        <v>YES</v>
      </c>
      <c r="R4407" t="str">
        <f t="shared" si="995"/>
        <v>NO</v>
      </c>
      <c r="S4407">
        <v>450</v>
      </c>
      <c r="T4407" t="s">
        <v>14</v>
      </c>
      <c r="U4407" t="str">
        <f t="shared" si="996"/>
        <v>Massachusetts Ave</v>
      </c>
      <c r="W4407" t="str">
        <f t="shared" si="997"/>
        <v/>
      </c>
      <c r="X4407" t="str">
        <f>IF(ISBLANK(S4407),"Intersection","Non-Intersection")</f>
        <v>Non-Intersection</v>
      </c>
      <c r="Y4407" t="s">
        <v>2956</v>
      </c>
      <c r="Z4407" t="str">
        <f t="shared" si="998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985"/>
        <v>40909</v>
      </c>
      <c r="D4408" s="4">
        <f t="shared" si="986"/>
        <v>0.83606557377049184</v>
      </c>
      <c r="E4408" s="3">
        <f t="shared" si="987"/>
        <v>2012</v>
      </c>
      <c r="F4408" s="3">
        <f t="shared" si="988"/>
        <v>11</v>
      </c>
      <c r="G4408" s="3">
        <f t="shared" si="989"/>
        <v>2</v>
      </c>
      <c r="H4408" s="3">
        <f t="shared" si="990"/>
        <v>11</v>
      </c>
      <c r="I4408" s="3">
        <f t="shared" si="991"/>
        <v>35</v>
      </c>
      <c r="J4408" s="3">
        <f t="shared" si="992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993"/>
        <v>YES</v>
      </c>
      <c r="Q4408" t="str">
        <f t="shared" si="994"/>
        <v>NO</v>
      </c>
      <c r="R4408" t="str">
        <f t="shared" si="995"/>
        <v>NO</v>
      </c>
      <c r="T4408" t="s">
        <v>1145</v>
      </c>
      <c r="U4408" t="str">
        <f t="shared" si="996"/>
        <v>Pemberton St</v>
      </c>
      <c r="V4408" t="s">
        <v>15</v>
      </c>
      <c r="W4408" t="str">
        <f t="shared" si="997"/>
        <v>Rindge Ave</v>
      </c>
      <c r="X4408" t="str">
        <f>IF(ISBLANK(S4408),"Intersection","Non-Intersection")</f>
        <v>Intersection</v>
      </c>
      <c r="Y4408" t="s">
        <v>5078</v>
      </c>
      <c r="Z4408" t="str">
        <f t="shared" si="998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999">EOMONTH(B4409,MONTH(B4409)*-1)+1</f>
        <v>40909</v>
      </c>
      <c r="D4409" s="4">
        <f t="shared" ref="D4409:D4471" si="1000">YEARFRAC(C4409,B4409,1)</f>
        <v>0.83879781420765032</v>
      </c>
      <c r="E4409" s="3">
        <f t="shared" ref="E4409:E4471" si="1001">YEAR(B4409)</f>
        <v>2012</v>
      </c>
      <c r="F4409" s="3">
        <f t="shared" ref="F4409:F4471" si="1002">MONTH(B4409)</f>
        <v>11</v>
      </c>
      <c r="G4409" s="3">
        <f t="shared" ref="G4409:G4471" si="1003">DAY(B4409)</f>
        <v>3</v>
      </c>
      <c r="H4409" s="3">
        <f t="shared" ref="H4409:H4471" si="1004">HOUR(B4409)</f>
        <v>1</v>
      </c>
      <c r="I4409" s="3">
        <f t="shared" ref="I4409:I4471" si="1005">MINUTE(B4409)</f>
        <v>50</v>
      </c>
      <c r="J4409" s="3">
        <f t="shared" ref="J4409:J4471" si="1006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07">IF(OR(N4409="Auto",O4409="Auto"),"YES",IF(OR(N4409="Taxi",O4409="Taxi"),"YES",IF(OR(N4409="Van",O4409="Van"),"YES",IF(OR(N4409="Truck",O4409="Truck"),"YES","NO"))))</f>
        <v>YES</v>
      </c>
      <c r="Q4409" t="str">
        <f t="shared" ref="Q4409:Q4471" si="1008">IF(OR(N4409="Bicycle",O4409="Bicycle"),"YES","NO")</f>
        <v>NO</v>
      </c>
      <c r="R4409" t="str">
        <f t="shared" ref="R4409:R4471" si="1009">IF(OR(N4409="Pedestrian",O4409="Pedestrian"),"YES","NO")</f>
        <v>NO</v>
      </c>
      <c r="S4409">
        <v>50</v>
      </c>
      <c r="T4409" t="s">
        <v>326</v>
      </c>
      <c r="U4409" t="str">
        <f t="shared" si="996"/>
        <v>Jfk St</v>
      </c>
      <c r="W4409" t="str">
        <f t="shared" si="997"/>
        <v/>
      </c>
      <c r="X4409" t="str">
        <f>IF(ISBLANK(S4409),"Intersection","Non-Intersection")</f>
        <v>Non-Intersection</v>
      </c>
      <c r="Y4409" t="s">
        <v>5080</v>
      </c>
      <c r="Z4409" t="str">
        <f t="shared" si="998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999"/>
        <v>40909</v>
      </c>
      <c r="D4410" s="4">
        <f t="shared" si="1000"/>
        <v>0.83879781420765032</v>
      </c>
      <c r="E4410" s="3">
        <f t="shared" si="1001"/>
        <v>2012</v>
      </c>
      <c r="F4410" s="3">
        <f t="shared" si="1002"/>
        <v>11</v>
      </c>
      <c r="G4410" s="3">
        <f t="shared" si="1003"/>
        <v>3</v>
      </c>
      <c r="H4410" s="3">
        <f t="shared" si="1004"/>
        <v>13</v>
      </c>
      <c r="I4410" s="3">
        <f t="shared" si="1005"/>
        <v>12</v>
      </c>
      <c r="J4410" s="3">
        <f t="shared" si="1006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07"/>
        <v>YES</v>
      </c>
      <c r="Q4410" t="str">
        <f t="shared" si="1008"/>
        <v>NO</v>
      </c>
      <c r="R4410" t="str">
        <f t="shared" si="1009"/>
        <v>NO</v>
      </c>
      <c r="T4410" t="s">
        <v>101</v>
      </c>
      <c r="U4410" t="str">
        <f t="shared" si="996"/>
        <v>Columbia St</v>
      </c>
      <c r="V4410" t="s">
        <v>19</v>
      </c>
      <c r="W4410" t="str">
        <f t="shared" si="997"/>
        <v>Cambridge St</v>
      </c>
      <c r="X4410" t="str">
        <f>IF(ISBLANK(S4410),"Intersection","Non-Intersection")</f>
        <v>Intersection</v>
      </c>
      <c r="Y4410" t="s">
        <v>206</v>
      </c>
      <c r="Z4410" t="str">
        <f t="shared" si="998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999"/>
        <v>40909</v>
      </c>
      <c r="D4411" s="4">
        <f t="shared" si="1000"/>
        <v>0.83879781420765032</v>
      </c>
      <c r="E4411" s="3">
        <f t="shared" si="1001"/>
        <v>2012</v>
      </c>
      <c r="F4411" s="3">
        <f t="shared" si="1002"/>
        <v>11</v>
      </c>
      <c r="G4411" s="3">
        <f t="shared" si="1003"/>
        <v>3</v>
      </c>
      <c r="H4411" s="3">
        <f t="shared" si="1004"/>
        <v>18</v>
      </c>
      <c r="I4411" s="3">
        <f t="shared" si="1005"/>
        <v>30</v>
      </c>
      <c r="J4411" s="3">
        <f t="shared" si="1006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07"/>
        <v>YES</v>
      </c>
      <c r="Q4411" t="str">
        <f t="shared" si="1008"/>
        <v>NO</v>
      </c>
      <c r="R4411" t="str">
        <f t="shared" si="1009"/>
        <v>NO</v>
      </c>
      <c r="S4411">
        <v>1310</v>
      </c>
      <c r="T4411" t="s">
        <v>14</v>
      </c>
      <c r="U4411" t="str">
        <f t="shared" si="996"/>
        <v>Massachusetts Ave</v>
      </c>
      <c r="W4411" t="str">
        <f t="shared" si="997"/>
        <v/>
      </c>
      <c r="X4411" t="str">
        <f>IF(ISBLANK(S4411),"Intersection","Non-Intersection")</f>
        <v>Non-Intersection</v>
      </c>
      <c r="Y4411" t="s">
        <v>5082</v>
      </c>
      <c r="Z4411" t="str">
        <f t="shared" si="998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999"/>
        <v>40909</v>
      </c>
      <c r="D4412" s="4">
        <f t="shared" si="1000"/>
        <v>0.83879781420765032</v>
      </c>
      <c r="E4412" s="3">
        <f t="shared" si="1001"/>
        <v>2012</v>
      </c>
      <c r="F4412" s="3">
        <f t="shared" si="1002"/>
        <v>11</v>
      </c>
      <c r="G4412" s="3">
        <f t="shared" si="1003"/>
        <v>3</v>
      </c>
      <c r="H4412" s="3">
        <f t="shared" si="1004"/>
        <v>19</v>
      </c>
      <c r="I4412" s="3">
        <f t="shared" si="1005"/>
        <v>11</v>
      </c>
      <c r="J4412" s="3">
        <f t="shared" si="1006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07"/>
        <v>YES</v>
      </c>
      <c r="Q4412" t="str">
        <f t="shared" si="1008"/>
        <v>NO</v>
      </c>
      <c r="R4412" t="str">
        <f t="shared" si="1009"/>
        <v>NO</v>
      </c>
      <c r="T4412" t="s">
        <v>101</v>
      </c>
      <c r="U4412" t="str">
        <f t="shared" si="996"/>
        <v>Columbia St</v>
      </c>
      <c r="V4412" t="s">
        <v>19</v>
      </c>
      <c r="W4412" t="str">
        <f t="shared" si="997"/>
        <v>Cambridge St</v>
      </c>
      <c r="X4412" t="str">
        <f>IF(ISBLANK(S4412),"Intersection","Non-Intersection")</f>
        <v>Intersection</v>
      </c>
      <c r="Y4412" t="s">
        <v>206</v>
      </c>
      <c r="Z4412" t="str">
        <f t="shared" si="998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999"/>
        <v>40909</v>
      </c>
      <c r="D4413" s="4">
        <f t="shared" si="1000"/>
        <v>0.84153005464480879</v>
      </c>
      <c r="E4413" s="3">
        <f t="shared" si="1001"/>
        <v>2012</v>
      </c>
      <c r="F4413" s="3">
        <f t="shared" si="1002"/>
        <v>11</v>
      </c>
      <c r="G4413" s="3">
        <f t="shared" si="1003"/>
        <v>4</v>
      </c>
      <c r="H4413" s="3">
        <f t="shared" si="1004"/>
        <v>9</v>
      </c>
      <c r="I4413" s="3">
        <f t="shared" si="1005"/>
        <v>13</v>
      </c>
      <c r="J4413" s="3">
        <f t="shared" si="1006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07"/>
        <v>YES</v>
      </c>
      <c r="Q4413" t="str">
        <f t="shared" si="1008"/>
        <v>NO</v>
      </c>
      <c r="R4413" t="str">
        <f t="shared" si="1009"/>
        <v>NO</v>
      </c>
      <c r="T4413" t="s">
        <v>133</v>
      </c>
      <c r="U4413" t="str">
        <f t="shared" si="996"/>
        <v>Harvard St</v>
      </c>
      <c r="V4413" t="s">
        <v>192</v>
      </c>
      <c r="W4413" t="str">
        <f t="shared" si="997"/>
        <v>Hancock St</v>
      </c>
      <c r="X4413" t="str">
        <f>IF(ISBLANK(S4413),"Intersection","Non-Intersection")</f>
        <v>Intersection</v>
      </c>
      <c r="Y4413" t="s">
        <v>370</v>
      </c>
      <c r="Z4413" t="str">
        <f t="shared" si="998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999"/>
        <v>40909</v>
      </c>
      <c r="D4414" s="4">
        <f t="shared" si="1000"/>
        <v>0.84153005464480879</v>
      </c>
      <c r="E4414" s="3">
        <f t="shared" si="1001"/>
        <v>2012</v>
      </c>
      <c r="F4414" s="3">
        <f t="shared" si="1002"/>
        <v>11</v>
      </c>
      <c r="G4414" s="3">
        <f t="shared" si="1003"/>
        <v>4</v>
      </c>
      <c r="H4414" s="3">
        <f t="shared" si="1004"/>
        <v>13</v>
      </c>
      <c r="I4414" s="3">
        <f t="shared" si="1005"/>
        <v>19</v>
      </c>
      <c r="J4414" s="3">
        <f t="shared" si="1006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07"/>
        <v>YES</v>
      </c>
      <c r="Q4414" t="str">
        <f t="shared" si="1008"/>
        <v>NO</v>
      </c>
      <c r="R4414" t="str">
        <f t="shared" si="1009"/>
        <v>NO</v>
      </c>
      <c r="S4414">
        <v>604</v>
      </c>
      <c r="T4414" t="s">
        <v>509</v>
      </c>
      <c r="U4414" t="str">
        <f t="shared" si="996"/>
        <v>Green St</v>
      </c>
      <c r="W4414" t="str">
        <f t="shared" si="997"/>
        <v/>
      </c>
      <c r="X4414" t="str">
        <f>IF(ISBLANK(S4414),"Intersection","Non-Intersection")</f>
        <v>Non-Intersection</v>
      </c>
      <c r="Y4414" t="s">
        <v>5083</v>
      </c>
      <c r="Z4414" t="str">
        <f t="shared" si="998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999"/>
        <v>40909</v>
      </c>
      <c r="D4415" s="4">
        <f t="shared" si="1000"/>
        <v>0.84426229508196726</v>
      </c>
      <c r="E4415" s="3">
        <f t="shared" si="1001"/>
        <v>2012</v>
      </c>
      <c r="F4415" s="3">
        <f t="shared" si="1002"/>
        <v>11</v>
      </c>
      <c r="G4415" s="3">
        <f t="shared" si="1003"/>
        <v>5</v>
      </c>
      <c r="H4415" s="3">
        <f t="shared" si="1004"/>
        <v>10</v>
      </c>
      <c r="I4415" s="3">
        <f t="shared" si="1005"/>
        <v>15</v>
      </c>
      <c r="J4415" s="3">
        <f t="shared" si="1006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07"/>
        <v>YES</v>
      </c>
      <c r="Q4415" t="str">
        <f t="shared" si="1008"/>
        <v>NO</v>
      </c>
      <c r="R4415" t="str">
        <f t="shared" si="1009"/>
        <v>NO</v>
      </c>
      <c r="T4415" t="s">
        <v>291</v>
      </c>
      <c r="U4415" t="str">
        <f t="shared" si="996"/>
        <v>Raymond St</v>
      </c>
      <c r="V4415" t="s">
        <v>3425</v>
      </c>
      <c r="W4415" t="str">
        <f t="shared" si="997"/>
        <v>Sheridan St</v>
      </c>
      <c r="X4415" t="str">
        <f>IF(ISBLANK(S4415),"Intersection","Non-Intersection")</f>
        <v>Intersection</v>
      </c>
      <c r="Y4415" t="s">
        <v>5085</v>
      </c>
      <c r="Z4415" t="str">
        <f t="shared" si="998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999"/>
        <v>40909</v>
      </c>
      <c r="D4416" s="4">
        <f t="shared" si="1000"/>
        <v>0.84426229508196726</v>
      </c>
      <c r="E4416" s="3">
        <f t="shared" si="1001"/>
        <v>2012</v>
      </c>
      <c r="F4416" s="3">
        <f t="shared" si="1002"/>
        <v>11</v>
      </c>
      <c r="G4416" s="3">
        <f t="shared" si="1003"/>
        <v>5</v>
      </c>
      <c r="H4416" s="3">
        <f t="shared" si="1004"/>
        <v>13</v>
      </c>
      <c r="I4416" s="3">
        <f t="shared" si="1005"/>
        <v>44</v>
      </c>
      <c r="J4416" s="3">
        <f t="shared" si="1006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07"/>
        <v>YES</v>
      </c>
      <c r="Q4416" t="str">
        <f t="shared" si="1008"/>
        <v>NO</v>
      </c>
      <c r="R4416" t="str">
        <f t="shared" si="1009"/>
        <v>NO</v>
      </c>
      <c r="T4416" t="s">
        <v>105</v>
      </c>
      <c r="U4416" t="str">
        <f t="shared" si="996"/>
        <v>Broadway</v>
      </c>
      <c r="V4416" t="s">
        <v>342</v>
      </c>
      <c r="W4416" t="str">
        <f t="shared" si="997"/>
        <v>Prospect St</v>
      </c>
      <c r="X4416" t="str">
        <f>IF(ISBLANK(S4416),"Intersection","Non-Intersection")</f>
        <v>Intersection</v>
      </c>
      <c r="Y4416" t="s">
        <v>343</v>
      </c>
      <c r="Z4416" t="str">
        <f t="shared" si="998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999"/>
        <v>40909</v>
      </c>
      <c r="D4417" s="4">
        <f t="shared" si="1000"/>
        <v>0.84426229508196726</v>
      </c>
      <c r="E4417" s="3">
        <f t="shared" si="1001"/>
        <v>2012</v>
      </c>
      <c r="F4417" s="3">
        <f t="shared" si="1002"/>
        <v>11</v>
      </c>
      <c r="G4417" s="3">
        <f t="shared" si="1003"/>
        <v>5</v>
      </c>
      <c r="H4417" s="3">
        <f t="shared" si="1004"/>
        <v>18</v>
      </c>
      <c r="I4417" s="3">
        <f t="shared" si="1005"/>
        <v>26</v>
      </c>
      <c r="J4417" s="3">
        <f t="shared" si="1006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07"/>
        <v>YES</v>
      </c>
      <c r="Q4417" t="str">
        <f t="shared" si="1008"/>
        <v>YES</v>
      </c>
      <c r="R4417" t="str">
        <f t="shared" si="1009"/>
        <v>NO</v>
      </c>
      <c r="T4417" t="s">
        <v>101</v>
      </c>
      <c r="U4417" t="str">
        <f t="shared" si="996"/>
        <v>Columbia St</v>
      </c>
      <c r="V4417" t="s">
        <v>74</v>
      </c>
      <c r="W4417" t="str">
        <f t="shared" si="997"/>
        <v>Hampshire St</v>
      </c>
      <c r="X4417" t="str">
        <f>IF(ISBLANK(S4417),"Intersection","Non-Intersection")</f>
        <v>Intersection</v>
      </c>
      <c r="Y4417" t="s">
        <v>773</v>
      </c>
      <c r="Z4417" t="str">
        <f t="shared" si="998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999"/>
        <v>40909</v>
      </c>
      <c r="D4418" s="4">
        <f t="shared" si="1000"/>
        <v>0.84426229508196726</v>
      </c>
      <c r="E4418" s="3">
        <f t="shared" si="1001"/>
        <v>2012</v>
      </c>
      <c r="F4418" s="3">
        <f t="shared" si="1002"/>
        <v>11</v>
      </c>
      <c r="G4418" s="3">
        <f t="shared" si="1003"/>
        <v>5</v>
      </c>
      <c r="H4418" s="3">
        <f t="shared" si="1004"/>
        <v>13</v>
      </c>
      <c r="I4418" s="3">
        <f t="shared" si="1005"/>
        <v>50</v>
      </c>
      <c r="J4418" s="3">
        <f t="shared" si="1006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07"/>
        <v>YES</v>
      </c>
      <c r="Q4418" t="str">
        <f t="shared" si="1008"/>
        <v>NO</v>
      </c>
      <c r="R4418" t="str">
        <f t="shared" si="1009"/>
        <v>NO</v>
      </c>
      <c r="S4418">
        <v>1925</v>
      </c>
      <c r="T4418" t="s">
        <v>14</v>
      </c>
      <c r="U4418" t="str">
        <f t="shared" si="996"/>
        <v>Massachusetts Ave</v>
      </c>
      <c r="W4418" t="str">
        <f t="shared" si="997"/>
        <v/>
      </c>
      <c r="X4418" t="str">
        <f>IF(ISBLANK(S4418),"Intersection","Non-Intersection")</f>
        <v>Non-Intersection</v>
      </c>
      <c r="Y4418" t="s">
        <v>5087</v>
      </c>
      <c r="Z4418" t="str">
        <f t="shared" si="998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999"/>
        <v>40909</v>
      </c>
      <c r="D4419" s="4">
        <f t="shared" si="1000"/>
        <v>0.84426229508196726</v>
      </c>
      <c r="E4419" s="3">
        <f t="shared" si="1001"/>
        <v>2012</v>
      </c>
      <c r="F4419" s="3">
        <f t="shared" si="1002"/>
        <v>11</v>
      </c>
      <c r="G4419" s="3">
        <f t="shared" si="1003"/>
        <v>5</v>
      </c>
      <c r="H4419" s="3">
        <f t="shared" si="1004"/>
        <v>22</v>
      </c>
      <c r="I4419" s="3">
        <f t="shared" si="1005"/>
        <v>12</v>
      </c>
      <c r="J4419" s="3">
        <f t="shared" si="1006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07"/>
        <v>YES</v>
      </c>
      <c r="Q4419" t="str">
        <f t="shared" si="1008"/>
        <v>NO</v>
      </c>
      <c r="R4419" t="str">
        <f t="shared" si="1009"/>
        <v>NO</v>
      </c>
      <c r="T4419" t="s">
        <v>14</v>
      </c>
      <c r="U4419" t="str">
        <f t="shared" ref="U4419:U4482" si="1010">TRIM(PROPER(T4419))</f>
        <v>Massachusetts Ave</v>
      </c>
      <c r="V4419" t="s">
        <v>354</v>
      </c>
      <c r="W4419" t="str">
        <f t="shared" ref="W4419:W4482" si="1011">TRIM(PROPER(V4419))</f>
        <v>Linnaean St</v>
      </c>
      <c r="X4419" t="str">
        <f>IF(ISBLANK(S4419),"Intersection","Non-Intersection")</f>
        <v>Intersection</v>
      </c>
      <c r="Y4419" t="s">
        <v>1234</v>
      </c>
      <c r="Z4419" t="str">
        <f t="shared" ref="Z4419:Z4482" si="101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999"/>
        <v>40909</v>
      </c>
      <c r="D4420" s="4">
        <f t="shared" si="1000"/>
        <v>0.84699453551912574</v>
      </c>
      <c r="E4420" s="3">
        <f t="shared" si="1001"/>
        <v>2012</v>
      </c>
      <c r="F4420" s="3">
        <f t="shared" si="1002"/>
        <v>11</v>
      </c>
      <c r="G4420" s="3">
        <f t="shared" si="1003"/>
        <v>6</v>
      </c>
      <c r="H4420" s="3">
        <f t="shared" si="1004"/>
        <v>1</v>
      </c>
      <c r="I4420" s="3">
        <f t="shared" si="1005"/>
        <v>54</v>
      </c>
      <c r="J4420" s="3">
        <f t="shared" si="1006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07"/>
        <v>YES</v>
      </c>
      <c r="Q4420" t="str">
        <f t="shared" si="1008"/>
        <v>NO</v>
      </c>
      <c r="R4420" t="str">
        <f t="shared" si="1009"/>
        <v>NO</v>
      </c>
      <c r="S4420">
        <v>997</v>
      </c>
      <c r="T4420" t="s">
        <v>14</v>
      </c>
      <c r="U4420" t="str">
        <f t="shared" si="1010"/>
        <v>Massachusetts Ave</v>
      </c>
      <c r="W4420" t="str">
        <f t="shared" si="1011"/>
        <v/>
      </c>
      <c r="X4420" t="str">
        <f>IF(ISBLANK(S4420),"Intersection","Non-Intersection")</f>
        <v>Non-Intersection</v>
      </c>
      <c r="Y4420" t="s">
        <v>5089</v>
      </c>
      <c r="Z4420" t="str">
        <f t="shared" si="101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999"/>
        <v>40909</v>
      </c>
      <c r="D4421" s="4">
        <f t="shared" si="1000"/>
        <v>0.84699453551912574</v>
      </c>
      <c r="E4421" s="3">
        <f t="shared" si="1001"/>
        <v>2012</v>
      </c>
      <c r="F4421" s="3">
        <f t="shared" si="1002"/>
        <v>11</v>
      </c>
      <c r="G4421" s="3">
        <f t="shared" si="1003"/>
        <v>6</v>
      </c>
      <c r="H4421" s="3">
        <f t="shared" si="1004"/>
        <v>6</v>
      </c>
      <c r="I4421" s="3">
        <f t="shared" si="1005"/>
        <v>49</v>
      </c>
      <c r="J4421" s="3">
        <f t="shared" si="1006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07"/>
        <v>YES</v>
      </c>
      <c r="Q4421" t="str">
        <f t="shared" si="1008"/>
        <v>NO</v>
      </c>
      <c r="R4421" t="str">
        <f t="shared" si="1009"/>
        <v>YES</v>
      </c>
      <c r="U4421" t="str">
        <f t="shared" si="1010"/>
        <v/>
      </c>
      <c r="W4421" t="str">
        <f t="shared" si="1011"/>
        <v/>
      </c>
      <c r="X4421" t="str">
        <f>IF(ISBLANK(S4421),"Intersection","Non-Intersection")</f>
        <v>Intersection</v>
      </c>
      <c r="Y4421" t="s">
        <v>717</v>
      </c>
      <c r="Z4421" t="str">
        <f t="shared" si="101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999"/>
        <v>40909</v>
      </c>
      <c r="D4422" s="4">
        <f t="shared" si="1000"/>
        <v>0.84699453551912574</v>
      </c>
      <c r="E4422" s="3">
        <f t="shared" si="1001"/>
        <v>2012</v>
      </c>
      <c r="F4422" s="3">
        <f t="shared" si="1002"/>
        <v>11</v>
      </c>
      <c r="G4422" s="3">
        <f t="shared" si="1003"/>
        <v>6</v>
      </c>
      <c r="H4422" s="3">
        <f t="shared" si="1004"/>
        <v>15</v>
      </c>
      <c r="I4422" s="3">
        <f t="shared" si="1005"/>
        <v>59</v>
      </c>
      <c r="J4422" s="3">
        <f t="shared" si="1006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07"/>
        <v>YES</v>
      </c>
      <c r="Q4422" t="str">
        <f t="shared" si="1008"/>
        <v>NO</v>
      </c>
      <c r="R4422" t="str">
        <f t="shared" si="1009"/>
        <v>NO</v>
      </c>
      <c r="T4422" t="s">
        <v>675</v>
      </c>
      <c r="U4422" t="str">
        <f t="shared" si="1010"/>
        <v>Roseland St</v>
      </c>
      <c r="V4422" t="s">
        <v>902</v>
      </c>
      <c r="W4422" t="str">
        <f t="shared" si="1011"/>
        <v>Frost St</v>
      </c>
      <c r="X4422" t="str">
        <f>IF(ISBLANK(S4422),"Intersection","Non-Intersection")</f>
        <v>Intersection</v>
      </c>
      <c r="Y4422" t="s">
        <v>903</v>
      </c>
      <c r="Z4422" t="str">
        <f t="shared" si="101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999"/>
        <v>40909</v>
      </c>
      <c r="D4423" s="4">
        <f t="shared" si="1000"/>
        <v>0.84699453551912574</v>
      </c>
      <c r="E4423" s="3">
        <f t="shared" si="1001"/>
        <v>2012</v>
      </c>
      <c r="F4423" s="3">
        <f t="shared" si="1002"/>
        <v>11</v>
      </c>
      <c r="G4423" s="3">
        <f t="shared" si="1003"/>
        <v>6</v>
      </c>
      <c r="H4423" s="3">
        <f t="shared" si="1004"/>
        <v>19</v>
      </c>
      <c r="I4423" s="3">
        <f t="shared" si="1005"/>
        <v>30</v>
      </c>
      <c r="J4423" s="3">
        <f t="shared" si="1006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07"/>
        <v>YES</v>
      </c>
      <c r="Q4423" t="str">
        <f t="shared" si="1008"/>
        <v>NO</v>
      </c>
      <c r="R4423" t="str">
        <f t="shared" si="1009"/>
        <v>NO</v>
      </c>
      <c r="T4423" t="s">
        <v>665</v>
      </c>
      <c r="U4423" t="str">
        <f t="shared" si="1010"/>
        <v>New St</v>
      </c>
      <c r="W4423" t="str">
        <f t="shared" si="1011"/>
        <v/>
      </c>
      <c r="X4423" t="str">
        <f>IF(ISBLANK(S4423),"Intersection","Non-Intersection")</f>
        <v>Intersection</v>
      </c>
      <c r="Y4423" t="s">
        <v>666</v>
      </c>
      <c r="Z4423" t="str">
        <f t="shared" si="101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999"/>
        <v>40909</v>
      </c>
      <c r="D4424" s="4">
        <f t="shared" si="1000"/>
        <v>0.84699453551912574</v>
      </c>
      <c r="E4424" s="3">
        <f t="shared" si="1001"/>
        <v>2012</v>
      </c>
      <c r="F4424" s="3">
        <f t="shared" si="1002"/>
        <v>11</v>
      </c>
      <c r="G4424" s="3">
        <f t="shared" si="1003"/>
        <v>6</v>
      </c>
      <c r="H4424" s="3">
        <f t="shared" si="1004"/>
        <v>19</v>
      </c>
      <c r="I4424" s="3">
        <f t="shared" si="1005"/>
        <v>30</v>
      </c>
      <c r="J4424" s="3">
        <f t="shared" si="1006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07"/>
        <v>YES</v>
      </c>
      <c r="Q4424" t="str">
        <f t="shared" si="1008"/>
        <v>NO</v>
      </c>
      <c r="R4424" t="str">
        <f t="shared" si="1009"/>
        <v>NO</v>
      </c>
      <c r="S4424">
        <v>131</v>
      </c>
      <c r="T4424" t="s">
        <v>216</v>
      </c>
      <c r="U4424" t="str">
        <f t="shared" si="1010"/>
        <v>Washington Ave</v>
      </c>
      <c r="W4424" t="str">
        <f t="shared" si="1011"/>
        <v/>
      </c>
      <c r="X4424" t="str">
        <f>IF(ISBLANK(S4424),"Intersection","Non-Intersection")</f>
        <v>Non-Intersection</v>
      </c>
      <c r="Y4424" t="s">
        <v>5091</v>
      </c>
      <c r="Z4424" t="str">
        <f t="shared" si="101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999"/>
        <v>40909</v>
      </c>
      <c r="D4425" s="4">
        <f t="shared" si="1000"/>
        <v>0.84972677595628421</v>
      </c>
      <c r="E4425" s="3">
        <f t="shared" si="1001"/>
        <v>2012</v>
      </c>
      <c r="F4425" s="3">
        <f t="shared" si="1002"/>
        <v>11</v>
      </c>
      <c r="G4425" s="3">
        <f t="shared" si="1003"/>
        <v>7</v>
      </c>
      <c r="H4425" s="3">
        <f t="shared" si="1004"/>
        <v>10</v>
      </c>
      <c r="I4425" s="3">
        <f t="shared" si="1005"/>
        <v>19</v>
      </c>
      <c r="J4425" s="3">
        <f t="shared" si="1006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07"/>
        <v>YES</v>
      </c>
      <c r="Q4425" t="str">
        <f t="shared" si="1008"/>
        <v>YES</v>
      </c>
      <c r="R4425" t="str">
        <f t="shared" si="1009"/>
        <v>NO</v>
      </c>
      <c r="T4425" t="s">
        <v>129</v>
      </c>
      <c r="U4425" t="str">
        <f t="shared" si="1010"/>
        <v>Cardinal Medeiros Ave</v>
      </c>
      <c r="W4425" t="str">
        <f t="shared" si="1011"/>
        <v/>
      </c>
      <c r="X4425" t="str">
        <f>IF(ISBLANK(S4425),"Intersection","Non-Intersection")</f>
        <v>Intersection</v>
      </c>
      <c r="Y4425" t="s">
        <v>4321</v>
      </c>
      <c r="Z4425" t="str">
        <f t="shared" si="101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999"/>
        <v>40909</v>
      </c>
      <c r="D4426" s="4">
        <f t="shared" si="1000"/>
        <v>0.84972677595628421</v>
      </c>
      <c r="E4426" s="3">
        <f t="shared" si="1001"/>
        <v>2012</v>
      </c>
      <c r="F4426" s="3">
        <f t="shared" si="1002"/>
        <v>11</v>
      </c>
      <c r="G4426" s="3">
        <f t="shared" si="1003"/>
        <v>7</v>
      </c>
      <c r="H4426" s="3">
        <f t="shared" si="1004"/>
        <v>10</v>
      </c>
      <c r="I4426" s="3">
        <f t="shared" si="1005"/>
        <v>30</v>
      </c>
      <c r="J4426" s="3">
        <f t="shared" si="1006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07"/>
        <v>YES</v>
      </c>
      <c r="Q4426" t="str">
        <f t="shared" si="1008"/>
        <v>NO</v>
      </c>
      <c r="R4426" t="str">
        <f t="shared" si="1009"/>
        <v>NO</v>
      </c>
      <c r="S4426">
        <v>18</v>
      </c>
      <c r="T4426" t="s">
        <v>988</v>
      </c>
      <c r="U4426" t="str">
        <f t="shared" si="1010"/>
        <v>Bond St</v>
      </c>
      <c r="W4426" t="str">
        <f t="shared" si="1011"/>
        <v/>
      </c>
      <c r="X4426" t="str">
        <f>IF(ISBLANK(S4426),"Intersection","Non-Intersection")</f>
        <v>Non-Intersection</v>
      </c>
      <c r="Y4426" t="s">
        <v>5093</v>
      </c>
      <c r="Z4426" t="str">
        <f t="shared" si="101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999"/>
        <v>40909</v>
      </c>
      <c r="D4427" s="4">
        <f t="shared" si="1000"/>
        <v>0.84972677595628421</v>
      </c>
      <c r="E4427" s="3">
        <f t="shared" si="1001"/>
        <v>2012</v>
      </c>
      <c r="F4427" s="3">
        <f t="shared" si="1002"/>
        <v>11</v>
      </c>
      <c r="G4427" s="3">
        <f t="shared" si="1003"/>
        <v>7</v>
      </c>
      <c r="H4427" s="3">
        <f t="shared" si="1004"/>
        <v>17</v>
      </c>
      <c r="I4427" s="3">
        <f t="shared" si="1005"/>
        <v>1</v>
      </c>
      <c r="J4427" s="3">
        <f t="shared" si="1006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07"/>
        <v>YES</v>
      </c>
      <c r="Q4427" t="str">
        <f t="shared" si="1008"/>
        <v>NO</v>
      </c>
      <c r="R4427" t="str">
        <f t="shared" si="1009"/>
        <v>NO</v>
      </c>
      <c r="T4427" t="s">
        <v>42</v>
      </c>
      <c r="U4427" t="str">
        <f t="shared" si="1010"/>
        <v>Putnam Ave</v>
      </c>
      <c r="V4427" t="s">
        <v>178</v>
      </c>
      <c r="W4427" t="str">
        <f t="shared" si="1011"/>
        <v>Pleasant St</v>
      </c>
      <c r="X4427" t="str">
        <f>IF(ISBLANK(S4427),"Intersection","Non-Intersection")</f>
        <v>Intersection</v>
      </c>
      <c r="Y4427" t="s">
        <v>179</v>
      </c>
      <c r="Z4427" t="str">
        <f t="shared" si="101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999"/>
        <v>40909</v>
      </c>
      <c r="D4428" s="4">
        <f t="shared" si="1000"/>
        <v>0.84972677595628421</v>
      </c>
      <c r="E4428" s="3">
        <f t="shared" si="1001"/>
        <v>2012</v>
      </c>
      <c r="F4428" s="3">
        <f t="shared" si="1002"/>
        <v>11</v>
      </c>
      <c r="G4428" s="3">
        <f t="shared" si="1003"/>
        <v>7</v>
      </c>
      <c r="H4428" s="3">
        <f t="shared" si="1004"/>
        <v>8</v>
      </c>
      <c r="I4428" s="3">
        <f t="shared" si="1005"/>
        <v>15</v>
      </c>
      <c r="J4428" s="3">
        <f t="shared" si="1006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07"/>
        <v>YES</v>
      </c>
      <c r="Q4428" t="str">
        <f t="shared" si="1008"/>
        <v>NO</v>
      </c>
      <c r="R4428" t="str">
        <f t="shared" si="1009"/>
        <v>NO</v>
      </c>
      <c r="T4428" t="s">
        <v>199</v>
      </c>
      <c r="U4428" t="str">
        <f t="shared" si="1010"/>
        <v>Brattle St</v>
      </c>
      <c r="V4428" t="s">
        <v>710</v>
      </c>
      <c r="W4428" t="str">
        <f t="shared" si="1011"/>
        <v>Fresh Pond Pky</v>
      </c>
      <c r="X4428" t="str">
        <f>IF(ISBLANK(S4428),"Intersection","Non-Intersection")</f>
        <v>Intersection</v>
      </c>
      <c r="Y4428" t="s">
        <v>2153</v>
      </c>
      <c r="Z4428" t="str">
        <f t="shared" si="101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999"/>
        <v>40909</v>
      </c>
      <c r="D4429" s="4">
        <f t="shared" si="1000"/>
        <v>0.84972677595628421</v>
      </c>
      <c r="E4429" s="3">
        <f t="shared" si="1001"/>
        <v>2012</v>
      </c>
      <c r="F4429" s="3">
        <f t="shared" si="1002"/>
        <v>11</v>
      </c>
      <c r="G4429" s="3">
        <f t="shared" si="1003"/>
        <v>7</v>
      </c>
      <c r="H4429" s="3">
        <f t="shared" si="1004"/>
        <v>20</v>
      </c>
      <c r="I4429" s="3">
        <f t="shared" si="1005"/>
        <v>55</v>
      </c>
      <c r="J4429" s="3">
        <f t="shared" si="1006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07"/>
        <v>YES</v>
      </c>
      <c r="Q4429" t="str">
        <f t="shared" si="1008"/>
        <v>NO</v>
      </c>
      <c r="R4429" t="str">
        <f t="shared" si="1009"/>
        <v>NO</v>
      </c>
      <c r="T4429" t="s">
        <v>199</v>
      </c>
      <c r="U4429" t="str">
        <f t="shared" si="1010"/>
        <v>Brattle St</v>
      </c>
      <c r="V4429" t="s">
        <v>296</v>
      </c>
      <c r="W4429" t="str">
        <f t="shared" si="1011"/>
        <v>Mason St</v>
      </c>
      <c r="X4429" t="str">
        <f>IF(ISBLANK(S4429),"Intersection","Non-Intersection")</f>
        <v>Intersection</v>
      </c>
      <c r="Y4429" t="s">
        <v>2403</v>
      </c>
      <c r="Z4429" t="str">
        <f t="shared" si="101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999"/>
        <v>40909</v>
      </c>
      <c r="D4430" s="4">
        <f t="shared" si="1000"/>
        <v>0.84972677595628421</v>
      </c>
      <c r="E4430" s="3">
        <f t="shared" si="1001"/>
        <v>2012</v>
      </c>
      <c r="F4430" s="3">
        <f t="shared" si="1002"/>
        <v>11</v>
      </c>
      <c r="G4430" s="3">
        <f t="shared" si="1003"/>
        <v>7</v>
      </c>
      <c r="H4430" s="3">
        <f t="shared" si="1004"/>
        <v>21</v>
      </c>
      <c r="I4430" s="3">
        <f t="shared" si="1005"/>
        <v>0</v>
      </c>
      <c r="J4430" s="3">
        <f t="shared" si="1006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07"/>
        <v>YES</v>
      </c>
      <c r="Q4430" t="str">
        <f t="shared" si="1008"/>
        <v>NO</v>
      </c>
      <c r="R4430" t="str">
        <f t="shared" si="1009"/>
        <v>NO</v>
      </c>
      <c r="S4430">
        <v>700</v>
      </c>
      <c r="T4430" t="s">
        <v>142</v>
      </c>
      <c r="U4430" t="str">
        <f t="shared" si="1010"/>
        <v>Huron Ave</v>
      </c>
      <c r="W4430" t="str">
        <f t="shared" si="1011"/>
        <v/>
      </c>
      <c r="X4430" t="str">
        <f>IF(ISBLANK(S4430),"Intersection","Non-Intersection")</f>
        <v>Non-Intersection</v>
      </c>
      <c r="Y4430" t="s">
        <v>475</v>
      </c>
      <c r="Z4430" t="str">
        <f t="shared" si="101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999"/>
        <v>40909</v>
      </c>
      <c r="D4431" s="4">
        <f t="shared" si="1000"/>
        <v>0.84972677595628421</v>
      </c>
      <c r="E4431" s="3">
        <f t="shared" si="1001"/>
        <v>2012</v>
      </c>
      <c r="F4431" s="3">
        <f t="shared" si="1002"/>
        <v>11</v>
      </c>
      <c r="G4431" s="3">
        <f t="shared" si="1003"/>
        <v>7</v>
      </c>
      <c r="H4431" s="3">
        <f t="shared" si="1004"/>
        <v>21</v>
      </c>
      <c r="I4431" s="3">
        <f t="shared" si="1005"/>
        <v>14</v>
      </c>
      <c r="J4431" s="3">
        <f t="shared" si="1006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07"/>
        <v>YES</v>
      </c>
      <c r="Q4431" t="str">
        <f t="shared" si="1008"/>
        <v>NO</v>
      </c>
      <c r="R4431" t="str">
        <f t="shared" si="1009"/>
        <v>NO</v>
      </c>
      <c r="S4431">
        <v>700</v>
      </c>
      <c r="T4431" t="s">
        <v>142</v>
      </c>
      <c r="U4431" t="str">
        <f t="shared" si="1010"/>
        <v>Huron Ave</v>
      </c>
      <c r="W4431" t="str">
        <f t="shared" si="1011"/>
        <v/>
      </c>
      <c r="X4431" t="str">
        <f>IF(ISBLANK(S4431),"Intersection","Non-Intersection")</f>
        <v>Non-Intersection</v>
      </c>
      <c r="Y4431" t="s">
        <v>475</v>
      </c>
      <c r="Z4431" t="str">
        <f t="shared" si="101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999"/>
        <v>40909</v>
      </c>
      <c r="D4432" s="4">
        <f t="shared" si="1000"/>
        <v>0.85245901639344257</v>
      </c>
      <c r="E4432" s="3">
        <f t="shared" si="1001"/>
        <v>2012</v>
      </c>
      <c r="F4432" s="3">
        <f t="shared" si="1002"/>
        <v>11</v>
      </c>
      <c r="G4432" s="3">
        <f t="shared" si="1003"/>
        <v>8</v>
      </c>
      <c r="H4432" s="3">
        <f t="shared" si="1004"/>
        <v>10</v>
      </c>
      <c r="I4432" s="3">
        <f t="shared" si="1005"/>
        <v>30</v>
      </c>
      <c r="J4432" s="3">
        <f t="shared" si="1006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07"/>
        <v>YES</v>
      </c>
      <c r="Q4432" t="str">
        <f t="shared" si="1008"/>
        <v>NO</v>
      </c>
      <c r="R4432" t="str">
        <f t="shared" si="1009"/>
        <v>NO</v>
      </c>
      <c r="T4432" t="s">
        <v>198</v>
      </c>
      <c r="U4432" t="str">
        <f t="shared" si="1010"/>
        <v>Mount Auburn St</v>
      </c>
      <c r="V4432" t="s">
        <v>2055</v>
      </c>
      <c r="W4432" t="str">
        <f t="shared" si="1011"/>
        <v>Aberdeen Ct</v>
      </c>
      <c r="X4432" t="str">
        <f>IF(ISBLANK(S4432),"Intersection","Non-Intersection")</f>
        <v>Intersection</v>
      </c>
      <c r="Y4432" t="s">
        <v>4525</v>
      </c>
      <c r="Z4432" t="str">
        <f t="shared" si="101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999"/>
        <v>40909</v>
      </c>
      <c r="D4433" s="4">
        <f t="shared" si="1000"/>
        <v>0.85245901639344257</v>
      </c>
      <c r="E4433" s="3">
        <f t="shared" si="1001"/>
        <v>2012</v>
      </c>
      <c r="F4433" s="3">
        <f t="shared" si="1002"/>
        <v>11</v>
      </c>
      <c r="G4433" s="3">
        <f t="shared" si="1003"/>
        <v>8</v>
      </c>
      <c r="H4433" s="3">
        <f t="shared" si="1004"/>
        <v>12</v>
      </c>
      <c r="I4433" s="3">
        <f t="shared" si="1005"/>
        <v>30</v>
      </c>
      <c r="J4433" s="3">
        <f t="shared" si="1006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07"/>
        <v>YES</v>
      </c>
      <c r="Q4433" t="str">
        <f t="shared" si="1008"/>
        <v>NO</v>
      </c>
      <c r="R4433" t="str">
        <f t="shared" si="1009"/>
        <v>YES</v>
      </c>
      <c r="T4433" t="s">
        <v>133</v>
      </c>
      <c r="U4433" t="str">
        <f t="shared" si="1010"/>
        <v>Harvard St</v>
      </c>
      <c r="V4433" t="s">
        <v>101</v>
      </c>
      <c r="W4433" t="str">
        <f t="shared" si="1011"/>
        <v>Columbia St</v>
      </c>
      <c r="X4433" t="str">
        <f>IF(ISBLANK(S4433),"Intersection","Non-Intersection")</f>
        <v>Intersection</v>
      </c>
      <c r="Y4433" t="s">
        <v>3702</v>
      </c>
      <c r="Z4433" t="str">
        <f t="shared" si="101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999"/>
        <v>40909</v>
      </c>
      <c r="D4434" s="4">
        <f t="shared" si="1000"/>
        <v>0.85245901639344257</v>
      </c>
      <c r="E4434" s="3">
        <f t="shared" si="1001"/>
        <v>2012</v>
      </c>
      <c r="F4434" s="3">
        <f t="shared" si="1002"/>
        <v>11</v>
      </c>
      <c r="G4434" s="3">
        <f t="shared" si="1003"/>
        <v>8</v>
      </c>
      <c r="H4434" s="3">
        <f t="shared" si="1004"/>
        <v>15</v>
      </c>
      <c r="I4434" s="3">
        <f t="shared" si="1005"/>
        <v>49</v>
      </c>
      <c r="J4434" s="3">
        <f t="shared" si="1006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07"/>
        <v>YES</v>
      </c>
      <c r="Q4434" t="str">
        <f t="shared" si="1008"/>
        <v>NO</v>
      </c>
      <c r="R4434" t="str">
        <f t="shared" si="1009"/>
        <v>NO</v>
      </c>
      <c r="T4434" t="s">
        <v>19</v>
      </c>
      <c r="U4434" t="str">
        <f t="shared" si="1010"/>
        <v>Cambridge St</v>
      </c>
      <c r="V4434" t="s">
        <v>387</v>
      </c>
      <c r="W4434" t="str">
        <f t="shared" si="1011"/>
        <v>Antrim St</v>
      </c>
      <c r="X4434" t="str">
        <f>IF(ISBLANK(S4434),"Intersection","Non-Intersection")</f>
        <v>Intersection</v>
      </c>
      <c r="Y4434" t="s">
        <v>952</v>
      </c>
      <c r="Z4434" t="str">
        <f t="shared" si="101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999"/>
        <v>40909</v>
      </c>
      <c r="D4435" s="4">
        <f t="shared" si="1000"/>
        <v>0.85245901639344257</v>
      </c>
      <c r="E4435" s="3">
        <f t="shared" si="1001"/>
        <v>2012</v>
      </c>
      <c r="F4435" s="3">
        <f t="shared" si="1002"/>
        <v>11</v>
      </c>
      <c r="G4435" s="3">
        <f t="shared" si="1003"/>
        <v>8</v>
      </c>
      <c r="H4435" s="3">
        <f t="shared" si="1004"/>
        <v>17</v>
      </c>
      <c r="I4435" s="3">
        <f t="shared" si="1005"/>
        <v>41</v>
      </c>
      <c r="J4435" s="3">
        <f t="shared" si="1006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07"/>
        <v>YES</v>
      </c>
      <c r="Q4435" t="str">
        <f t="shared" si="1008"/>
        <v>NO</v>
      </c>
      <c r="R4435" t="str">
        <f t="shared" si="1009"/>
        <v>NO</v>
      </c>
      <c r="T4435" t="s">
        <v>14</v>
      </c>
      <c r="U4435" t="str">
        <f t="shared" si="1010"/>
        <v>Massachusetts Ave</v>
      </c>
      <c r="V4435" t="s">
        <v>487</v>
      </c>
      <c r="W4435" t="str">
        <f t="shared" si="1011"/>
        <v>Beech St</v>
      </c>
      <c r="X4435" t="str">
        <f>IF(ISBLANK(S4435),"Intersection","Non-Intersection")</f>
        <v>Intersection</v>
      </c>
      <c r="Y4435" t="s">
        <v>787</v>
      </c>
      <c r="Z4435" t="str">
        <f t="shared" si="101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999"/>
        <v>40909</v>
      </c>
      <c r="D4436" s="4">
        <f t="shared" si="1000"/>
        <v>0.85245901639344257</v>
      </c>
      <c r="E4436" s="3">
        <f t="shared" si="1001"/>
        <v>2012</v>
      </c>
      <c r="F4436" s="3">
        <f t="shared" si="1002"/>
        <v>11</v>
      </c>
      <c r="G4436" s="3">
        <f t="shared" si="1003"/>
        <v>8</v>
      </c>
      <c r="H4436" s="3">
        <f t="shared" si="1004"/>
        <v>14</v>
      </c>
      <c r="I4436" s="3">
        <f t="shared" si="1005"/>
        <v>15</v>
      </c>
      <c r="J4436" s="3">
        <f t="shared" si="1006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07"/>
        <v>YES</v>
      </c>
      <c r="Q4436" t="str">
        <f t="shared" si="1008"/>
        <v>NO</v>
      </c>
      <c r="R4436" t="str">
        <f t="shared" si="1009"/>
        <v>NO</v>
      </c>
      <c r="S4436">
        <v>246</v>
      </c>
      <c r="T4436" t="s">
        <v>74</v>
      </c>
      <c r="U4436" t="str">
        <f t="shared" si="1010"/>
        <v>Hampshire St</v>
      </c>
      <c r="W4436" t="str">
        <f t="shared" si="1011"/>
        <v/>
      </c>
      <c r="X4436" t="str">
        <f>IF(ISBLANK(S4436),"Intersection","Non-Intersection")</f>
        <v>Non-Intersection</v>
      </c>
      <c r="Y4436" t="s">
        <v>5095</v>
      </c>
      <c r="Z4436" t="str">
        <f t="shared" si="101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999"/>
        <v>40909</v>
      </c>
      <c r="D4437" s="4">
        <f t="shared" si="1000"/>
        <v>0.85519125683060104</v>
      </c>
      <c r="E4437" s="3">
        <f t="shared" si="1001"/>
        <v>2012</v>
      </c>
      <c r="F4437" s="3">
        <f t="shared" si="1002"/>
        <v>11</v>
      </c>
      <c r="G4437" s="3">
        <f t="shared" si="1003"/>
        <v>9</v>
      </c>
      <c r="H4437" s="3">
        <f t="shared" si="1004"/>
        <v>2</v>
      </c>
      <c r="I4437" s="3">
        <f t="shared" si="1005"/>
        <v>29</v>
      </c>
      <c r="J4437" s="3">
        <f t="shared" si="1006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07"/>
        <v>YES</v>
      </c>
      <c r="Q4437" t="str">
        <f t="shared" si="1008"/>
        <v>NO</v>
      </c>
      <c r="R4437" t="str">
        <f t="shared" si="1009"/>
        <v>NO</v>
      </c>
      <c r="S4437">
        <v>394</v>
      </c>
      <c r="T4437" t="s">
        <v>745</v>
      </c>
      <c r="U4437" t="str">
        <f t="shared" si="1010"/>
        <v>Norfolk St</v>
      </c>
      <c r="W4437" t="str">
        <f t="shared" si="1011"/>
        <v/>
      </c>
      <c r="X4437" t="str">
        <f>IF(ISBLANK(S4437),"Intersection","Non-Intersection")</f>
        <v>Non-Intersection</v>
      </c>
      <c r="Y4437" t="s">
        <v>5097</v>
      </c>
      <c r="Z4437" t="str">
        <f t="shared" si="101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999"/>
        <v>40909</v>
      </c>
      <c r="D4438" s="4">
        <f t="shared" si="1000"/>
        <v>0.85519125683060104</v>
      </c>
      <c r="E4438" s="3">
        <f t="shared" si="1001"/>
        <v>2012</v>
      </c>
      <c r="F4438" s="3">
        <f t="shared" si="1002"/>
        <v>11</v>
      </c>
      <c r="G4438" s="3">
        <f t="shared" si="1003"/>
        <v>9</v>
      </c>
      <c r="H4438" s="3">
        <f t="shared" si="1004"/>
        <v>9</v>
      </c>
      <c r="I4438" s="3">
        <f t="shared" si="1005"/>
        <v>46</v>
      </c>
      <c r="J4438" s="3">
        <f t="shared" si="1006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07"/>
        <v>YES</v>
      </c>
      <c r="Q4438" t="str">
        <f t="shared" si="1008"/>
        <v>NO</v>
      </c>
      <c r="R4438" t="str">
        <f t="shared" si="1009"/>
        <v>NO</v>
      </c>
      <c r="T4438" t="s">
        <v>41</v>
      </c>
      <c r="U4438" t="str">
        <f t="shared" si="1010"/>
        <v>River St</v>
      </c>
      <c r="V4438" t="s">
        <v>108</v>
      </c>
      <c r="W4438" t="str">
        <f t="shared" si="1011"/>
        <v>Franklin St</v>
      </c>
      <c r="X4438" t="str">
        <f>IF(ISBLANK(S4438),"Intersection","Non-Intersection")</f>
        <v>Intersection</v>
      </c>
      <c r="Y4438" t="s">
        <v>427</v>
      </c>
      <c r="Z4438" t="str">
        <f t="shared" si="101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999"/>
        <v>40909</v>
      </c>
      <c r="D4439" s="4">
        <f t="shared" si="1000"/>
        <v>0.85792349726775952</v>
      </c>
      <c r="E4439" s="3">
        <f t="shared" si="1001"/>
        <v>2012</v>
      </c>
      <c r="F4439" s="3">
        <f t="shared" si="1002"/>
        <v>11</v>
      </c>
      <c r="G4439" s="3">
        <f t="shared" si="1003"/>
        <v>10</v>
      </c>
      <c r="H4439" s="3">
        <f t="shared" si="1004"/>
        <v>11</v>
      </c>
      <c r="I4439" s="3">
        <f t="shared" si="1005"/>
        <v>0</v>
      </c>
      <c r="J4439" s="3">
        <f t="shared" si="1006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07"/>
        <v>YES</v>
      </c>
      <c r="Q4439" t="str">
        <f t="shared" si="1008"/>
        <v>NO</v>
      </c>
      <c r="R4439" t="str">
        <f t="shared" si="1009"/>
        <v>NO</v>
      </c>
      <c r="S4439">
        <v>35</v>
      </c>
      <c r="T4439" t="s">
        <v>268</v>
      </c>
      <c r="U4439" t="str">
        <f t="shared" si="1010"/>
        <v>White St</v>
      </c>
      <c r="W4439" t="str">
        <f t="shared" si="1011"/>
        <v/>
      </c>
      <c r="X4439" t="str">
        <f>IF(ISBLANK(S4439),"Intersection","Non-Intersection")</f>
        <v>Non-Intersection</v>
      </c>
      <c r="Y4439" t="s">
        <v>933</v>
      </c>
      <c r="Z4439" t="str">
        <f t="shared" si="101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999"/>
        <v>40909</v>
      </c>
      <c r="D4440" s="4">
        <f t="shared" si="1000"/>
        <v>0.85792349726775952</v>
      </c>
      <c r="E4440" s="3">
        <f t="shared" si="1001"/>
        <v>2012</v>
      </c>
      <c r="F4440" s="3">
        <f t="shared" si="1002"/>
        <v>11</v>
      </c>
      <c r="G4440" s="3">
        <f t="shared" si="1003"/>
        <v>10</v>
      </c>
      <c r="H4440" s="3">
        <f t="shared" si="1004"/>
        <v>15</v>
      </c>
      <c r="I4440" s="3">
        <f t="shared" si="1005"/>
        <v>17</v>
      </c>
      <c r="J4440" s="3">
        <f t="shared" si="1006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07"/>
        <v>YES</v>
      </c>
      <c r="Q4440" t="str">
        <f t="shared" si="1008"/>
        <v>NO</v>
      </c>
      <c r="R4440" t="str">
        <f t="shared" si="1009"/>
        <v>NO</v>
      </c>
      <c r="T4440" t="s">
        <v>19</v>
      </c>
      <c r="U4440" t="str">
        <f t="shared" si="1010"/>
        <v>Cambridge St</v>
      </c>
      <c r="V4440" t="s">
        <v>74</v>
      </c>
      <c r="W4440" t="str">
        <f t="shared" si="1011"/>
        <v>Hampshire St</v>
      </c>
      <c r="X4440" t="str">
        <f>IF(ISBLANK(S4440),"Intersection","Non-Intersection")</f>
        <v>Intersection</v>
      </c>
      <c r="Y4440" t="s">
        <v>111</v>
      </c>
      <c r="Z4440" t="str">
        <f t="shared" si="101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999"/>
        <v>40909</v>
      </c>
      <c r="D4441" s="4">
        <f t="shared" si="1000"/>
        <v>0.85792349726775952</v>
      </c>
      <c r="E4441" s="3">
        <f t="shared" si="1001"/>
        <v>2012</v>
      </c>
      <c r="F4441" s="3">
        <f t="shared" si="1002"/>
        <v>11</v>
      </c>
      <c r="G4441" s="3">
        <f t="shared" si="1003"/>
        <v>10</v>
      </c>
      <c r="H4441" s="3">
        <f t="shared" si="1004"/>
        <v>17</v>
      </c>
      <c r="I4441" s="3">
        <f t="shared" si="1005"/>
        <v>35</v>
      </c>
      <c r="J4441" s="3">
        <f t="shared" si="1006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07"/>
        <v>YES</v>
      </c>
      <c r="Q4441" t="str">
        <f t="shared" si="1008"/>
        <v>NO</v>
      </c>
      <c r="R4441" t="str">
        <f t="shared" si="1009"/>
        <v>NO</v>
      </c>
      <c r="T4441" t="s">
        <v>342</v>
      </c>
      <c r="U4441" t="str">
        <f t="shared" si="1010"/>
        <v>Prospect St</v>
      </c>
      <c r="V4441" t="s">
        <v>74</v>
      </c>
      <c r="W4441" t="str">
        <f t="shared" si="1011"/>
        <v>Hampshire St</v>
      </c>
      <c r="X4441" t="str">
        <f>IF(ISBLANK(S4441),"Intersection","Non-Intersection")</f>
        <v>Intersection</v>
      </c>
      <c r="Y4441" t="s">
        <v>964</v>
      </c>
      <c r="Z4441" t="str">
        <f t="shared" si="101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999"/>
        <v>40909</v>
      </c>
      <c r="D4442" s="4">
        <f t="shared" si="1000"/>
        <v>0.86065573770491799</v>
      </c>
      <c r="E4442" s="3">
        <f t="shared" si="1001"/>
        <v>2012</v>
      </c>
      <c r="F4442" s="3">
        <f t="shared" si="1002"/>
        <v>11</v>
      </c>
      <c r="G4442" s="3">
        <f t="shared" si="1003"/>
        <v>11</v>
      </c>
      <c r="H4442" s="3">
        <f t="shared" si="1004"/>
        <v>3</v>
      </c>
      <c r="I4442" s="3">
        <f t="shared" si="1005"/>
        <v>30</v>
      </c>
      <c r="J4442" s="3">
        <f t="shared" si="1006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07"/>
        <v>YES</v>
      </c>
      <c r="Q4442" t="str">
        <f t="shared" si="1008"/>
        <v>NO</v>
      </c>
      <c r="R4442" t="str">
        <f t="shared" si="1009"/>
        <v>NO</v>
      </c>
      <c r="S4442">
        <v>1360</v>
      </c>
      <c r="T4442" t="s">
        <v>14</v>
      </c>
      <c r="U4442" t="str">
        <f t="shared" si="1010"/>
        <v>Massachusetts Ave</v>
      </c>
      <c r="W4442" t="str">
        <f t="shared" si="1011"/>
        <v/>
      </c>
      <c r="X4442" t="str">
        <f>IF(ISBLANK(S4442),"Intersection","Non-Intersection")</f>
        <v>Non-Intersection</v>
      </c>
      <c r="Y4442" t="s">
        <v>5099</v>
      </c>
      <c r="Z4442" t="str">
        <f t="shared" si="101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999"/>
        <v>40909</v>
      </c>
      <c r="D4443" s="4">
        <f t="shared" si="1000"/>
        <v>0.86065573770491799</v>
      </c>
      <c r="E4443" s="3">
        <f t="shared" si="1001"/>
        <v>2012</v>
      </c>
      <c r="F4443" s="3">
        <f t="shared" si="1002"/>
        <v>11</v>
      </c>
      <c r="G4443" s="3">
        <f t="shared" si="1003"/>
        <v>11</v>
      </c>
      <c r="H4443" s="3">
        <f t="shared" si="1004"/>
        <v>15</v>
      </c>
      <c r="I4443" s="3">
        <f t="shared" si="1005"/>
        <v>20</v>
      </c>
      <c r="J4443" s="3">
        <f t="shared" si="1006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07"/>
        <v>YES</v>
      </c>
      <c r="Q4443" t="str">
        <f t="shared" si="1008"/>
        <v>NO</v>
      </c>
      <c r="R4443" t="str">
        <f t="shared" si="1009"/>
        <v>YES</v>
      </c>
      <c r="S4443">
        <v>545</v>
      </c>
      <c r="T4443" t="s">
        <v>14</v>
      </c>
      <c r="U4443" t="str">
        <f t="shared" si="1010"/>
        <v>Massachusetts Ave</v>
      </c>
      <c r="W4443" t="str">
        <f t="shared" si="1011"/>
        <v/>
      </c>
      <c r="X4443" t="str">
        <f>IF(ISBLANK(S4443),"Intersection","Non-Intersection")</f>
        <v>Non-Intersection</v>
      </c>
      <c r="Y4443" t="s">
        <v>5101</v>
      </c>
      <c r="Z4443" t="str">
        <f t="shared" si="101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999"/>
        <v>40909</v>
      </c>
      <c r="D4444" s="4">
        <f t="shared" si="1000"/>
        <v>0.86338797814207646</v>
      </c>
      <c r="E4444" s="3">
        <f t="shared" si="1001"/>
        <v>2012</v>
      </c>
      <c r="F4444" s="3">
        <f t="shared" si="1002"/>
        <v>11</v>
      </c>
      <c r="G4444" s="3">
        <f t="shared" si="1003"/>
        <v>12</v>
      </c>
      <c r="H4444" s="3">
        <f t="shared" si="1004"/>
        <v>15</v>
      </c>
      <c r="I4444" s="3">
        <f t="shared" si="1005"/>
        <v>59</v>
      </c>
      <c r="J4444" s="3">
        <f t="shared" si="1006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07"/>
        <v>YES</v>
      </c>
      <c r="Q4444" t="str">
        <f t="shared" si="1008"/>
        <v>NO</v>
      </c>
      <c r="R4444" t="str">
        <f t="shared" si="1009"/>
        <v>NO</v>
      </c>
      <c r="S4444">
        <v>330</v>
      </c>
      <c r="T4444" t="s">
        <v>41</v>
      </c>
      <c r="U4444" t="str">
        <f t="shared" si="1010"/>
        <v>River St</v>
      </c>
      <c r="W4444" t="str">
        <f t="shared" si="1011"/>
        <v/>
      </c>
      <c r="X4444" t="str">
        <f>IF(ISBLANK(S4444),"Intersection","Non-Intersection")</f>
        <v>Non-Intersection</v>
      </c>
      <c r="Y4444" t="s">
        <v>1098</v>
      </c>
      <c r="Z4444" t="str">
        <f t="shared" si="101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999"/>
        <v>40909</v>
      </c>
      <c r="D4445" s="4">
        <f t="shared" si="1000"/>
        <v>0.86338797814207646</v>
      </c>
      <c r="E4445" s="3">
        <f t="shared" si="1001"/>
        <v>2012</v>
      </c>
      <c r="F4445" s="3">
        <f t="shared" si="1002"/>
        <v>11</v>
      </c>
      <c r="G4445" s="3">
        <f t="shared" si="1003"/>
        <v>12</v>
      </c>
      <c r="H4445" s="3">
        <f t="shared" si="1004"/>
        <v>12</v>
      </c>
      <c r="I4445" s="3">
        <f t="shared" si="1005"/>
        <v>37</v>
      </c>
      <c r="J4445" s="3">
        <f t="shared" si="1006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07"/>
        <v>YES</v>
      </c>
      <c r="Q4445" t="str">
        <f t="shared" si="1008"/>
        <v>NO</v>
      </c>
      <c r="R4445" t="str">
        <f t="shared" si="1009"/>
        <v>NO</v>
      </c>
      <c r="T4445" t="s">
        <v>142</v>
      </c>
      <c r="U4445" t="str">
        <f t="shared" si="1010"/>
        <v>Huron Ave</v>
      </c>
      <c r="V4445" t="s">
        <v>1510</v>
      </c>
      <c r="W4445" t="str">
        <f t="shared" si="1011"/>
        <v>Reservoir St</v>
      </c>
      <c r="X4445" t="str">
        <f>IF(ISBLANK(S4445),"Intersection","Non-Intersection")</f>
        <v>Intersection</v>
      </c>
      <c r="Y4445" t="s">
        <v>2595</v>
      </c>
      <c r="Z4445" t="str">
        <f t="shared" si="101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999"/>
        <v>40909</v>
      </c>
      <c r="D4446" s="4">
        <f t="shared" si="1000"/>
        <v>0.86338797814207646</v>
      </c>
      <c r="E4446" s="3">
        <f t="shared" si="1001"/>
        <v>2012</v>
      </c>
      <c r="F4446" s="3">
        <f t="shared" si="1002"/>
        <v>11</v>
      </c>
      <c r="G4446" s="3">
        <f t="shared" si="1003"/>
        <v>12</v>
      </c>
      <c r="H4446" s="3">
        <f t="shared" si="1004"/>
        <v>17</v>
      </c>
      <c r="I4446" s="3">
        <f t="shared" si="1005"/>
        <v>0</v>
      </c>
      <c r="J4446" s="3">
        <f t="shared" si="1006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07"/>
        <v>YES</v>
      </c>
      <c r="Q4446" t="str">
        <f t="shared" si="1008"/>
        <v>NO</v>
      </c>
      <c r="R4446" t="str">
        <f t="shared" si="1009"/>
        <v>NO</v>
      </c>
      <c r="T4446" t="s">
        <v>186</v>
      </c>
      <c r="U4446" t="str">
        <f t="shared" si="1010"/>
        <v>Concord Ave</v>
      </c>
      <c r="V4446" t="s">
        <v>92</v>
      </c>
      <c r="W4446" t="str">
        <f t="shared" si="1011"/>
        <v>Wheeler St</v>
      </c>
      <c r="X4446" t="str">
        <f>IF(ISBLANK(S4446),"Intersection","Non-Intersection")</f>
        <v>Intersection</v>
      </c>
      <c r="Y4446" t="s">
        <v>1072</v>
      </c>
      <c r="Z4446" t="str">
        <f t="shared" si="101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999"/>
        <v>40909</v>
      </c>
      <c r="D4447" s="4">
        <f t="shared" si="1000"/>
        <v>0.86612021857923494</v>
      </c>
      <c r="E4447" s="3">
        <f t="shared" si="1001"/>
        <v>2012</v>
      </c>
      <c r="F4447" s="3">
        <f t="shared" si="1002"/>
        <v>11</v>
      </c>
      <c r="G4447" s="3">
        <f t="shared" si="1003"/>
        <v>13</v>
      </c>
      <c r="H4447" s="3">
        <f t="shared" si="1004"/>
        <v>9</v>
      </c>
      <c r="I4447" s="3">
        <f t="shared" si="1005"/>
        <v>40</v>
      </c>
      <c r="J4447" s="3">
        <f t="shared" si="1006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07"/>
        <v>YES</v>
      </c>
      <c r="Q4447" t="str">
        <f t="shared" si="1008"/>
        <v>NO</v>
      </c>
      <c r="R4447" t="str">
        <f t="shared" si="1009"/>
        <v>NO</v>
      </c>
      <c r="S4447">
        <v>625</v>
      </c>
      <c r="T4447" t="s">
        <v>198</v>
      </c>
      <c r="U4447" t="str">
        <f t="shared" si="1010"/>
        <v>Mount Auburn St</v>
      </c>
      <c r="W4447" t="str">
        <f t="shared" si="1011"/>
        <v/>
      </c>
      <c r="X4447" t="str">
        <f>IF(ISBLANK(S4447),"Intersection","Non-Intersection")</f>
        <v>Non-Intersection</v>
      </c>
      <c r="Y4447" t="s">
        <v>2427</v>
      </c>
      <c r="Z4447" t="str">
        <f t="shared" si="101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999"/>
        <v>40909</v>
      </c>
      <c r="D4448" s="4">
        <f t="shared" si="1000"/>
        <v>0.86612021857923494</v>
      </c>
      <c r="E4448" s="3">
        <f t="shared" si="1001"/>
        <v>2012</v>
      </c>
      <c r="F4448" s="3">
        <f t="shared" si="1002"/>
        <v>11</v>
      </c>
      <c r="G4448" s="3">
        <f t="shared" si="1003"/>
        <v>13</v>
      </c>
      <c r="H4448" s="3">
        <f t="shared" si="1004"/>
        <v>10</v>
      </c>
      <c r="I4448" s="3">
        <f t="shared" si="1005"/>
        <v>30</v>
      </c>
      <c r="J4448" s="3">
        <f t="shared" si="1006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07"/>
        <v>YES</v>
      </c>
      <c r="Q4448" t="str">
        <f t="shared" si="1008"/>
        <v>NO</v>
      </c>
      <c r="R4448" t="str">
        <f t="shared" si="1009"/>
        <v>NO</v>
      </c>
      <c r="S4448">
        <v>40</v>
      </c>
      <c r="T4448" t="s">
        <v>1158</v>
      </c>
      <c r="U4448" t="str">
        <f t="shared" si="1010"/>
        <v>Clifton St</v>
      </c>
      <c r="W4448" t="str">
        <f t="shared" si="1011"/>
        <v/>
      </c>
      <c r="X4448" t="str">
        <f>IF(ISBLANK(S4448),"Intersection","Non-Intersection")</f>
        <v>Non-Intersection</v>
      </c>
      <c r="Y4448" t="s">
        <v>2799</v>
      </c>
      <c r="Z4448" t="str">
        <f t="shared" si="101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999"/>
        <v>40909</v>
      </c>
      <c r="D4449" s="4">
        <f t="shared" si="1000"/>
        <v>0.86612021857923494</v>
      </c>
      <c r="E4449" s="3">
        <f t="shared" si="1001"/>
        <v>2012</v>
      </c>
      <c r="F4449" s="3">
        <f t="shared" si="1002"/>
        <v>11</v>
      </c>
      <c r="G4449" s="3">
        <f t="shared" si="1003"/>
        <v>13</v>
      </c>
      <c r="H4449" s="3">
        <f t="shared" si="1004"/>
        <v>21</v>
      </c>
      <c r="I4449" s="3">
        <f t="shared" si="1005"/>
        <v>30</v>
      </c>
      <c r="J4449" s="3">
        <f t="shared" si="1006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07"/>
        <v>YES</v>
      </c>
      <c r="Q4449" t="str">
        <f t="shared" si="1008"/>
        <v>NO</v>
      </c>
      <c r="R4449" t="str">
        <f t="shared" si="1009"/>
        <v>NO</v>
      </c>
      <c r="S4449">
        <v>406</v>
      </c>
      <c r="T4449" t="s">
        <v>105</v>
      </c>
      <c r="U4449" t="str">
        <f t="shared" si="1010"/>
        <v>Broadway</v>
      </c>
      <c r="V4449" t="s">
        <v>1226</v>
      </c>
      <c r="W4449" t="str">
        <f t="shared" si="1011"/>
        <v>Dana St</v>
      </c>
      <c r="X4449" t="str">
        <f>IF(ISBLANK(S4449),"Intersection","Non-Intersection")</f>
        <v>Non-Intersection</v>
      </c>
      <c r="Y4449" t="s">
        <v>5103</v>
      </c>
      <c r="Z4449" t="str">
        <f t="shared" si="101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999"/>
        <v>40909</v>
      </c>
      <c r="D4450" s="4">
        <f t="shared" si="1000"/>
        <v>0.86885245901639341</v>
      </c>
      <c r="E4450" s="3">
        <f t="shared" si="1001"/>
        <v>2012</v>
      </c>
      <c r="F4450" s="3">
        <f t="shared" si="1002"/>
        <v>11</v>
      </c>
      <c r="G4450" s="3">
        <f t="shared" si="1003"/>
        <v>14</v>
      </c>
      <c r="H4450" s="3">
        <f t="shared" si="1004"/>
        <v>7</v>
      </c>
      <c r="I4450" s="3">
        <f t="shared" si="1005"/>
        <v>19</v>
      </c>
      <c r="J4450" s="3">
        <f t="shared" si="1006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07"/>
        <v>YES</v>
      </c>
      <c r="Q4450" t="str">
        <f t="shared" si="1008"/>
        <v>YES</v>
      </c>
      <c r="R4450" t="str">
        <f t="shared" si="1009"/>
        <v>NO</v>
      </c>
      <c r="T4450" t="s">
        <v>19</v>
      </c>
      <c r="U4450" t="str">
        <f t="shared" si="1010"/>
        <v>Cambridge St</v>
      </c>
      <c r="V4450" t="s">
        <v>74</v>
      </c>
      <c r="W4450" t="str">
        <f t="shared" si="1011"/>
        <v>Hampshire St</v>
      </c>
      <c r="X4450" t="str">
        <f>IF(ISBLANK(S4450),"Intersection","Non-Intersection")</f>
        <v>Intersection</v>
      </c>
      <c r="Y4450" t="s">
        <v>111</v>
      </c>
      <c r="Z4450" t="str">
        <f t="shared" si="101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999"/>
        <v>40909</v>
      </c>
      <c r="D4451" s="4">
        <f t="shared" si="1000"/>
        <v>0.86885245901639341</v>
      </c>
      <c r="E4451" s="3">
        <f t="shared" si="1001"/>
        <v>2012</v>
      </c>
      <c r="F4451" s="3">
        <f t="shared" si="1002"/>
        <v>11</v>
      </c>
      <c r="G4451" s="3">
        <f t="shared" si="1003"/>
        <v>14</v>
      </c>
      <c r="H4451" s="3">
        <f t="shared" si="1004"/>
        <v>9</v>
      </c>
      <c r="I4451" s="3">
        <f t="shared" si="1005"/>
        <v>4</v>
      </c>
      <c r="J4451" s="3">
        <f t="shared" si="1006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07"/>
        <v>YES</v>
      </c>
      <c r="Q4451" t="str">
        <f t="shared" si="1008"/>
        <v>YES</v>
      </c>
      <c r="R4451" t="str">
        <f t="shared" si="1009"/>
        <v>NO</v>
      </c>
      <c r="T4451" t="s">
        <v>74</v>
      </c>
      <c r="U4451" t="str">
        <f t="shared" si="1010"/>
        <v>Hampshire St</v>
      </c>
      <c r="V4451" t="s">
        <v>104</v>
      </c>
      <c r="W4451" t="str">
        <f t="shared" si="1011"/>
        <v>Inman St</v>
      </c>
      <c r="X4451" t="str">
        <f>IF(ISBLANK(S4451),"Intersection","Non-Intersection")</f>
        <v>Intersection</v>
      </c>
      <c r="Y4451" t="s">
        <v>3593</v>
      </c>
      <c r="Z4451" t="str">
        <f t="shared" si="101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999"/>
        <v>40909</v>
      </c>
      <c r="D4452" s="4">
        <f t="shared" si="1000"/>
        <v>0.86885245901639341</v>
      </c>
      <c r="E4452" s="3">
        <f t="shared" si="1001"/>
        <v>2012</v>
      </c>
      <c r="F4452" s="3">
        <f t="shared" si="1002"/>
        <v>11</v>
      </c>
      <c r="G4452" s="3">
        <f t="shared" si="1003"/>
        <v>14</v>
      </c>
      <c r="H4452" s="3">
        <f t="shared" si="1004"/>
        <v>17</v>
      </c>
      <c r="I4452" s="3">
        <f t="shared" si="1005"/>
        <v>51</v>
      </c>
      <c r="J4452" s="3">
        <f t="shared" si="1006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07"/>
        <v>YES</v>
      </c>
      <c r="Q4452" t="str">
        <f t="shared" si="1008"/>
        <v>YES</v>
      </c>
      <c r="R4452" t="str">
        <f t="shared" si="1009"/>
        <v>NO</v>
      </c>
      <c r="S4452">
        <v>671</v>
      </c>
      <c r="T4452" t="s">
        <v>32</v>
      </c>
      <c r="U4452" t="str">
        <f t="shared" si="1010"/>
        <v>Main St</v>
      </c>
      <c r="W4452" t="str">
        <f t="shared" si="1011"/>
        <v/>
      </c>
      <c r="X4452" t="str">
        <f>IF(ISBLANK(S4452),"Intersection","Non-Intersection")</f>
        <v>Non-Intersection</v>
      </c>
      <c r="Y4452" t="s">
        <v>5105</v>
      </c>
      <c r="Z4452" t="str">
        <f t="shared" si="101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999"/>
        <v>40909</v>
      </c>
      <c r="D4453" s="4">
        <f t="shared" si="1000"/>
        <v>0.86885245901639341</v>
      </c>
      <c r="E4453" s="3">
        <f t="shared" si="1001"/>
        <v>2012</v>
      </c>
      <c r="F4453" s="3">
        <f t="shared" si="1002"/>
        <v>11</v>
      </c>
      <c r="G4453" s="3">
        <f t="shared" si="1003"/>
        <v>14</v>
      </c>
      <c r="H4453" s="3">
        <f t="shared" si="1004"/>
        <v>19</v>
      </c>
      <c r="I4453" s="3">
        <f t="shared" si="1005"/>
        <v>11</v>
      </c>
      <c r="J4453" s="3">
        <f t="shared" si="1006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07"/>
        <v>YES</v>
      </c>
      <c r="Q4453" t="str">
        <f t="shared" si="1008"/>
        <v>NO</v>
      </c>
      <c r="R4453" t="str">
        <f t="shared" si="1009"/>
        <v>NO</v>
      </c>
      <c r="T4453" t="s">
        <v>27</v>
      </c>
      <c r="U4453" t="str">
        <f t="shared" si="1010"/>
        <v>Western Ave</v>
      </c>
      <c r="V4453" t="s">
        <v>1024</v>
      </c>
      <c r="W4453" t="str">
        <f t="shared" si="1011"/>
        <v>Kinnaird St</v>
      </c>
      <c r="X4453" t="str">
        <f>IF(ISBLANK(S4453),"Intersection","Non-Intersection")</f>
        <v>Intersection</v>
      </c>
      <c r="Y4453" t="s">
        <v>2494</v>
      </c>
      <c r="Z4453" t="str">
        <f t="shared" si="101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999"/>
        <v>40909</v>
      </c>
      <c r="D4454" s="4">
        <f t="shared" si="1000"/>
        <v>0.86885245901639341</v>
      </c>
      <c r="E4454" s="3">
        <f t="shared" si="1001"/>
        <v>2012</v>
      </c>
      <c r="F4454" s="3">
        <f t="shared" si="1002"/>
        <v>11</v>
      </c>
      <c r="G4454" s="3">
        <f t="shared" si="1003"/>
        <v>14</v>
      </c>
      <c r="H4454" s="3">
        <f t="shared" si="1004"/>
        <v>8</v>
      </c>
      <c r="I4454" s="3">
        <f t="shared" si="1005"/>
        <v>15</v>
      </c>
      <c r="J4454" s="3">
        <f t="shared" si="1006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07"/>
        <v>YES</v>
      </c>
      <c r="Q4454" t="str">
        <f t="shared" si="1008"/>
        <v>NO</v>
      </c>
      <c r="R4454" t="str">
        <f t="shared" si="1009"/>
        <v>NO</v>
      </c>
      <c r="T4454" t="s">
        <v>133</v>
      </c>
      <c r="U4454" t="str">
        <f t="shared" si="1010"/>
        <v>Harvard St</v>
      </c>
      <c r="V4454" t="s">
        <v>189</v>
      </c>
      <c r="W4454" t="str">
        <f t="shared" si="1011"/>
        <v>Windsor St</v>
      </c>
      <c r="X4454" t="str">
        <f>IF(ISBLANK(S4454),"Intersection","Non-Intersection")</f>
        <v>Intersection</v>
      </c>
      <c r="Y4454" t="s">
        <v>5107</v>
      </c>
      <c r="Z4454" t="str">
        <f t="shared" si="101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999"/>
        <v>40909</v>
      </c>
      <c r="D4455" s="4">
        <f t="shared" si="1000"/>
        <v>0.86885245901639341</v>
      </c>
      <c r="E4455" s="3">
        <f t="shared" si="1001"/>
        <v>2012</v>
      </c>
      <c r="F4455" s="3">
        <f t="shared" si="1002"/>
        <v>11</v>
      </c>
      <c r="G4455" s="3">
        <f t="shared" si="1003"/>
        <v>14</v>
      </c>
      <c r="H4455" s="3">
        <f t="shared" si="1004"/>
        <v>15</v>
      </c>
      <c r="I4455" s="3">
        <f t="shared" si="1005"/>
        <v>14</v>
      </c>
      <c r="J4455" s="3">
        <f t="shared" si="1006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07"/>
        <v>YES</v>
      </c>
      <c r="Q4455" t="str">
        <f t="shared" si="1008"/>
        <v>NO</v>
      </c>
      <c r="R4455" t="str">
        <f t="shared" si="1009"/>
        <v>NO</v>
      </c>
      <c r="T4455" t="s">
        <v>745</v>
      </c>
      <c r="U4455" t="str">
        <f t="shared" si="1010"/>
        <v>Norfolk St</v>
      </c>
      <c r="V4455" t="s">
        <v>296</v>
      </c>
      <c r="W4455" t="str">
        <f t="shared" si="1011"/>
        <v>Mason St</v>
      </c>
      <c r="X4455" t="str">
        <f>IF(ISBLANK(S4455),"Intersection","Non-Intersection")</f>
        <v>Intersection</v>
      </c>
      <c r="Y4455" t="s">
        <v>5108</v>
      </c>
      <c r="Z4455" t="str">
        <f t="shared" si="101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999"/>
        <v>40909</v>
      </c>
      <c r="D4456" s="4">
        <f t="shared" si="1000"/>
        <v>0.87158469945355188</v>
      </c>
      <c r="E4456" s="3">
        <f t="shared" si="1001"/>
        <v>2012</v>
      </c>
      <c r="F4456" s="3">
        <f t="shared" si="1002"/>
        <v>11</v>
      </c>
      <c r="G4456" s="3">
        <f t="shared" si="1003"/>
        <v>15</v>
      </c>
      <c r="H4456" s="3">
        <f t="shared" si="1004"/>
        <v>10</v>
      </c>
      <c r="I4456" s="3">
        <f t="shared" si="1005"/>
        <v>35</v>
      </c>
      <c r="J4456" s="3">
        <f t="shared" si="1006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07"/>
        <v>YES</v>
      </c>
      <c r="Q4456" t="str">
        <f t="shared" si="1008"/>
        <v>YES</v>
      </c>
      <c r="R4456" t="str">
        <f t="shared" si="1009"/>
        <v>NO</v>
      </c>
      <c r="S4456">
        <v>1035</v>
      </c>
      <c r="T4456" t="s">
        <v>19</v>
      </c>
      <c r="U4456" t="str">
        <f t="shared" si="1010"/>
        <v>Cambridge St</v>
      </c>
      <c r="W4456" t="str">
        <f t="shared" si="1011"/>
        <v/>
      </c>
      <c r="X4456" t="str">
        <f>IF(ISBLANK(S4456),"Intersection","Non-Intersection")</f>
        <v>Non-Intersection</v>
      </c>
      <c r="Y4456" t="s">
        <v>4959</v>
      </c>
      <c r="Z4456" t="str">
        <f t="shared" si="101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999"/>
        <v>40909</v>
      </c>
      <c r="D4457" s="4">
        <f t="shared" si="1000"/>
        <v>0.87158469945355188</v>
      </c>
      <c r="E4457" s="3">
        <f t="shared" si="1001"/>
        <v>2012</v>
      </c>
      <c r="F4457" s="3">
        <f t="shared" si="1002"/>
        <v>11</v>
      </c>
      <c r="G4457" s="3">
        <f t="shared" si="1003"/>
        <v>15</v>
      </c>
      <c r="H4457" s="3">
        <f t="shared" si="1004"/>
        <v>16</v>
      </c>
      <c r="I4457" s="3">
        <f t="shared" si="1005"/>
        <v>34</v>
      </c>
      <c r="J4457" s="3">
        <f t="shared" si="1006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07"/>
        <v>YES</v>
      </c>
      <c r="Q4457" t="str">
        <f t="shared" si="1008"/>
        <v>NO</v>
      </c>
      <c r="R4457" t="str">
        <f t="shared" si="1009"/>
        <v>NO</v>
      </c>
      <c r="T4457" t="s">
        <v>208</v>
      </c>
      <c r="U4457" t="str">
        <f t="shared" si="1010"/>
        <v>Sparks St</v>
      </c>
      <c r="V4457" t="s">
        <v>1320</v>
      </c>
      <c r="W4457" t="str">
        <f t="shared" si="1011"/>
        <v>Craigie St</v>
      </c>
      <c r="X4457" t="str">
        <f>IF(ISBLANK(S4457),"Intersection","Non-Intersection")</f>
        <v>Intersection</v>
      </c>
      <c r="Y4457" t="s">
        <v>5109</v>
      </c>
      <c r="Z4457" t="str">
        <f t="shared" si="101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999"/>
        <v>40909</v>
      </c>
      <c r="D4458" s="4">
        <f t="shared" si="1000"/>
        <v>0.87431693989071035</v>
      </c>
      <c r="E4458" s="3">
        <f t="shared" si="1001"/>
        <v>2012</v>
      </c>
      <c r="F4458" s="3">
        <f t="shared" si="1002"/>
        <v>11</v>
      </c>
      <c r="G4458" s="3">
        <f t="shared" si="1003"/>
        <v>16</v>
      </c>
      <c r="H4458" s="3">
        <f t="shared" si="1004"/>
        <v>10</v>
      </c>
      <c r="I4458" s="3">
        <f t="shared" si="1005"/>
        <v>50</v>
      </c>
      <c r="J4458" s="3">
        <f t="shared" si="1006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07"/>
        <v>YES</v>
      </c>
      <c r="Q4458" t="str">
        <f t="shared" si="1008"/>
        <v>NO</v>
      </c>
      <c r="R4458" t="str">
        <f t="shared" si="1009"/>
        <v>NO</v>
      </c>
      <c r="T4458" t="s">
        <v>14</v>
      </c>
      <c r="U4458" t="str">
        <f t="shared" si="1010"/>
        <v>Massachusetts Ave</v>
      </c>
      <c r="V4458" t="s">
        <v>354</v>
      </c>
      <c r="W4458" t="str">
        <f t="shared" si="1011"/>
        <v>Linnaean St</v>
      </c>
      <c r="X4458" t="str">
        <f>IF(ISBLANK(S4458),"Intersection","Non-Intersection")</f>
        <v>Intersection</v>
      </c>
      <c r="Y4458" t="s">
        <v>1234</v>
      </c>
      <c r="Z4458" t="str">
        <f t="shared" si="101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999"/>
        <v>40909</v>
      </c>
      <c r="D4459" s="4">
        <f t="shared" si="1000"/>
        <v>0.87431693989071035</v>
      </c>
      <c r="E4459" s="3">
        <f t="shared" si="1001"/>
        <v>2012</v>
      </c>
      <c r="F4459" s="3">
        <f t="shared" si="1002"/>
        <v>11</v>
      </c>
      <c r="G4459" s="3">
        <f t="shared" si="1003"/>
        <v>16</v>
      </c>
      <c r="H4459" s="3">
        <f t="shared" si="1004"/>
        <v>12</v>
      </c>
      <c r="I4459" s="3">
        <f t="shared" si="1005"/>
        <v>40</v>
      </c>
      <c r="J4459" s="3">
        <f t="shared" si="1006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07"/>
        <v>YES</v>
      </c>
      <c r="Q4459" t="str">
        <f t="shared" si="1008"/>
        <v>NO</v>
      </c>
      <c r="R4459" t="str">
        <f t="shared" si="1009"/>
        <v>NO</v>
      </c>
      <c r="S4459">
        <v>10</v>
      </c>
      <c r="T4459" t="s">
        <v>185</v>
      </c>
      <c r="U4459" t="str">
        <f t="shared" si="1010"/>
        <v>Garden St</v>
      </c>
      <c r="W4459" t="str">
        <f t="shared" si="1011"/>
        <v/>
      </c>
      <c r="X4459" t="str">
        <f>IF(ISBLANK(S4459),"Intersection","Non-Intersection")</f>
        <v>Non-Intersection</v>
      </c>
      <c r="Y4459" t="s">
        <v>4463</v>
      </c>
      <c r="Z4459" t="str">
        <f t="shared" si="101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999"/>
        <v>40909</v>
      </c>
      <c r="D4460" s="4">
        <f t="shared" si="1000"/>
        <v>0.87431693989071035</v>
      </c>
      <c r="E4460" s="3">
        <f t="shared" si="1001"/>
        <v>2012</v>
      </c>
      <c r="F4460" s="3">
        <f t="shared" si="1002"/>
        <v>11</v>
      </c>
      <c r="G4460" s="3">
        <f t="shared" si="1003"/>
        <v>16</v>
      </c>
      <c r="H4460" s="3">
        <f t="shared" si="1004"/>
        <v>14</v>
      </c>
      <c r="I4460" s="3">
        <f t="shared" si="1005"/>
        <v>25</v>
      </c>
      <c r="J4460" s="3">
        <f t="shared" si="1006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07"/>
        <v>YES</v>
      </c>
      <c r="Q4460" t="str">
        <f t="shared" si="1008"/>
        <v>NO</v>
      </c>
      <c r="R4460" t="str">
        <f t="shared" si="1009"/>
        <v>NO</v>
      </c>
      <c r="S4460">
        <v>625</v>
      </c>
      <c r="T4460" t="s">
        <v>198</v>
      </c>
      <c r="U4460" t="str">
        <f t="shared" si="1010"/>
        <v>Mount Auburn St</v>
      </c>
      <c r="W4460" t="str">
        <f t="shared" si="1011"/>
        <v/>
      </c>
      <c r="X4460" t="str">
        <f>IF(ISBLANK(S4460),"Intersection","Non-Intersection")</f>
        <v>Non-Intersection</v>
      </c>
      <c r="Y4460" t="s">
        <v>2427</v>
      </c>
      <c r="Z4460" t="str">
        <f t="shared" si="101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999"/>
        <v>40909</v>
      </c>
      <c r="D4461" s="4">
        <f t="shared" si="1000"/>
        <v>0.87431693989071035</v>
      </c>
      <c r="E4461" s="3">
        <f t="shared" si="1001"/>
        <v>2012</v>
      </c>
      <c r="F4461" s="3">
        <f t="shared" si="1002"/>
        <v>11</v>
      </c>
      <c r="G4461" s="3">
        <f t="shared" si="1003"/>
        <v>16</v>
      </c>
      <c r="H4461" s="3">
        <f t="shared" si="1004"/>
        <v>16</v>
      </c>
      <c r="I4461" s="3">
        <f t="shared" si="1005"/>
        <v>30</v>
      </c>
      <c r="J4461" s="3">
        <f t="shared" si="1006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07"/>
        <v>YES</v>
      </c>
      <c r="Q4461" t="str">
        <f t="shared" si="1008"/>
        <v>NO</v>
      </c>
      <c r="R4461" t="str">
        <f t="shared" si="1009"/>
        <v>NO</v>
      </c>
      <c r="T4461" t="s">
        <v>1958</v>
      </c>
      <c r="U4461" t="str">
        <f t="shared" si="1010"/>
        <v>Porter Cir</v>
      </c>
      <c r="W4461" t="str">
        <f t="shared" si="1011"/>
        <v/>
      </c>
      <c r="X4461" t="str">
        <f>IF(ISBLANK(S4461),"Intersection","Non-Intersection")</f>
        <v>Intersection</v>
      </c>
      <c r="Y4461" t="s">
        <v>5110</v>
      </c>
      <c r="Z4461" t="str">
        <f t="shared" si="101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999"/>
        <v>40909</v>
      </c>
      <c r="D4462" s="4">
        <f t="shared" si="1000"/>
        <v>0.87431693989071035</v>
      </c>
      <c r="E4462" s="3">
        <f t="shared" si="1001"/>
        <v>2012</v>
      </c>
      <c r="F4462" s="3">
        <f t="shared" si="1002"/>
        <v>11</v>
      </c>
      <c r="G4462" s="3">
        <f t="shared" si="1003"/>
        <v>16</v>
      </c>
      <c r="H4462" s="3">
        <f t="shared" si="1004"/>
        <v>23</v>
      </c>
      <c r="I4462" s="3">
        <f t="shared" si="1005"/>
        <v>29</v>
      </c>
      <c r="J4462" s="3">
        <f t="shared" si="1006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07"/>
        <v>YES</v>
      </c>
      <c r="Q4462" t="str">
        <f t="shared" si="1008"/>
        <v>NO</v>
      </c>
      <c r="R4462" t="str">
        <f t="shared" si="1009"/>
        <v>NO</v>
      </c>
      <c r="S4462">
        <v>40</v>
      </c>
      <c r="T4462" t="s">
        <v>5111</v>
      </c>
      <c r="U4462" t="str">
        <f t="shared" si="1010"/>
        <v>Hayes St</v>
      </c>
      <c r="W4462" t="str">
        <f t="shared" si="1011"/>
        <v/>
      </c>
      <c r="X4462" t="str">
        <f>IF(ISBLANK(S4462),"Intersection","Non-Intersection")</f>
        <v>Non-Intersection</v>
      </c>
      <c r="Y4462" t="s">
        <v>5112</v>
      </c>
      <c r="Z4462" t="str">
        <f t="shared" si="101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999"/>
        <v>40909</v>
      </c>
      <c r="D4463" s="4">
        <f t="shared" si="1000"/>
        <v>0.87431693989071035</v>
      </c>
      <c r="E4463" s="3">
        <f t="shared" si="1001"/>
        <v>2012</v>
      </c>
      <c r="F4463" s="3">
        <f t="shared" si="1002"/>
        <v>11</v>
      </c>
      <c r="G4463" s="3">
        <f t="shared" si="1003"/>
        <v>16</v>
      </c>
      <c r="H4463" s="3">
        <f t="shared" si="1004"/>
        <v>23</v>
      </c>
      <c r="I4463" s="3">
        <f t="shared" si="1005"/>
        <v>0</v>
      </c>
      <c r="J4463" s="3">
        <f t="shared" si="1006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07"/>
        <v>YES</v>
      </c>
      <c r="Q4463" t="str">
        <f t="shared" si="1008"/>
        <v>NO</v>
      </c>
      <c r="R4463" t="str">
        <f t="shared" si="1009"/>
        <v>NO</v>
      </c>
      <c r="S4463">
        <v>402</v>
      </c>
      <c r="T4463" t="s">
        <v>15</v>
      </c>
      <c r="U4463" t="str">
        <f t="shared" si="1010"/>
        <v>Rindge Ave</v>
      </c>
      <c r="W4463" t="str">
        <f t="shared" si="1011"/>
        <v/>
      </c>
      <c r="X4463" t="str">
        <f>IF(ISBLANK(S4463),"Intersection","Non-Intersection")</f>
        <v>Non-Intersection</v>
      </c>
      <c r="Y4463" t="s">
        <v>1135</v>
      </c>
      <c r="Z4463" t="str">
        <f t="shared" si="101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999"/>
        <v>40909</v>
      </c>
      <c r="D4464" s="4">
        <f t="shared" si="1000"/>
        <v>0.87704918032786883</v>
      </c>
      <c r="E4464" s="3">
        <f t="shared" si="1001"/>
        <v>2012</v>
      </c>
      <c r="F4464" s="3">
        <f t="shared" si="1002"/>
        <v>11</v>
      </c>
      <c r="G4464" s="3">
        <f t="shared" si="1003"/>
        <v>17</v>
      </c>
      <c r="H4464" s="3">
        <f t="shared" si="1004"/>
        <v>12</v>
      </c>
      <c r="I4464" s="3">
        <f t="shared" si="1005"/>
        <v>59</v>
      </c>
      <c r="J4464" s="3">
        <f t="shared" si="1006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07"/>
        <v>YES</v>
      </c>
      <c r="Q4464" t="str">
        <f t="shared" si="1008"/>
        <v>NO</v>
      </c>
      <c r="R4464" t="str">
        <f t="shared" si="1009"/>
        <v>YES</v>
      </c>
      <c r="S4464">
        <v>699</v>
      </c>
      <c r="T4464" t="s">
        <v>198</v>
      </c>
      <c r="U4464" t="str">
        <f t="shared" si="1010"/>
        <v>Mount Auburn St</v>
      </c>
      <c r="W4464" t="str">
        <f t="shared" si="1011"/>
        <v/>
      </c>
      <c r="X4464" t="str">
        <f>IF(ISBLANK(S4464),"Intersection","Non-Intersection")</f>
        <v>Non-Intersection</v>
      </c>
      <c r="Y4464" t="s">
        <v>585</v>
      </c>
      <c r="Z4464" t="str">
        <f t="shared" si="101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999"/>
        <v>40909</v>
      </c>
      <c r="D4465" s="4">
        <f t="shared" si="1000"/>
        <v>0.87704918032786883</v>
      </c>
      <c r="E4465" s="3">
        <f t="shared" si="1001"/>
        <v>2012</v>
      </c>
      <c r="F4465" s="3">
        <f t="shared" si="1002"/>
        <v>11</v>
      </c>
      <c r="G4465" s="3">
        <f t="shared" si="1003"/>
        <v>17</v>
      </c>
      <c r="H4465" s="3">
        <f t="shared" si="1004"/>
        <v>11</v>
      </c>
      <c r="I4465" s="3">
        <f t="shared" si="1005"/>
        <v>49</v>
      </c>
      <c r="J4465" s="3">
        <f t="shared" si="1006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07"/>
        <v>YES</v>
      </c>
      <c r="Q4465" t="str">
        <f t="shared" si="1008"/>
        <v>YES</v>
      </c>
      <c r="R4465" t="str">
        <f t="shared" si="1009"/>
        <v>NO</v>
      </c>
      <c r="S4465">
        <v>1698</v>
      </c>
      <c r="T4465" t="s">
        <v>14</v>
      </c>
      <c r="U4465" t="str">
        <f t="shared" si="1010"/>
        <v>Massachusetts Ave</v>
      </c>
      <c r="W4465" t="str">
        <f t="shared" si="1011"/>
        <v/>
      </c>
      <c r="X4465" t="str">
        <f>IF(ISBLANK(S4465),"Intersection","Non-Intersection")</f>
        <v>Non-Intersection</v>
      </c>
      <c r="Y4465" t="s">
        <v>5114</v>
      </c>
      <c r="Z4465" t="str">
        <f t="shared" si="101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999"/>
        <v>40909</v>
      </c>
      <c r="D4466" s="4">
        <f t="shared" si="1000"/>
        <v>0.8797814207650273</v>
      </c>
      <c r="E4466" s="3">
        <f t="shared" si="1001"/>
        <v>2012</v>
      </c>
      <c r="F4466" s="3">
        <f t="shared" si="1002"/>
        <v>11</v>
      </c>
      <c r="G4466" s="3">
        <f t="shared" si="1003"/>
        <v>18</v>
      </c>
      <c r="H4466" s="3">
        <f t="shared" si="1004"/>
        <v>3</v>
      </c>
      <c r="I4466" s="3">
        <f t="shared" si="1005"/>
        <v>0</v>
      </c>
      <c r="J4466" s="3">
        <f t="shared" si="1006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07"/>
        <v>YES</v>
      </c>
      <c r="Q4466" t="str">
        <f t="shared" si="1008"/>
        <v>NO</v>
      </c>
      <c r="R4466" t="str">
        <f t="shared" si="1009"/>
        <v>NO</v>
      </c>
      <c r="S4466">
        <v>266</v>
      </c>
      <c r="T4466" t="s">
        <v>14</v>
      </c>
      <c r="U4466" t="str">
        <f t="shared" si="1010"/>
        <v>Massachusetts Ave</v>
      </c>
      <c r="W4466" t="str">
        <f t="shared" si="1011"/>
        <v/>
      </c>
      <c r="X4466" t="str">
        <f>IF(ISBLANK(S4466),"Intersection","Non-Intersection")</f>
        <v>Non-Intersection</v>
      </c>
      <c r="Y4466" t="s">
        <v>2853</v>
      </c>
      <c r="Z4466" t="str">
        <f t="shared" si="101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999"/>
        <v>40909</v>
      </c>
      <c r="D4467" s="4">
        <f t="shared" si="1000"/>
        <v>0.8797814207650273</v>
      </c>
      <c r="E4467" s="3">
        <f t="shared" si="1001"/>
        <v>2012</v>
      </c>
      <c r="F4467" s="3">
        <f t="shared" si="1002"/>
        <v>11</v>
      </c>
      <c r="G4467" s="3">
        <f t="shared" si="1003"/>
        <v>18</v>
      </c>
      <c r="H4467" s="3">
        <f t="shared" si="1004"/>
        <v>8</v>
      </c>
      <c r="I4467" s="3">
        <f t="shared" si="1005"/>
        <v>0</v>
      </c>
      <c r="J4467" s="3">
        <f t="shared" si="1006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07"/>
        <v>YES</v>
      </c>
      <c r="Q4467" t="str">
        <f t="shared" si="1008"/>
        <v>NO</v>
      </c>
      <c r="R4467" t="str">
        <f t="shared" si="1009"/>
        <v>NO</v>
      </c>
      <c r="S4467">
        <v>151</v>
      </c>
      <c r="T4467" t="s">
        <v>133</v>
      </c>
      <c r="U4467" t="str">
        <f t="shared" si="1010"/>
        <v>Harvard St</v>
      </c>
      <c r="W4467" t="str">
        <f t="shared" si="1011"/>
        <v/>
      </c>
      <c r="X4467" t="str">
        <f>IF(ISBLANK(S4467),"Intersection","Non-Intersection")</f>
        <v>Non-Intersection</v>
      </c>
      <c r="Y4467" t="s">
        <v>5116</v>
      </c>
      <c r="Z4467" t="str">
        <f t="shared" si="101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999"/>
        <v>40909</v>
      </c>
      <c r="D4468" s="4">
        <f t="shared" si="1000"/>
        <v>0.8797814207650273</v>
      </c>
      <c r="E4468" s="3">
        <f t="shared" si="1001"/>
        <v>2012</v>
      </c>
      <c r="F4468" s="3">
        <f t="shared" si="1002"/>
        <v>11</v>
      </c>
      <c r="G4468" s="3">
        <f t="shared" si="1003"/>
        <v>18</v>
      </c>
      <c r="H4468" s="3">
        <f t="shared" si="1004"/>
        <v>15</v>
      </c>
      <c r="I4468" s="3">
        <f t="shared" si="1005"/>
        <v>0</v>
      </c>
      <c r="J4468" s="3">
        <f t="shared" si="1006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07"/>
        <v>YES</v>
      </c>
      <c r="Q4468" t="str">
        <f t="shared" si="1008"/>
        <v>NO</v>
      </c>
      <c r="R4468" t="str">
        <f t="shared" si="1009"/>
        <v>NO</v>
      </c>
      <c r="S4468" t="s">
        <v>5118</v>
      </c>
      <c r="T4468" t="s">
        <v>335</v>
      </c>
      <c r="U4468" t="str">
        <f t="shared" si="1010"/>
        <v>Ware St</v>
      </c>
      <c r="W4468" t="str">
        <f t="shared" si="1011"/>
        <v/>
      </c>
      <c r="X4468" t="str">
        <f>IF(ISBLANK(S4468),"Intersection","Non-Intersection")</f>
        <v>Non-Intersection</v>
      </c>
      <c r="Y4468" t="s">
        <v>5119</v>
      </c>
      <c r="Z4468" t="str">
        <f t="shared" si="101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999"/>
        <v>40909</v>
      </c>
      <c r="D4469" s="4">
        <f t="shared" si="1000"/>
        <v>0.8797814207650273</v>
      </c>
      <c r="E4469" s="3">
        <f t="shared" si="1001"/>
        <v>2012</v>
      </c>
      <c r="F4469" s="3">
        <f t="shared" si="1002"/>
        <v>11</v>
      </c>
      <c r="G4469" s="3">
        <f t="shared" si="1003"/>
        <v>18</v>
      </c>
      <c r="H4469" s="3">
        <f t="shared" si="1004"/>
        <v>16</v>
      </c>
      <c r="I4469" s="3">
        <f t="shared" si="1005"/>
        <v>40</v>
      </c>
      <c r="J4469" s="3">
        <f t="shared" si="1006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07"/>
        <v>YES</v>
      </c>
      <c r="Q4469" t="str">
        <f t="shared" si="1008"/>
        <v>NO</v>
      </c>
      <c r="R4469" t="str">
        <f t="shared" si="1009"/>
        <v>NO</v>
      </c>
      <c r="S4469">
        <v>50</v>
      </c>
      <c r="T4469" t="s">
        <v>4905</v>
      </c>
      <c r="U4469" t="str">
        <f t="shared" si="1010"/>
        <v>Trowbridge Pl</v>
      </c>
      <c r="W4469" t="str">
        <f t="shared" si="1011"/>
        <v/>
      </c>
      <c r="X4469" t="str">
        <f>IF(ISBLANK(S4469),"Intersection","Non-Intersection")</f>
        <v>Non-Intersection</v>
      </c>
      <c r="Y4469" t="s">
        <v>5121</v>
      </c>
      <c r="Z4469" t="str">
        <f t="shared" si="101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999"/>
        <v>40909</v>
      </c>
      <c r="D4470" s="4">
        <f t="shared" si="1000"/>
        <v>0.8797814207650273</v>
      </c>
      <c r="E4470" s="3">
        <f t="shared" si="1001"/>
        <v>2012</v>
      </c>
      <c r="F4470" s="3">
        <f t="shared" si="1002"/>
        <v>11</v>
      </c>
      <c r="G4470" s="3">
        <f t="shared" si="1003"/>
        <v>18</v>
      </c>
      <c r="H4470" s="3">
        <f t="shared" si="1004"/>
        <v>12</v>
      </c>
      <c r="I4470" s="3">
        <f t="shared" si="1005"/>
        <v>59</v>
      </c>
      <c r="J4470" s="3">
        <f t="shared" si="1006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07"/>
        <v>YES</v>
      </c>
      <c r="Q4470" t="str">
        <f t="shared" si="1008"/>
        <v>NO</v>
      </c>
      <c r="R4470" t="str">
        <f t="shared" si="1009"/>
        <v>NO</v>
      </c>
      <c r="S4470">
        <v>699</v>
      </c>
      <c r="T4470" t="s">
        <v>198</v>
      </c>
      <c r="U4470" t="str">
        <f t="shared" si="1010"/>
        <v>Mount Auburn St</v>
      </c>
      <c r="W4470" t="str">
        <f t="shared" si="1011"/>
        <v/>
      </c>
      <c r="X4470" t="str">
        <f>IF(ISBLANK(S4470),"Intersection","Non-Intersection")</f>
        <v>Non-Intersection</v>
      </c>
      <c r="Y4470" t="s">
        <v>585</v>
      </c>
      <c r="Z4470" t="str">
        <f t="shared" si="101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999"/>
        <v>40909</v>
      </c>
      <c r="D4471" s="4">
        <f t="shared" si="1000"/>
        <v>0.8797814207650273</v>
      </c>
      <c r="E4471" s="3">
        <f t="shared" si="1001"/>
        <v>2012</v>
      </c>
      <c r="F4471" s="3">
        <f t="shared" si="1002"/>
        <v>11</v>
      </c>
      <c r="G4471" s="3">
        <f t="shared" si="1003"/>
        <v>18</v>
      </c>
      <c r="H4471" s="3">
        <f t="shared" si="1004"/>
        <v>20</v>
      </c>
      <c r="I4471" s="3">
        <f t="shared" si="1005"/>
        <v>12</v>
      </c>
      <c r="J4471" s="3">
        <f t="shared" si="1006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07"/>
        <v>YES</v>
      </c>
      <c r="Q4471" t="str">
        <f t="shared" si="1008"/>
        <v>NO</v>
      </c>
      <c r="R4471" t="str">
        <f t="shared" si="1009"/>
        <v>NO</v>
      </c>
      <c r="U4471" t="str">
        <f t="shared" si="1010"/>
        <v/>
      </c>
      <c r="W4471" t="str">
        <f t="shared" si="1011"/>
        <v/>
      </c>
      <c r="X4471" t="str">
        <f>IF(ISBLANK(S4471),"Intersection","Non-Intersection")</f>
        <v>Intersection</v>
      </c>
      <c r="Y4471" t="s">
        <v>717</v>
      </c>
      <c r="Z4471" t="str">
        <f t="shared" si="101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13">EOMONTH(B4472,MONTH(B4472)*-1)+1</f>
        <v>40909</v>
      </c>
      <c r="D4472" s="4">
        <f t="shared" ref="D4472:D4534" si="1014">YEARFRAC(C4472,B4472,1)</f>
        <v>0.8797814207650273</v>
      </c>
      <c r="E4472" s="3">
        <f t="shared" ref="E4472:E4534" si="1015">YEAR(B4472)</f>
        <v>2012</v>
      </c>
      <c r="F4472" s="3">
        <f t="shared" ref="F4472:F4534" si="1016">MONTH(B4472)</f>
        <v>11</v>
      </c>
      <c r="G4472" s="3">
        <f t="shared" ref="G4472:G4534" si="1017">DAY(B4472)</f>
        <v>18</v>
      </c>
      <c r="H4472" s="3">
        <f t="shared" ref="H4472:H4534" si="1018">HOUR(B4472)</f>
        <v>10</v>
      </c>
      <c r="I4472" s="3">
        <f t="shared" ref="I4472:I4534" si="1019">MINUTE(B4472)</f>
        <v>15</v>
      </c>
      <c r="J4472" s="3">
        <f t="shared" ref="J4472:J4534" si="102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21">IF(OR(N4472="Auto",O4472="Auto"),"YES",IF(OR(N4472="Taxi",O4472="Taxi"),"YES",IF(OR(N4472="Van",O4472="Van"),"YES",IF(OR(N4472="Truck",O4472="Truck"),"YES","NO"))))</f>
        <v>YES</v>
      </c>
      <c r="Q4472" t="str">
        <f t="shared" ref="Q4472:Q4534" si="1022">IF(OR(N4472="Bicycle",O4472="Bicycle"),"YES","NO")</f>
        <v>NO</v>
      </c>
      <c r="R4472" t="str">
        <f t="shared" ref="R4472:R4534" si="1023">IF(OR(N4472="Pedestrian",O4472="Pedestrian"),"YES","NO")</f>
        <v>NO</v>
      </c>
      <c r="T4472" t="s">
        <v>365</v>
      </c>
      <c r="U4472" t="str">
        <f t="shared" si="1010"/>
        <v>Hurley St</v>
      </c>
      <c r="V4472" t="s">
        <v>61</v>
      </c>
      <c r="W4472" t="str">
        <f t="shared" si="1011"/>
        <v>First St</v>
      </c>
      <c r="X4472" t="str">
        <f>IF(ISBLANK(S4472),"Intersection","Non-Intersection")</f>
        <v>Intersection</v>
      </c>
      <c r="Y4472" t="s">
        <v>4643</v>
      </c>
      <c r="Z4472" t="str">
        <f t="shared" si="101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13"/>
        <v>40909</v>
      </c>
      <c r="D4473" s="4">
        <f t="shared" si="1014"/>
        <v>0.88251366120218577</v>
      </c>
      <c r="E4473" s="3">
        <f t="shared" si="1015"/>
        <v>2012</v>
      </c>
      <c r="F4473" s="3">
        <f t="shared" si="1016"/>
        <v>11</v>
      </c>
      <c r="G4473" s="3">
        <f t="shared" si="1017"/>
        <v>19</v>
      </c>
      <c r="H4473" s="3">
        <f t="shared" si="1018"/>
        <v>8</v>
      </c>
      <c r="I4473" s="3">
        <f t="shared" si="1019"/>
        <v>10</v>
      </c>
      <c r="J4473" s="3">
        <f t="shared" si="102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21"/>
        <v>YES</v>
      </c>
      <c r="Q4473" t="str">
        <f t="shared" si="1022"/>
        <v>NO</v>
      </c>
      <c r="R4473" t="str">
        <f t="shared" si="1023"/>
        <v>NO</v>
      </c>
      <c r="T4473" t="s">
        <v>129</v>
      </c>
      <c r="U4473" t="str">
        <f t="shared" si="1010"/>
        <v>Cardinal Medeiros Ave</v>
      </c>
      <c r="V4473" t="s">
        <v>5123</v>
      </c>
      <c r="W4473" t="str">
        <f t="shared" si="1011"/>
        <v>Vandine St</v>
      </c>
      <c r="X4473" t="str">
        <f>IF(ISBLANK(S4473),"Intersection","Non-Intersection")</f>
        <v>Intersection</v>
      </c>
      <c r="Y4473" t="s">
        <v>5124</v>
      </c>
      <c r="Z4473" t="str">
        <f t="shared" si="101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13"/>
        <v>40909</v>
      </c>
      <c r="D4474" s="4">
        <f t="shared" si="1014"/>
        <v>0.88251366120218577</v>
      </c>
      <c r="E4474" s="3">
        <f t="shared" si="1015"/>
        <v>2012</v>
      </c>
      <c r="F4474" s="3">
        <f t="shared" si="1016"/>
        <v>11</v>
      </c>
      <c r="G4474" s="3">
        <f t="shared" si="1017"/>
        <v>19</v>
      </c>
      <c r="H4474" s="3">
        <f t="shared" si="1018"/>
        <v>11</v>
      </c>
      <c r="I4474" s="3">
        <f t="shared" si="1019"/>
        <v>3</v>
      </c>
      <c r="J4474" s="3">
        <f t="shared" si="102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21"/>
        <v>YES</v>
      </c>
      <c r="Q4474" t="str">
        <f t="shared" si="1022"/>
        <v>NO</v>
      </c>
      <c r="R4474" t="str">
        <f t="shared" si="1023"/>
        <v>NO</v>
      </c>
      <c r="T4474" t="s">
        <v>70</v>
      </c>
      <c r="U4474" t="str">
        <f t="shared" si="1010"/>
        <v>Pearl St</v>
      </c>
      <c r="V4474" t="s">
        <v>86</v>
      </c>
      <c r="W4474" t="str">
        <f t="shared" si="1011"/>
        <v>Granite St</v>
      </c>
      <c r="X4474" t="str">
        <f>IF(ISBLANK(S4474),"Intersection","Non-Intersection")</f>
        <v>Intersection</v>
      </c>
      <c r="Y4474" t="s">
        <v>5126</v>
      </c>
      <c r="Z4474" t="str">
        <f t="shared" si="101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13"/>
        <v>40909</v>
      </c>
      <c r="D4475" s="4">
        <f t="shared" si="1014"/>
        <v>0.88251366120218577</v>
      </c>
      <c r="E4475" s="3">
        <f t="shared" si="1015"/>
        <v>2012</v>
      </c>
      <c r="F4475" s="3">
        <f t="shared" si="1016"/>
        <v>11</v>
      </c>
      <c r="G4475" s="3">
        <f t="shared" si="1017"/>
        <v>19</v>
      </c>
      <c r="H4475" s="3">
        <f t="shared" si="1018"/>
        <v>9</v>
      </c>
      <c r="I4475" s="3">
        <f t="shared" si="1019"/>
        <v>30</v>
      </c>
      <c r="J4475" s="3">
        <f t="shared" si="102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21"/>
        <v>YES</v>
      </c>
      <c r="Q4475" t="str">
        <f t="shared" si="1022"/>
        <v>NO</v>
      </c>
      <c r="R4475" t="str">
        <f t="shared" si="1023"/>
        <v>NO</v>
      </c>
      <c r="T4475" t="s">
        <v>27</v>
      </c>
      <c r="U4475" t="str">
        <f t="shared" si="1010"/>
        <v>Western Ave</v>
      </c>
      <c r="W4475" t="str">
        <f t="shared" si="1011"/>
        <v/>
      </c>
      <c r="X4475" t="str">
        <f>IF(ISBLANK(S4475),"Intersection","Non-Intersection")</f>
        <v>Intersection</v>
      </c>
      <c r="Y4475" t="s">
        <v>3858</v>
      </c>
      <c r="Z4475" t="str">
        <f t="shared" si="101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13"/>
        <v>40909</v>
      </c>
      <c r="D4476" s="4">
        <f t="shared" si="1014"/>
        <v>0.88524590163934425</v>
      </c>
      <c r="E4476" s="3">
        <f t="shared" si="1015"/>
        <v>2012</v>
      </c>
      <c r="F4476" s="3">
        <f t="shared" si="1016"/>
        <v>11</v>
      </c>
      <c r="G4476" s="3">
        <f t="shared" si="1017"/>
        <v>20</v>
      </c>
      <c r="H4476" s="3">
        <f t="shared" si="1018"/>
        <v>8</v>
      </c>
      <c r="I4476" s="3">
        <f t="shared" si="1019"/>
        <v>29</v>
      </c>
      <c r="J4476" s="3">
        <f t="shared" si="102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21"/>
        <v>YES</v>
      </c>
      <c r="Q4476" t="str">
        <f t="shared" si="1022"/>
        <v>NO</v>
      </c>
      <c r="R4476" t="str">
        <f t="shared" si="1023"/>
        <v>NO</v>
      </c>
      <c r="T4476" t="s">
        <v>105</v>
      </c>
      <c r="U4476" t="str">
        <f t="shared" si="1010"/>
        <v>Broadway</v>
      </c>
      <c r="V4476" t="s">
        <v>104</v>
      </c>
      <c r="W4476" t="str">
        <f t="shared" si="1011"/>
        <v>Inman St</v>
      </c>
      <c r="X4476" t="str">
        <f>IF(ISBLANK(S4476),"Intersection","Non-Intersection")</f>
        <v>Intersection</v>
      </c>
      <c r="Y4476" t="s">
        <v>2336</v>
      </c>
      <c r="Z4476" t="str">
        <f t="shared" si="101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13"/>
        <v>40909</v>
      </c>
      <c r="D4477" s="4">
        <f t="shared" si="1014"/>
        <v>0.88524590163934425</v>
      </c>
      <c r="E4477" s="3">
        <f t="shared" si="1015"/>
        <v>2012</v>
      </c>
      <c r="F4477" s="3">
        <f t="shared" si="1016"/>
        <v>11</v>
      </c>
      <c r="G4477" s="3">
        <f t="shared" si="1017"/>
        <v>20</v>
      </c>
      <c r="H4477" s="3">
        <f t="shared" si="1018"/>
        <v>8</v>
      </c>
      <c r="I4477" s="3">
        <f t="shared" si="1019"/>
        <v>45</v>
      </c>
      <c r="J4477" s="3">
        <f t="shared" si="102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21"/>
        <v>YES</v>
      </c>
      <c r="Q4477" t="str">
        <f t="shared" si="1022"/>
        <v>YES</v>
      </c>
      <c r="R4477" t="str">
        <f t="shared" si="1023"/>
        <v>NO</v>
      </c>
      <c r="T4477" t="s">
        <v>14</v>
      </c>
      <c r="U4477" t="str">
        <f t="shared" si="1010"/>
        <v>Massachusetts Ave</v>
      </c>
      <c r="V4477" t="s">
        <v>501</v>
      </c>
      <c r="W4477" t="str">
        <f t="shared" si="1011"/>
        <v>Garfield St</v>
      </c>
      <c r="X4477" t="str">
        <f>IF(ISBLANK(S4477),"Intersection","Non-Intersection")</f>
        <v>Intersection</v>
      </c>
      <c r="Y4477" t="s">
        <v>2128</v>
      </c>
      <c r="Z4477" t="str">
        <f t="shared" si="101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13"/>
        <v>40909</v>
      </c>
      <c r="D4478" s="4">
        <f t="shared" si="1014"/>
        <v>0.88524590163934425</v>
      </c>
      <c r="E4478" s="3">
        <f t="shared" si="1015"/>
        <v>2012</v>
      </c>
      <c r="F4478" s="3">
        <f t="shared" si="1016"/>
        <v>11</v>
      </c>
      <c r="G4478" s="3">
        <f t="shared" si="1017"/>
        <v>20</v>
      </c>
      <c r="H4478" s="3">
        <f t="shared" si="1018"/>
        <v>9</v>
      </c>
      <c r="I4478" s="3">
        <f t="shared" si="1019"/>
        <v>59</v>
      </c>
      <c r="J4478" s="3">
        <f t="shared" si="102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21"/>
        <v>YES</v>
      </c>
      <c r="Q4478" t="str">
        <f t="shared" si="1022"/>
        <v>NO</v>
      </c>
      <c r="R4478" t="str">
        <f t="shared" si="1023"/>
        <v>NO</v>
      </c>
      <c r="T4478" t="s">
        <v>97</v>
      </c>
      <c r="U4478" t="str">
        <f t="shared" si="1010"/>
        <v>Peabody St</v>
      </c>
      <c r="V4478" t="s">
        <v>185</v>
      </c>
      <c r="W4478" t="str">
        <f t="shared" si="1011"/>
        <v>Garden St</v>
      </c>
      <c r="X4478" t="str">
        <f>IF(ISBLANK(S4478),"Intersection","Non-Intersection")</f>
        <v>Intersection</v>
      </c>
      <c r="Y4478" t="s">
        <v>4330</v>
      </c>
      <c r="Z4478" t="str">
        <f t="shared" si="101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13"/>
        <v>40909</v>
      </c>
      <c r="D4479" s="4">
        <f t="shared" si="1014"/>
        <v>0.88524590163934425</v>
      </c>
      <c r="E4479" s="3">
        <f t="shared" si="1015"/>
        <v>2012</v>
      </c>
      <c r="F4479" s="3">
        <f t="shared" si="1016"/>
        <v>11</v>
      </c>
      <c r="G4479" s="3">
        <f t="shared" si="1017"/>
        <v>20</v>
      </c>
      <c r="H4479" s="3">
        <f t="shared" si="1018"/>
        <v>12</v>
      </c>
      <c r="I4479" s="3">
        <f t="shared" si="1019"/>
        <v>40</v>
      </c>
      <c r="J4479" s="3">
        <f t="shared" si="102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21"/>
        <v>YES</v>
      </c>
      <c r="Q4479" t="str">
        <f t="shared" si="1022"/>
        <v>NO</v>
      </c>
      <c r="R4479" t="str">
        <f t="shared" si="1023"/>
        <v>NO</v>
      </c>
      <c r="T4479" t="s">
        <v>104</v>
      </c>
      <c r="U4479" t="str">
        <f t="shared" si="1010"/>
        <v>Inman St</v>
      </c>
      <c r="V4479" t="s">
        <v>316</v>
      </c>
      <c r="W4479" t="str">
        <f t="shared" si="1011"/>
        <v>Bishop Allen Dr</v>
      </c>
      <c r="X4479" t="str">
        <f>IF(ISBLANK(S4479),"Intersection","Non-Intersection")</f>
        <v>Intersection</v>
      </c>
      <c r="Y4479" t="s">
        <v>1839</v>
      </c>
      <c r="Z4479" t="str">
        <f t="shared" si="101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13"/>
        <v>40909</v>
      </c>
      <c r="D4480" s="4">
        <f t="shared" si="1014"/>
        <v>0.88524590163934425</v>
      </c>
      <c r="E4480" s="3">
        <f t="shared" si="1015"/>
        <v>2012</v>
      </c>
      <c r="F4480" s="3">
        <f t="shared" si="1016"/>
        <v>11</v>
      </c>
      <c r="G4480" s="3">
        <f t="shared" si="1017"/>
        <v>20</v>
      </c>
      <c r="H4480" s="3">
        <f t="shared" si="1018"/>
        <v>12</v>
      </c>
      <c r="I4480" s="3">
        <f t="shared" si="1019"/>
        <v>14</v>
      </c>
      <c r="J4480" s="3">
        <f t="shared" si="102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21"/>
        <v>YES</v>
      </c>
      <c r="Q4480" t="str">
        <f t="shared" si="1022"/>
        <v>NO</v>
      </c>
      <c r="R4480" t="str">
        <f t="shared" si="1023"/>
        <v>NO</v>
      </c>
      <c r="T4480" t="s">
        <v>170</v>
      </c>
      <c r="U4480" t="str">
        <f t="shared" si="1010"/>
        <v>Alewife Brook Pky</v>
      </c>
      <c r="W4480" t="str">
        <f t="shared" si="1011"/>
        <v/>
      </c>
      <c r="X4480" t="str">
        <f>IF(ISBLANK(S4480),"Intersection","Non-Intersection")</f>
        <v>Intersection</v>
      </c>
      <c r="Y4480" t="s">
        <v>604</v>
      </c>
      <c r="Z4480" t="str">
        <f t="shared" si="101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13"/>
        <v>40909</v>
      </c>
      <c r="D4481" s="4">
        <f t="shared" si="1014"/>
        <v>0.88524590163934425</v>
      </c>
      <c r="E4481" s="3">
        <f t="shared" si="1015"/>
        <v>2012</v>
      </c>
      <c r="F4481" s="3">
        <f t="shared" si="1016"/>
        <v>11</v>
      </c>
      <c r="G4481" s="3">
        <f t="shared" si="1017"/>
        <v>20</v>
      </c>
      <c r="H4481" s="3">
        <f t="shared" si="1018"/>
        <v>14</v>
      </c>
      <c r="I4481" s="3">
        <f t="shared" si="1019"/>
        <v>10</v>
      </c>
      <c r="J4481" s="3">
        <f t="shared" si="102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21"/>
        <v>YES</v>
      </c>
      <c r="Q4481" t="str">
        <f t="shared" si="1022"/>
        <v>YES</v>
      </c>
      <c r="R4481" t="str">
        <f t="shared" si="1023"/>
        <v>NO</v>
      </c>
      <c r="S4481">
        <v>363</v>
      </c>
      <c r="T4481" t="s">
        <v>189</v>
      </c>
      <c r="U4481" t="str">
        <f t="shared" si="1010"/>
        <v>Windsor St</v>
      </c>
      <c r="W4481" t="str">
        <f t="shared" si="1011"/>
        <v/>
      </c>
      <c r="X4481" t="str">
        <f>IF(ISBLANK(S4481),"Intersection","Non-Intersection")</f>
        <v>Non-Intersection</v>
      </c>
      <c r="Y4481" t="s">
        <v>5128</v>
      </c>
      <c r="Z4481" t="str">
        <f t="shared" si="101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13"/>
        <v>40909</v>
      </c>
      <c r="D4482" s="4">
        <f t="shared" si="1014"/>
        <v>0.88524590163934425</v>
      </c>
      <c r="E4482" s="3">
        <f t="shared" si="1015"/>
        <v>2012</v>
      </c>
      <c r="F4482" s="3">
        <f t="shared" si="1016"/>
        <v>11</v>
      </c>
      <c r="G4482" s="3">
        <f t="shared" si="1017"/>
        <v>20</v>
      </c>
      <c r="H4482" s="3">
        <f t="shared" si="1018"/>
        <v>17</v>
      </c>
      <c r="I4482" s="3">
        <f t="shared" si="1019"/>
        <v>10</v>
      </c>
      <c r="J4482" s="3">
        <f t="shared" si="102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21"/>
        <v>YES</v>
      </c>
      <c r="Q4482" t="str">
        <f t="shared" si="1022"/>
        <v>NO</v>
      </c>
      <c r="R4482" t="str">
        <f t="shared" si="1023"/>
        <v>NO</v>
      </c>
      <c r="T4482" t="s">
        <v>269</v>
      </c>
      <c r="U4482" t="str">
        <f t="shared" si="1010"/>
        <v>Porter Sq</v>
      </c>
      <c r="W4482" t="str">
        <f t="shared" si="1011"/>
        <v/>
      </c>
      <c r="X4482" t="str">
        <f>IF(ISBLANK(S4482),"Intersection","Non-Intersection")</f>
        <v>Intersection</v>
      </c>
      <c r="Y4482" t="s">
        <v>923</v>
      </c>
      <c r="Z4482" t="str">
        <f t="shared" si="101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13"/>
        <v>40909</v>
      </c>
      <c r="D4483" s="4">
        <f t="shared" si="1014"/>
        <v>0.88524590163934425</v>
      </c>
      <c r="E4483" s="3">
        <f t="shared" si="1015"/>
        <v>2012</v>
      </c>
      <c r="F4483" s="3">
        <f t="shared" si="1016"/>
        <v>11</v>
      </c>
      <c r="G4483" s="3">
        <f t="shared" si="1017"/>
        <v>20</v>
      </c>
      <c r="H4483" s="3">
        <f t="shared" si="1018"/>
        <v>17</v>
      </c>
      <c r="I4483" s="3">
        <f t="shared" si="1019"/>
        <v>49</v>
      </c>
      <c r="J4483" s="3">
        <f t="shared" si="102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21"/>
        <v>YES</v>
      </c>
      <c r="Q4483" t="str">
        <f t="shared" si="1022"/>
        <v>NO</v>
      </c>
      <c r="R4483" t="str">
        <f t="shared" si="1023"/>
        <v>NO</v>
      </c>
      <c r="T4483" t="s">
        <v>19</v>
      </c>
      <c r="U4483" t="str">
        <f t="shared" ref="U4483:U4546" si="1024">TRIM(PROPER(T4483))</f>
        <v>Cambridge St</v>
      </c>
      <c r="V4483" t="s">
        <v>138</v>
      </c>
      <c r="W4483" t="str">
        <f t="shared" ref="W4483:W4546" si="1025">TRIM(PROPER(V4483))</f>
        <v>Felton St</v>
      </c>
      <c r="X4483" t="str">
        <f>IF(ISBLANK(S4483),"Intersection","Non-Intersection")</f>
        <v>Intersection</v>
      </c>
      <c r="Y4483" t="s">
        <v>3406</v>
      </c>
      <c r="Z4483" t="str">
        <f t="shared" ref="Z4483:Z4546" si="1026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13"/>
        <v>40909</v>
      </c>
      <c r="D4484" s="4">
        <f t="shared" si="1014"/>
        <v>0.88797814207650272</v>
      </c>
      <c r="E4484" s="3">
        <f t="shared" si="1015"/>
        <v>2012</v>
      </c>
      <c r="F4484" s="3">
        <f t="shared" si="1016"/>
        <v>11</v>
      </c>
      <c r="G4484" s="3">
        <f t="shared" si="1017"/>
        <v>21</v>
      </c>
      <c r="H4484" s="3">
        <f t="shared" si="1018"/>
        <v>15</v>
      </c>
      <c r="I4484" s="3">
        <f t="shared" si="1019"/>
        <v>59</v>
      </c>
      <c r="J4484" s="3">
        <f t="shared" si="102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21"/>
        <v>YES</v>
      </c>
      <c r="Q4484" t="str">
        <f t="shared" si="1022"/>
        <v>NO</v>
      </c>
      <c r="R4484" t="str">
        <f t="shared" si="1023"/>
        <v>NO</v>
      </c>
      <c r="T4484" t="s">
        <v>325</v>
      </c>
      <c r="U4484" t="str">
        <f t="shared" si="1024"/>
        <v>Eliot St</v>
      </c>
      <c r="V4484" t="s">
        <v>162</v>
      </c>
      <c r="W4484" t="str">
        <f t="shared" si="1025"/>
        <v>Bennett St</v>
      </c>
      <c r="X4484" t="str">
        <f>IF(ISBLANK(S4484),"Intersection","Non-Intersection")</f>
        <v>Intersection</v>
      </c>
      <c r="Y4484" t="s">
        <v>1229</v>
      </c>
      <c r="Z4484" t="str">
        <f t="shared" si="1026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13"/>
        <v>40909</v>
      </c>
      <c r="D4485" s="4">
        <f t="shared" si="1014"/>
        <v>0.89071038251366119</v>
      </c>
      <c r="E4485" s="3">
        <f t="shared" si="1015"/>
        <v>2012</v>
      </c>
      <c r="F4485" s="3">
        <f t="shared" si="1016"/>
        <v>11</v>
      </c>
      <c r="G4485" s="3">
        <f t="shared" si="1017"/>
        <v>22</v>
      </c>
      <c r="H4485" s="3">
        <f t="shared" si="1018"/>
        <v>0</v>
      </c>
      <c r="I4485" s="3">
        <f t="shared" si="1019"/>
        <v>1</v>
      </c>
      <c r="J4485" s="3">
        <f t="shared" si="102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21"/>
        <v>YES</v>
      </c>
      <c r="Q4485" t="str">
        <f t="shared" si="1022"/>
        <v>NO</v>
      </c>
      <c r="R4485" t="str">
        <f t="shared" si="1023"/>
        <v>NO</v>
      </c>
      <c r="T4485" t="s">
        <v>14</v>
      </c>
      <c r="U4485" t="str">
        <f t="shared" si="1024"/>
        <v>Massachusetts Ave</v>
      </c>
      <c r="V4485" t="s">
        <v>315</v>
      </c>
      <c r="W4485" t="str">
        <f t="shared" si="1025"/>
        <v>Essex St</v>
      </c>
      <c r="X4485" t="str">
        <f>IF(ISBLANK(S4485),"Intersection","Non-Intersection")</f>
        <v>Intersection</v>
      </c>
      <c r="Y4485" t="s">
        <v>1383</v>
      </c>
      <c r="Z4485" t="str">
        <f t="shared" si="1026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13"/>
        <v>40909</v>
      </c>
      <c r="D4486" s="4">
        <f t="shared" si="1014"/>
        <v>0.89071038251366119</v>
      </c>
      <c r="E4486" s="3">
        <f t="shared" si="1015"/>
        <v>2012</v>
      </c>
      <c r="F4486" s="3">
        <f t="shared" si="1016"/>
        <v>11</v>
      </c>
      <c r="G4486" s="3">
        <f t="shared" si="1017"/>
        <v>22</v>
      </c>
      <c r="H4486" s="3">
        <f t="shared" si="1018"/>
        <v>20</v>
      </c>
      <c r="I4486" s="3">
        <f t="shared" si="1019"/>
        <v>6</v>
      </c>
      <c r="J4486" s="3">
        <f t="shared" si="102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21"/>
        <v>YES</v>
      </c>
      <c r="Q4486" t="str">
        <f t="shared" si="1022"/>
        <v>YES</v>
      </c>
      <c r="R4486" t="str">
        <f t="shared" si="1023"/>
        <v>NO</v>
      </c>
      <c r="T4486" t="s">
        <v>14</v>
      </c>
      <c r="U4486" t="str">
        <f t="shared" si="1024"/>
        <v>Massachusetts Ave</v>
      </c>
      <c r="V4486" t="s">
        <v>94</v>
      </c>
      <c r="W4486" t="str">
        <f t="shared" si="1025"/>
        <v>Shepard St</v>
      </c>
      <c r="X4486" t="str">
        <f>IF(ISBLANK(S4486),"Intersection","Non-Intersection")</f>
        <v>Intersection</v>
      </c>
      <c r="Y4486" t="s">
        <v>95</v>
      </c>
      <c r="Z4486" t="str">
        <f t="shared" si="1026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13"/>
        <v>40909</v>
      </c>
      <c r="D4487" s="4">
        <f t="shared" si="1014"/>
        <v>0.89344262295081966</v>
      </c>
      <c r="E4487" s="3">
        <f t="shared" si="1015"/>
        <v>2012</v>
      </c>
      <c r="F4487" s="3">
        <f t="shared" si="1016"/>
        <v>11</v>
      </c>
      <c r="G4487" s="3">
        <f t="shared" si="1017"/>
        <v>23</v>
      </c>
      <c r="H4487" s="3">
        <f t="shared" si="1018"/>
        <v>14</v>
      </c>
      <c r="I4487" s="3">
        <f t="shared" si="1019"/>
        <v>0</v>
      </c>
      <c r="J4487" s="3">
        <f t="shared" si="102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21"/>
        <v>YES</v>
      </c>
      <c r="Q4487" t="str">
        <f t="shared" si="1022"/>
        <v>NO</v>
      </c>
      <c r="R4487" t="str">
        <f t="shared" si="1023"/>
        <v>NO</v>
      </c>
      <c r="S4487">
        <v>615</v>
      </c>
      <c r="T4487" t="s">
        <v>186</v>
      </c>
      <c r="U4487" t="str">
        <f t="shared" si="1024"/>
        <v>Concord Ave</v>
      </c>
      <c r="W4487" t="str">
        <f t="shared" si="1025"/>
        <v/>
      </c>
      <c r="X4487" t="str">
        <f>IF(ISBLANK(S4487),"Intersection","Non-Intersection")</f>
        <v>Non-Intersection</v>
      </c>
      <c r="Y4487" t="s">
        <v>2303</v>
      </c>
      <c r="Z4487" t="str">
        <f t="shared" si="1026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13"/>
        <v>40909</v>
      </c>
      <c r="D4488" s="4">
        <f t="shared" si="1014"/>
        <v>0.89344262295081966</v>
      </c>
      <c r="E4488" s="3">
        <f t="shared" si="1015"/>
        <v>2012</v>
      </c>
      <c r="F4488" s="3">
        <f t="shared" si="1016"/>
        <v>11</v>
      </c>
      <c r="G4488" s="3">
        <f t="shared" si="1017"/>
        <v>23</v>
      </c>
      <c r="H4488" s="3">
        <f t="shared" si="1018"/>
        <v>20</v>
      </c>
      <c r="I4488" s="3">
        <f t="shared" si="1019"/>
        <v>10</v>
      </c>
      <c r="J4488" s="3">
        <f t="shared" si="102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21"/>
        <v>YES</v>
      </c>
      <c r="Q4488" t="str">
        <f t="shared" si="1022"/>
        <v>NO</v>
      </c>
      <c r="R4488" t="str">
        <f t="shared" si="1023"/>
        <v>NO</v>
      </c>
      <c r="T4488" t="s">
        <v>186</v>
      </c>
      <c r="U4488" t="str">
        <f t="shared" si="1024"/>
        <v>Concord Ave</v>
      </c>
      <c r="V4488" t="s">
        <v>1132</v>
      </c>
      <c r="W4488" t="str">
        <f t="shared" si="1025"/>
        <v>Moulton St</v>
      </c>
      <c r="X4488" t="str">
        <f>IF(ISBLANK(S4488),"Intersection","Non-Intersection")</f>
        <v>Intersection</v>
      </c>
      <c r="Y4488" t="s">
        <v>1133</v>
      </c>
      <c r="Z4488" t="str">
        <f t="shared" si="1026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13"/>
        <v>40909</v>
      </c>
      <c r="D4489" s="4">
        <f t="shared" si="1014"/>
        <v>0.89617486338797814</v>
      </c>
      <c r="E4489" s="3">
        <f t="shared" si="1015"/>
        <v>2012</v>
      </c>
      <c r="F4489" s="3">
        <f t="shared" si="1016"/>
        <v>11</v>
      </c>
      <c r="G4489" s="3">
        <f t="shared" si="1017"/>
        <v>24</v>
      </c>
      <c r="H4489" s="3">
        <f t="shared" si="1018"/>
        <v>19</v>
      </c>
      <c r="I4489" s="3">
        <f t="shared" si="1019"/>
        <v>44</v>
      </c>
      <c r="J4489" s="3">
        <f t="shared" si="102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21"/>
        <v>YES</v>
      </c>
      <c r="Q4489" t="str">
        <f t="shared" si="1022"/>
        <v>NO</v>
      </c>
      <c r="R4489" t="str">
        <f t="shared" si="1023"/>
        <v>NO</v>
      </c>
      <c r="T4489" t="s">
        <v>37</v>
      </c>
      <c r="U4489" t="str">
        <f t="shared" si="1024"/>
        <v>Magazine St</v>
      </c>
      <c r="V4489" t="s">
        <v>3376</v>
      </c>
      <c r="W4489" t="str">
        <f t="shared" si="1025"/>
        <v>Chalk St</v>
      </c>
      <c r="X4489" t="str">
        <f>IF(ISBLANK(S4489),"Intersection","Non-Intersection")</f>
        <v>Intersection</v>
      </c>
      <c r="Y4489" t="s">
        <v>3377</v>
      </c>
      <c r="Z4489" t="str">
        <f t="shared" si="1026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13"/>
        <v>40909</v>
      </c>
      <c r="D4490" s="4">
        <f t="shared" si="1014"/>
        <v>0.89617486338797814</v>
      </c>
      <c r="E4490" s="3">
        <f t="shared" si="1015"/>
        <v>2012</v>
      </c>
      <c r="F4490" s="3">
        <f t="shared" si="1016"/>
        <v>11</v>
      </c>
      <c r="G4490" s="3">
        <f t="shared" si="1017"/>
        <v>24</v>
      </c>
      <c r="H4490" s="3">
        <f t="shared" si="1018"/>
        <v>6</v>
      </c>
      <c r="I4490" s="3">
        <f t="shared" si="1019"/>
        <v>14</v>
      </c>
      <c r="J4490" s="3">
        <f t="shared" si="102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21"/>
        <v>YES</v>
      </c>
      <c r="Q4490" t="str">
        <f t="shared" si="1022"/>
        <v>NO</v>
      </c>
      <c r="R4490" t="str">
        <f t="shared" si="1023"/>
        <v>NO</v>
      </c>
      <c r="T4490" t="s">
        <v>2570</v>
      </c>
      <c r="U4490" t="str">
        <f t="shared" si="1024"/>
        <v>Hawthorne Park</v>
      </c>
      <c r="V4490" t="s">
        <v>203</v>
      </c>
      <c r="W4490" t="str">
        <f t="shared" si="1025"/>
        <v>Memorial Dr</v>
      </c>
      <c r="X4490" t="str">
        <f>IF(ISBLANK(S4490),"Intersection","Non-Intersection")</f>
        <v>Intersection</v>
      </c>
      <c r="Y4490" t="s">
        <v>5130</v>
      </c>
      <c r="Z4490" t="str">
        <f t="shared" si="1026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13"/>
        <v>40909</v>
      </c>
      <c r="D4491" s="4">
        <f t="shared" si="1014"/>
        <v>0.90163934426229508</v>
      </c>
      <c r="E4491" s="3">
        <f t="shared" si="1015"/>
        <v>2012</v>
      </c>
      <c r="F4491" s="3">
        <f t="shared" si="1016"/>
        <v>11</v>
      </c>
      <c r="G4491" s="3">
        <f t="shared" si="1017"/>
        <v>26</v>
      </c>
      <c r="H4491" s="3">
        <f t="shared" si="1018"/>
        <v>7</v>
      </c>
      <c r="I4491" s="3">
        <f t="shared" si="1019"/>
        <v>30</v>
      </c>
      <c r="J4491" s="3">
        <f t="shared" si="102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21"/>
        <v>YES</v>
      </c>
      <c r="Q4491" t="str">
        <f t="shared" si="1022"/>
        <v>NO</v>
      </c>
      <c r="R4491" t="str">
        <f t="shared" si="1023"/>
        <v>NO</v>
      </c>
      <c r="T4491" t="s">
        <v>864</v>
      </c>
      <c r="U4491" t="str">
        <f t="shared" si="1024"/>
        <v>Middlesex St</v>
      </c>
      <c r="V4491" t="s">
        <v>15</v>
      </c>
      <c r="W4491" t="str">
        <f t="shared" si="1025"/>
        <v>Rindge Ave</v>
      </c>
      <c r="X4491" t="str">
        <f>IF(ISBLANK(S4491),"Intersection","Non-Intersection")</f>
        <v>Intersection</v>
      </c>
      <c r="Y4491" t="s">
        <v>5131</v>
      </c>
      <c r="Z4491" t="str">
        <f t="shared" si="1026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13"/>
        <v>40909</v>
      </c>
      <c r="D4492" s="4">
        <f t="shared" si="1014"/>
        <v>0.90163934426229508</v>
      </c>
      <c r="E4492" s="3">
        <f t="shared" si="1015"/>
        <v>2012</v>
      </c>
      <c r="F4492" s="3">
        <f t="shared" si="1016"/>
        <v>11</v>
      </c>
      <c r="G4492" s="3">
        <f t="shared" si="1017"/>
        <v>26</v>
      </c>
      <c r="H4492" s="3">
        <f t="shared" si="1018"/>
        <v>12</v>
      </c>
      <c r="I4492" s="3">
        <f t="shared" si="1019"/>
        <v>14</v>
      </c>
      <c r="J4492" s="3">
        <f t="shared" si="102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21"/>
        <v>YES</v>
      </c>
      <c r="Q4492" t="str">
        <f t="shared" si="1022"/>
        <v>NO</v>
      </c>
      <c r="R4492" t="str">
        <f t="shared" si="1023"/>
        <v>NO</v>
      </c>
      <c r="S4492">
        <v>726</v>
      </c>
      <c r="T4492" t="s">
        <v>186</v>
      </c>
      <c r="U4492" t="str">
        <f t="shared" si="1024"/>
        <v>Concord Ave</v>
      </c>
      <c r="W4492" t="str">
        <f t="shared" si="1025"/>
        <v/>
      </c>
      <c r="X4492" t="str">
        <f>IF(ISBLANK(S4492),"Intersection","Non-Intersection")</f>
        <v>Non-Intersection</v>
      </c>
      <c r="Y4492" t="s">
        <v>5132</v>
      </c>
      <c r="Z4492" t="str">
        <f t="shared" si="1026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13"/>
        <v>40909</v>
      </c>
      <c r="D4493" s="4">
        <f t="shared" si="1014"/>
        <v>0.90163934426229508</v>
      </c>
      <c r="E4493" s="3">
        <f t="shared" si="1015"/>
        <v>2012</v>
      </c>
      <c r="F4493" s="3">
        <f t="shared" si="1016"/>
        <v>11</v>
      </c>
      <c r="G4493" s="3">
        <f t="shared" si="1017"/>
        <v>26</v>
      </c>
      <c r="H4493" s="3">
        <f t="shared" si="1018"/>
        <v>9</v>
      </c>
      <c r="I4493" s="3">
        <f t="shared" si="1019"/>
        <v>0</v>
      </c>
      <c r="J4493" s="3">
        <f t="shared" si="102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21"/>
        <v>YES</v>
      </c>
      <c r="Q4493" t="str">
        <f t="shared" si="1022"/>
        <v>NO</v>
      </c>
      <c r="R4493" t="str">
        <f t="shared" si="1023"/>
        <v>NO</v>
      </c>
      <c r="T4493" t="s">
        <v>1991</v>
      </c>
      <c r="U4493" t="str">
        <f t="shared" si="1024"/>
        <v>Jackson Pl</v>
      </c>
      <c r="V4493" t="s">
        <v>280</v>
      </c>
      <c r="W4493" t="str">
        <f t="shared" si="1025"/>
        <v>Jackson St</v>
      </c>
      <c r="X4493" t="str">
        <f>IF(ISBLANK(S4493),"Intersection","Non-Intersection")</f>
        <v>Intersection</v>
      </c>
      <c r="Y4493" t="s">
        <v>5133</v>
      </c>
      <c r="Z4493" t="str">
        <f t="shared" si="1026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13"/>
        <v>40909</v>
      </c>
      <c r="D4494" s="4">
        <f t="shared" si="1014"/>
        <v>0.90163934426229508</v>
      </c>
      <c r="E4494" s="3">
        <f t="shared" si="1015"/>
        <v>2012</v>
      </c>
      <c r="F4494" s="3">
        <f t="shared" si="1016"/>
        <v>11</v>
      </c>
      <c r="G4494" s="3">
        <f t="shared" si="1017"/>
        <v>26</v>
      </c>
      <c r="H4494" s="3">
        <f t="shared" si="1018"/>
        <v>16</v>
      </c>
      <c r="I4494" s="3">
        <f t="shared" si="1019"/>
        <v>56</v>
      </c>
      <c r="J4494" s="3">
        <f t="shared" si="102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21"/>
        <v>YES</v>
      </c>
      <c r="Q4494" t="str">
        <f t="shared" si="1022"/>
        <v>YES</v>
      </c>
      <c r="R4494" t="str">
        <f t="shared" si="1023"/>
        <v>NO</v>
      </c>
      <c r="T4494" t="s">
        <v>186</v>
      </c>
      <c r="U4494" t="str">
        <f t="shared" si="1024"/>
        <v>Concord Ave</v>
      </c>
      <c r="V4494" t="s">
        <v>459</v>
      </c>
      <c r="W4494" t="str">
        <f t="shared" si="1025"/>
        <v>Fayerweather St</v>
      </c>
      <c r="X4494" t="str">
        <f>IF(ISBLANK(S4494),"Intersection","Non-Intersection")</f>
        <v>Intersection</v>
      </c>
      <c r="Y4494" t="s">
        <v>4392</v>
      </c>
      <c r="Z4494" t="str">
        <f t="shared" si="1026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13"/>
        <v>40909</v>
      </c>
      <c r="D4495" s="4">
        <f t="shared" si="1014"/>
        <v>0.90437158469945356</v>
      </c>
      <c r="E4495" s="3">
        <f t="shared" si="1015"/>
        <v>2012</v>
      </c>
      <c r="F4495" s="3">
        <f t="shared" si="1016"/>
        <v>11</v>
      </c>
      <c r="G4495" s="3">
        <f t="shared" si="1017"/>
        <v>27</v>
      </c>
      <c r="H4495" s="3">
        <f t="shared" si="1018"/>
        <v>0</v>
      </c>
      <c r="I4495" s="3">
        <f t="shared" si="1019"/>
        <v>30</v>
      </c>
      <c r="J4495" s="3">
        <f t="shared" si="102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21"/>
        <v>YES</v>
      </c>
      <c r="Q4495" t="str">
        <f t="shared" si="1022"/>
        <v>NO</v>
      </c>
      <c r="R4495" t="str">
        <f t="shared" si="1023"/>
        <v>NO</v>
      </c>
      <c r="S4495">
        <v>188</v>
      </c>
      <c r="T4495" t="s">
        <v>380</v>
      </c>
      <c r="U4495" t="str">
        <f t="shared" si="1024"/>
        <v>Charles St</v>
      </c>
      <c r="W4495" t="str">
        <f t="shared" si="1025"/>
        <v/>
      </c>
      <c r="X4495" t="str">
        <f>IF(ISBLANK(S4495),"Intersection","Non-Intersection")</f>
        <v>Non-Intersection</v>
      </c>
      <c r="Y4495" t="s">
        <v>5134</v>
      </c>
      <c r="Z4495" t="str">
        <f t="shared" si="1026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13"/>
        <v>40909</v>
      </c>
      <c r="D4496" s="4">
        <f t="shared" si="1014"/>
        <v>0.90437158469945356</v>
      </c>
      <c r="E4496" s="3">
        <f t="shared" si="1015"/>
        <v>2012</v>
      </c>
      <c r="F4496" s="3">
        <f t="shared" si="1016"/>
        <v>11</v>
      </c>
      <c r="G4496" s="3">
        <f t="shared" si="1017"/>
        <v>27</v>
      </c>
      <c r="H4496" s="3">
        <f t="shared" si="1018"/>
        <v>16</v>
      </c>
      <c r="I4496" s="3">
        <f t="shared" si="1019"/>
        <v>44</v>
      </c>
      <c r="J4496" s="3">
        <f t="shared" si="102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21"/>
        <v>YES</v>
      </c>
      <c r="Q4496" t="str">
        <f t="shared" si="1022"/>
        <v>NO</v>
      </c>
      <c r="R4496" t="str">
        <f t="shared" si="1023"/>
        <v>NO</v>
      </c>
      <c r="S4496">
        <v>1687</v>
      </c>
      <c r="T4496" t="s">
        <v>14</v>
      </c>
      <c r="U4496" t="str">
        <f t="shared" si="1024"/>
        <v>Massachusetts Ave</v>
      </c>
      <c r="W4496" t="str">
        <f t="shared" si="1025"/>
        <v/>
      </c>
      <c r="X4496" t="str">
        <f>IF(ISBLANK(S4496),"Intersection","Non-Intersection")</f>
        <v>Non-Intersection</v>
      </c>
      <c r="Y4496" t="s">
        <v>5136</v>
      </c>
      <c r="Z4496" t="str">
        <f t="shared" si="1026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13"/>
        <v>40909</v>
      </c>
      <c r="D4497" s="4">
        <f t="shared" si="1014"/>
        <v>0.90437158469945356</v>
      </c>
      <c r="E4497" s="3">
        <f t="shared" si="1015"/>
        <v>2012</v>
      </c>
      <c r="F4497" s="3">
        <f t="shared" si="1016"/>
        <v>11</v>
      </c>
      <c r="G4497" s="3">
        <f t="shared" si="1017"/>
        <v>27</v>
      </c>
      <c r="H4497" s="3">
        <f t="shared" si="1018"/>
        <v>6</v>
      </c>
      <c r="I4497" s="3">
        <f t="shared" si="1019"/>
        <v>50</v>
      </c>
      <c r="J4497" s="3">
        <f t="shared" si="102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21"/>
        <v>YES</v>
      </c>
      <c r="Q4497" t="str">
        <f t="shared" si="1022"/>
        <v>NO</v>
      </c>
      <c r="R4497" t="str">
        <f t="shared" si="1023"/>
        <v>NO</v>
      </c>
      <c r="S4497">
        <v>575</v>
      </c>
      <c r="T4497" t="s">
        <v>198</v>
      </c>
      <c r="U4497" t="str">
        <f t="shared" si="1024"/>
        <v>Mount Auburn St</v>
      </c>
      <c r="W4497" t="str">
        <f t="shared" si="1025"/>
        <v/>
      </c>
      <c r="X4497" t="str">
        <f>IF(ISBLANK(S4497),"Intersection","Non-Intersection")</f>
        <v>Non-Intersection</v>
      </c>
      <c r="Y4497" t="s">
        <v>823</v>
      </c>
      <c r="Z4497" t="str">
        <f t="shared" si="1026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13"/>
        <v>40909</v>
      </c>
      <c r="D4498" s="4">
        <f t="shared" si="1014"/>
        <v>0.90437158469945356</v>
      </c>
      <c r="E4498" s="3">
        <f t="shared" si="1015"/>
        <v>2012</v>
      </c>
      <c r="F4498" s="3">
        <f t="shared" si="1016"/>
        <v>11</v>
      </c>
      <c r="G4498" s="3">
        <f t="shared" si="1017"/>
        <v>27</v>
      </c>
      <c r="H4498" s="3">
        <f t="shared" si="1018"/>
        <v>8</v>
      </c>
      <c r="I4498" s="3">
        <f t="shared" si="1019"/>
        <v>55</v>
      </c>
      <c r="J4498" s="3">
        <f t="shared" si="102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21"/>
        <v>YES</v>
      </c>
      <c r="Q4498" t="str">
        <f t="shared" si="1022"/>
        <v>NO</v>
      </c>
      <c r="R4498" t="str">
        <f t="shared" si="1023"/>
        <v>NO</v>
      </c>
      <c r="S4498">
        <v>2464</v>
      </c>
      <c r="T4498" t="s">
        <v>14</v>
      </c>
      <c r="U4498" t="str">
        <f t="shared" si="1024"/>
        <v>Massachusetts Ave</v>
      </c>
      <c r="W4498" t="str">
        <f t="shared" si="1025"/>
        <v/>
      </c>
      <c r="X4498" t="str">
        <f>IF(ISBLANK(S4498),"Intersection","Non-Intersection")</f>
        <v>Non-Intersection</v>
      </c>
      <c r="Y4498" t="s">
        <v>5138</v>
      </c>
      <c r="Z4498" t="str">
        <f t="shared" si="1026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13"/>
        <v>40909</v>
      </c>
      <c r="D4499" s="4">
        <f t="shared" si="1014"/>
        <v>0.90437158469945356</v>
      </c>
      <c r="E4499" s="3">
        <f t="shared" si="1015"/>
        <v>2012</v>
      </c>
      <c r="F4499" s="3">
        <f t="shared" si="1016"/>
        <v>11</v>
      </c>
      <c r="G4499" s="3">
        <f t="shared" si="1017"/>
        <v>27</v>
      </c>
      <c r="H4499" s="3">
        <f t="shared" si="1018"/>
        <v>10</v>
      </c>
      <c r="I4499" s="3">
        <f t="shared" si="1019"/>
        <v>28</v>
      </c>
      <c r="J4499" s="3">
        <f t="shared" si="102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21"/>
        <v>YES</v>
      </c>
      <c r="Q4499" t="str">
        <f t="shared" si="1022"/>
        <v>NO</v>
      </c>
      <c r="R4499" t="str">
        <f t="shared" si="1023"/>
        <v>NO</v>
      </c>
      <c r="T4499" t="s">
        <v>133</v>
      </c>
      <c r="U4499" t="str">
        <f t="shared" si="1024"/>
        <v>Harvard St</v>
      </c>
      <c r="V4499" t="s">
        <v>192</v>
      </c>
      <c r="W4499" t="str">
        <f t="shared" si="1025"/>
        <v>Hancock St</v>
      </c>
      <c r="X4499" t="str">
        <f>IF(ISBLANK(S4499),"Intersection","Non-Intersection")</f>
        <v>Intersection</v>
      </c>
      <c r="Y4499" t="s">
        <v>370</v>
      </c>
      <c r="Z4499" t="str">
        <f t="shared" si="1026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13"/>
        <v>40909</v>
      </c>
      <c r="D4500" s="4">
        <f t="shared" si="1014"/>
        <v>0.90437158469945356</v>
      </c>
      <c r="E4500" s="3">
        <f t="shared" si="1015"/>
        <v>2012</v>
      </c>
      <c r="F4500" s="3">
        <f t="shared" si="1016"/>
        <v>11</v>
      </c>
      <c r="G4500" s="3">
        <f t="shared" si="1017"/>
        <v>27</v>
      </c>
      <c r="H4500" s="3">
        <f t="shared" si="1018"/>
        <v>18</v>
      </c>
      <c r="I4500" s="3">
        <f t="shared" si="1019"/>
        <v>11</v>
      </c>
      <c r="J4500" s="3">
        <f t="shared" si="102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21"/>
        <v>YES</v>
      </c>
      <c r="Q4500" t="str">
        <f t="shared" si="1022"/>
        <v>YES</v>
      </c>
      <c r="R4500" t="str">
        <f t="shared" si="1023"/>
        <v>NO</v>
      </c>
      <c r="T4500" t="s">
        <v>42</v>
      </c>
      <c r="U4500" t="str">
        <f t="shared" si="1024"/>
        <v>Putnam Ave</v>
      </c>
      <c r="V4500" t="s">
        <v>195</v>
      </c>
      <c r="W4500" t="str">
        <f t="shared" si="1025"/>
        <v>Sidney St</v>
      </c>
      <c r="X4500" t="str">
        <f>IF(ISBLANK(S4500),"Intersection","Non-Intersection")</f>
        <v>Intersection</v>
      </c>
      <c r="Y4500" t="s">
        <v>2887</v>
      </c>
      <c r="Z4500" t="str">
        <f t="shared" si="1026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13"/>
        <v>40909</v>
      </c>
      <c r="D4501" s="4">
        <f t="shared" si="1014"/>
        <v>0.90437158469945356</v>
      </c>
      <c r="E4501" s="3">
        <f t="shared" si="1015"/>
        <v>2012</v>
      </c>
      <c r="F4501" s="3">
        <f t="shared" si="1016"/>
        <v>11</v>
      </c>
      <c r="G4501" s="3">
        <f t="shared" si="1017"/>
        <v>27</v>
      </c>
      <c r="H4501" s="3">
        <f t="shared" si="1018"/>
        <v>12</v>
      </c>
      <c r="I4501" s="3">
        <f t="shared" si="1019"/>
        <v>45</v>
      </c>
      <c r="J4501" s="3">
        <f t="shared" si="102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21"/>
        <v>YES</v>
      </c>
      <c r="Q4501" t="str">
        <f t="shared" si="1022"/>
        <v>YES</v>
      </c>
      <c r="R4501" t="str">
        <f t="shared" si="1023"/>
        <v>NO</v>
      </c>
      <c r="T4501" t="s">
        <v>14</v>
      </c>
      <c r="U4501" t="str">
        <f t="shared" si="1024"/>
        <v>Massachusetts Ave</v>
      </c>
      <c r="W4501" t="str">
        <f t="shared" si="1025"/>
        <v/>
      </c>
      <c r="X4501" t="str">
        <f>IF(ISBLANK(S4501),"Intersection","Non-Intersection")</f>
        <v>Intersection</v>
      </c>
      <c r="Y4501" t="s">
        <v>137</v>
      </c>
      <c r="Z4501" t="str">
        <f t="shared" si="1026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13"/>
        <v>40909</v>
      </c>
      <c r="D4502" s="4">
        <f t="shared" si="1014"/>
        <v>0.90710382513661203</v>
      </c>
      <c r="E4502" s="3">
        <f t="shared" si="1015"/>
        <v>2012</v>
      </c>
      <c r="F4502" s="3">
        <f t="shared" si="1016"/>
        <v>11</v>
      </c>
      <c r="G4502" s="3">
        <f t="shared" si="1017"/>
        <v>28</v>
      </c>
      <c r="H4502" s="3">
        <f t="shared" si="1018"/>
        <v>7</v>
      </c>
      <c r="I4502" s="3">
        <f t="shared" si="1019"/>
        <v>30</v>
      </c>
      <c r="J4502" s="3">
        <f t="shared" si="102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21"/>
        <v>YES</v>
      </c>
      <c r="Q4502" t="str">
        <f t="shared" si="1022"/>
        <v>NO</v>
      </c>
      <c r="R4502" t="str">
        <f t="shared" si="1023"/>
        <v>NO</v>
      </c>
      <c r="S4502">
        <v>114</v>
      </c>
      <c r="T4502" t="s">
        <v>104</v>
      </c>
      <c r="U4502" t="str">
        <f t="shared" si="1024"/>
        <v>Inman St</v>
      </c>
      <c r="W4502" t="str">
        <f t="shared" si="1025"/>
        <v/>
      </c>
      <c r="X4502" t="str">
        <f>IF(ISBLANK(S4502),"Intersection","Non-Intersection")</f>
        <v>Non-Intersection</v>
      </c>
      <c r="Y4502" t="s">
        <v>5140</v>
      </c>
      <c r="Z4502" t="str">
        <f t="shared" si="1026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13"/>
        <v>40909</v>
      </c>
      <c r="D4503" s="4">
        <f t="shared" si="1014"/>
        <v>0.90710382513661203</v>
      </c>
      <c r="E4503" s="3">
        <f t="shared" si="1015"/>
        <v>2012</v>
      </c>
      <c r="F4503" s="3">
        <f t="shared" si="1016"/>
        <v>11</v>
      </c>
      <c r="G4503" s="3">
        <f t="shared" si="1017"/>
        <v>28</v>
      </c>
      <c r="H4503" s="3">
        <f t="shared" si="1018"/>
        <v>16</v>
      </c>
      <c r="I4503" s="3">
        <f t="shared" si="1019"/>
        <v>41</v>
      </c>
      <c r="J4503" s="3">
        <f t="shared" si="102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21"/>
        <v>YES</v>
      </c>
      <c r="Q4503" t="str">
        <f t="shared" si="1022"/>
        <v>NO</v>
      </c>
      <c r="R4503" t="str">
        <f t="shared" si="1023"/>
        <v>NO</v>
      </c>
      <c r="S4503">
        <v>788</v>
      </c>
      <c r="T4503" t="s">
        <v>186</v>
      </c>
      <c r="U4503" t="str">
        <f t="shared" si="1024"/>
        <v>Concord Ave</v>
      </c>
      <c r="W4503" t="str">
        <f t="shared" si="1025"/>
        <v/>
      </c>
      <c r="X4503" t="str">
        <f>IF(ISBLANK(S4503),"Intersection","Non-Intersection")</f>
        <v>Non-Intersection</v>
      </c>
      <c r="Y4503" t="s">
        <v>5142</v>
      </c>
      <c r="Z4503" t="str">
        <f t="shared" si="1026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13"/>
        <v>40909</v>
      </c>
      <c r="D4504" s="4">
        <f t="shared" si="1014"/>
        <v>0.90710382513661203</v>
      </c>
      <c r="E4504" s="3">
        <f t="shared" si="1015"/>
        <v>2012</v>
      </c>
      <c r="F4504" s="3">
        <f t="shared" si="1016"/>
        <v>11</v>
      </c>
      <c r="G4504" s="3">
        <f t="shared" si="1017"/>
        <v>28</v>
      </c>
      <c r="H4504" s="3">
        <f t="shared" si="1018"/>
        <v>18</v>
      </c>
      <c r="I4504" s="3">
        <f t="shared" si="1019"/>
        <v>34</v>
      </c>
      <c r="J4504" s="3">
        <f t="shared" si="102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21"/>
        <v>YES</v>
      </c>
      <c r="Q4504" t="str">
        <f t="shared" si="1022"/>
        <v>YES</v>
      </c>
      <c r="R4504" t="str">
        <f t="shared" si="1023"/>
        <v>NO</v>
      </c>
      <c r="S4504">
        <v>305</v>
      </c>
      <c r="T4504" t="s">
        <v>587</v>
      </c>
      <c r="U4504" t="str">
        <f t="shared" si="1024"/>
        <v>Webster Ave</v>
      </c>
      <c r="W4504" t="str">
        <f t="shared" si="1025"/>
        <v/>
      </c>
      <c r="X4504" t="str">
        <f>IF(ISBLANK(S4504),"Intersection","Non-Intersection")</f>
        <v>Non-Intersection</v>
      </c>
      <c r="Y4504" t="s">
        <v>5143</v>
      </c>
      <c r="Z4504" t="str">
        <f t="shared" si="1026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13"/>
        <v>40909</v>
      </c>
      <c r="D4505" s="4">
        <f t="shared" si="1014"/>
        <v>0.90710382513661203</v>
      </c>
      <c r="E4505" s="3">
        <f t="shared" si="1015"/>
        <v>2012</v>
      </c>
      <c r="F4505" s="3">
        <f t="shared" si="1016"/>
        <v>11</v>
      </c>
      <c r="G4505" s="3">
        <f t="shared" si="1017"/>
        <v>28</v>
      </c>
      <c r="H4505" s="3">
        <f t="shared" si="1018"/>
        <v>20</v>
      </c>
      <c r="I4505" s="3">
        <f t="shared" si="1019"/>
        <v>0</v>
      </c>
      <c r="J4505" s="3">
        <f t="shared" si="102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21"/>
        <v>YES</v>
      </c>
      <c r="Q4505" t="str">
        <f t="shared" si="1022"/>
        <v>NO</v>
      </c>
      <c r="R4505" t="str">
        <f t="shared" si="1023"/>
        <v>NO</v>
      </c>
      <c r="S4505">
        <v>21</v>
      </c>
      <c r="T4505" t="s">
        <v>2848</v>
      </c>
      <c r="U4505" t="str">
        <f t="shared" si="1024"/>
        <v>Norris St</v>
      </c>
      <c r="W4505" t="str">
        <f t="shared" si="1025"/>
        <v/>
      </c>
      <c r="X4505" t="str">
        <f>IF(ISBLANK(S4505),"Intersection","Non-Intersection")</f>
        <v>Non-Intersection</v>
      </c>
      <c r="Y4505" t="s">
        <v>5145</v>
      </c>
      <c r="Z4505" t="str">
        <f t="shared" si="1026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13"/>
        <v>40909</v>
      </c>
      <c r="D4506" s="4">
        <f t="shared" si="1014"/>
        <v>0.9098360655737705</v>
      </c>
      <c r="E4506" s="3">
        <f t="shared" si="1015"/>
        <v>2012</v>
      </c>
      <c r="F4506" s="3">
        <f t="shared" si="1016"/>
        <v>11</v>
      </c>
      <c r="G4506" s="3">
        <f t="shared" si="1017"/>
        <v>29</v>
      </c>
      <c r="H4506" s="3">
        <f t="shared" si="1018"/>
        <v>0</v>
      </c>
      <c r="I4506" s="3">
        <f t="shared" si="1019"/>
        <v>33</v>
      </c>
      <c r="J4506" s="3">
        <f t="shared" si="102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21"/>
        <v>YES</v>
      </c>
      <c r="Q4506" t="str">
        <f t="shared" si="1022"/>
        <v>NO</v>
      </c>
      <c r="R4506" t="str">
        <f t="shared" si="1023"/>
        <v>NO</v>
      </c>
      <c r="S4506">
        <v>415</v>
      </c>
      <c r="T4506" t="s">
        <v>14</v>
      </c>
      <c r="U4506" t="str">
        <f t="shared" si="1024"/>
        <v>Massachusetts Ave</v>
      </c>
      <c r="W4506" t="str">
        <f t="shared" si="1025"/>
        <v/>
      </c>
      <c r="X4506" t="str">
        <f>IF(ISBLANK(S4506),"Intersection","Non-Intersection")</f>
        <v>Non-Intersection</v>
      </c>
      <c r="Y4506" t="s">
        <v>5147</v>
      </c>
      <c r="Z4506" t="str">
        <f t="shared" si="1026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13"/>
        <v>40909</v>
      </c>
      <c r="D4507" s="4">
        <f t="shared" si="1014"/>
        <v>0.9098360655737705</v>
      </c>
      <c r="E4507" s="3">
        <f t="shared" si="1015"/>
        <v>2012</v>
      </c>
      <c r="F4507" s="3">
        <f t="shared" si="1016"/>
        <v>11</v>
      </c>
      <c r="G4507" s="3">
        <f t="shared" si="1017"/>
        <v>29</v>
      </c>
      <c r="H4507" s="3">
        <f t="shared" si="1018"/>
        <v>8</v>
      </c>
      <c r="I4507" s="3">
        <f t="shared" si="1019"/>
        <v>13</v>
      </c>
      <c r="J4507" s="3">
        <f t="shared" si="102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21"/>
        <v>YES</v>
      </c>
      <c r="Q4507" t="str">
        <f t="shared" si="1022"/>
        <v>NO</v>
      </c>
      <c r="R4507" t="str">
        <f t="shared" si="1023"/>
        <v>NO</v>
      </c>
      <c r="T4507" t="s">
        <v>86</v>
      </c>
      <c r="U4507" t="str">
        <f t="shared" si="1024"/>
        <v>Granite St</v>
      </c>
      <c r="V4507" t="s">
        <v>5149</v>
      </c>
      <c r="W4507" t="str">
        <f t="shared" si="1025"/>
        <v>Rockingham Pl</v>
      </c>
      <c r="X4507" t="str">
        <f>IF(ISBLANK(S4507),"Intersection","Non-Intersection")</f>
        <v>Intersection</v>
      </c>
      <c r="Y4507" t="s">
        <v>5150</v>
      </c>
      <c r="Z4507" t="str">
        <f t="shared" si="1026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13"/>
        <v>40909</v>
      </c>
      <c r="D4508" s="4">
        <f t="shared" si="1014"/>
        <v>0.91256830601092898</v>
      </c>
      <c r="E4508" s="3">
        <f t="shared" si="1015"/>
        <v>2012</v>
      </c>
      <c r="F4508" s="3">
        <f t="shared" si="1016"/>
        <v>11</v>
      </c>
      <c r="G4508" s="3">
        <f t="shared" si="1017"/>
        <v>30</v>
      </c>
      <c r="H4508" s="3">
        <f t="shared" si="1018"/>
        <v>9</v>
      </c>
      <c r="I4508" s="3">
        <f t="shared" si="1019"/>
        <v>0</v>
      </c>
      <c r="J4508" s="3">
        <f t="shared" si="102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21"/>
        <v>YES</v>
      </c>
      <c r="Q4508" t="str">
        <f t="shared" si="1022"/>
        <v>NO</v>
      </c>
      <c r="R4508" t="str">
        <f t="shared" si="1023"/>
        <v>NO</v>
      </c>
      <c r="S4508">
        <v>160</v>
      </c>
      <c r="T4508" t="s">
        <v>155</v>
      </c>
      <c r="U4508" t="str">
        <f t="shared" si="1024"/>
        <v>Richdale Ave</v>
      </c>
      <c r="W4508" t="str">
        <f t="shared" si="1025"/>
        <v/>
      </c>
      <c r="X4508" t="str">
        <f>IF(ISBLANK(S4508),"Intersection","Non-Intersection")</f>
        <v>Non-Intersection</v>
      </c>
      <c r="Y4508" t="s">
        <v>5151</v>
      </c>
      <c r="Z4508" t="str">
        <f t="shared" si="1026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13"/>
        <v>40909</v>
      </c>
      <c r="D4509" s="4">
        <f t="shared" si="1014"/>
        <v>0.91256830601092898</v>
      </c>
      <c r="E4509" s="3">
        <f t="shared" si="1015"/>
        <v>2012</v>
      </c>
      <c r="F4509" s="3">
        <f t="shared" si="1016"/>
        <v>11</v>
      </c>
      <c r="G4509" s="3">
        <f t="shared" si="1017"/>
        <v>30</v>
      </c>
      <c r="H4509" s="3">
        <f t="shared" si="1018"/>
        <v>9</v>
      </c>
      <c r="I4509" s="3">
        <f t="shared" si="1019"/>
        <v>59</v>
      </c>
      <c r="J4509" s="3">
        <f t="shared" si="102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21"/>
        <v>YES</v>
      </c>
      <c r="Q4509" t="str">
        <f t="shared" si="1022"/>
        <v>NO</v>
      </c>
      <c r="R4509" t="str">
        <f t="shared" si="1023"/>
        <v>NO</v>
      </c>
      <c r="T4509" t="s">
        <v>1032</v>
      </c>
      <c r="U4509" t="str">
        <f t="shared" si="1024"/>
        <v>Meacham Rd</v>
      </c>
      <c r="V4509" t="s">
        <v>3409</v>
      </c>
      <c r="W4509" t="str">
        <f t="shared" si="1025"/>
        <v>Locke St</v>
      </c>
      <c r="X4509" t="str">
        <f>IF(ISBLANK(S4509),"Intersection","Non-Intersection")</f>
        <v>Intersection</v>
      </c>
      <c r="Y4509" t="s">
        <v>5153</v>
      </c>
      <c r="Z4509" t="str">
        <f t="shared" si="1026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13"/>
        <v>40909</v>
      </c>
      <c r="D4510" s="4">
        <f t="shared" si="1014"/>
        <v>0.91256830601092898</v>
      </c>
      <c r="E4510" s="3">
        <f t="shared" si="1015"/>
        <v>2012</v>
      </c>
      <c r="F4510" s="3">
        <f t="shared" si="1016"/>
        <v>11</v>
      </c>
      <c r="G4510" s="3">
        <f t="shared" si="1017"/>
        <v>30</v>
      </c>
      <c r="H4510" s="3">
        <f t="shared" si="1018"/>
        <v>10</v>
      </c>
      <c r="I4510" s="3">
        <f t="shared" si="1019"/>
        <v>25</v>
      </c>
      <c r="J4510" s="3">
        <f t="shared" si="102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21"/>
        <v>YES</v>
      </c>
      <c r="Q4510" t="str">
        <f t="shared" si="1022"/>
        <v>NO</v>
      </c>
      <c r="R4510" t="str">
        <f t="shared" si="1023"/>
        <v>NO</v>
      </c>
      <c r="S4510">
        <v>14</v>
      </c>
      <c r="T4510" t="s">
        <v>5155</v>
      </c>
      <c r="U4510" t="str">
        <f t="shared" si="1024"/>
        <v>Hurlbut St</v>
      </c>
      <c r="W4510" t="str">
        <f t="shared" si="1025"/>
        <v/>
      </c>
      <c r="X4510" t="str">
        <f>IF(ISBLANK(S4510),"Intersection","Non-Intersection")</f>
        <v>Non-Intersection</v>
      </c>
      <c r="Y4510" t="s">
        <v>5156</v>
      </c>
      <c r="Z4510" t="str">
        <f t="shared" si="1026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13"/>
        <v>40909</v>
      </c>
      <c r="D4511" s="4">
        <f t="shared" si="1014"/>
        <v>0.91256830601092898</v>
      </c>
      <c r="E4511" s="3">
        <f t="shared" si="1015"/>
        <v>2012</v>
      </c>
      <c r="F4511" s="3">
        <f t="shared" si="1016"/>
        <v>11</v>
      </c>
      <c r="G4511" s="3">
        <f t="shared" si="1017"/>
        <v>30</v>
      </c>
      <c r="H4511" s="3">
        <f t="shared" si="1018"/>
        <v>11</v>
      </c>
      <c r="I4511" s="3">
        <f t="shared" si="1019"/>
        <v>26</v>
      </c>
      <c r="J4511" s="3">
        <f t="shared" si="102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21"/>
        <v>YES</v>
      </c>
      <c r="Q4511" t="str">
        <f t="shared" si="1022"/>
        <v>NO</v>
      </c>
      <c r="R4511" t="str">
        <f t="shared" si="1023"/>
        <v>YES</v>
      </c>
      <c r="S4511">
        <v>196</v>
      </c>
      <c r="T4511" t="s">
        <v>342</v>
      </c>
      <c r="U4511" t="str">
        <f t="shared" si="1024"/>
        <v>Prospect St</v>
      </c>
      <c r="W4511" t="str">
        <f t="shared" si="1025"/>
        <v/>
      </c>
      <c r="X4511" t="str">
        <f>IF(ISBLANK(S4511),"Intersection","Non-Intersection")</f>
        <v>Non-Intersection</v>
      </c>
      <c r="Y4511" t="s">
        <v>5158</v>
      </c>
      <c r="Z4511" t="str">
        <f t="shared" si="1026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13"/>
        <v>40909</v>
      </c>
      <c r="D4512" s="4">
        <f t="shared" si="1014"/>
        <v>0.91256830601092898</v>
      </c>
      <c r="E4512" s="3">
        <f t="shared" si="1015"/>
        <v>2012</v>
      </c>
      <c r="F4512" s="3">
        <f t="shared" si="1016"/>
        <v>11</v>
      </c>
      <c r="G4512" s="3">
        <f t="shared" si="1017"/>
        <v>30</v>
      </c>
      <c r="H4512" s="3">
        <f t="shared" si="1018"/>
        <v>12</v>
      </c>
      <c r="I4512" s="3">
        <f t="shared" si="1019"/>
        <v>55</v>
      </c>
      <c r="J4512" s="3">
        <f t="shared" si="102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21"/>
        <v>YES</v>
      </c>
      <c r="Q4512" t="str">
        <f t="shared" si="1022"/>
        <v>NO</v>
      </c>
      <c r="R4512" t="str">
        <f t="shared" si="1023"/>
        <v>NO</v>
      </c>
      <c r="T4512" t="s">
        <v>260</v>
      </c>
      <c r="U4512" t="str">
        <f t="shared" si="1024"/>
        <v>Third St</v>
      </c>
      <c r="W4512" t="str">
        <f t="shared" si="1025"/>
        <v/>
      </c>
      <c r="X4512" t="str">
        <f>IF(ISBLANK(S4512),"Intersection","Non-Intersection")</f>
        <v>Intersection</v>
      </c>
      <c r="Y4512" t="s">
        <v>2589</v>
      </c>
      <c r="Z4512" t="str">
        <f t="shared" si="1026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13"/>
        <v>40909</v>
      </c>
      <c r="D4513" s="4">
        <f t="shared" si="1014"/>
        <v>0.91256830601092898</v>
      </c>
      <c r="E4513" s="3">
        <f t="shared" si="1015"/>
        <v>2012</v>
      </c>
      <c r="F4513" s="3">
        <f t="shared" si="1016"/>
        <v>11</v>
      </c>
      <c r="G4513" s="3">
        <f t="shared" si="1017"/>
        <v>30</v>
      </c>
      <c r="H4513" s="3">
        <f t="shared" si="1018"/>
        <v>14</v>
      </c>
      <c r="I4513" s="3">
        <f t="shared" si="1019"/>
        <v>48</v>
      </c>
      <c r="J4513" s="3">
        <f t="shared" si="102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21"/>
        <v>YES</v>
      </c>
      <c r="Q4513" t="str">
        <f t="shared" si="1022"/>
        <v>NO</v>
      </c>
      <c r="R4513" t="str">
        <f t="shared" si="1023"/>
        <v>YES</v>
      </c>
      <c r="T4513" t="s">
        <v>296</v>
      </c>
      <c r="U4513" t="str">
        <f t="shared" si="1024"/>
        <v>Mason St</v>
      </c>
      <c r="V4513" t="s">
        <v>199</v>
      </c>
      <c r="W4513" t="str">
        <f t="shared" si="1025"/>
        <v>Brattle St</v>
      </c>
      <c r="X4513" t="str">
        <f>IF(ISBLANK(S4513),"Intersection","Non-Intersection")</f>
        <v>Intersection</v>
      </c>
      <c r="Y4513" t="s">
        <v>5160</v>
      </c>
      <c r="Z4513" t="str">
        <f t="shared" si="1026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13"/>
        <v>40909</v>
      </c>
      <c r="D4514" s="4">
        <f t="shared" si="1014"/>
        <v>0.91256830601092898</v>
      </c>
      <c r="E4514" s="3">
        <f t="shared" si="1015"/>
        <v>2012</v>
      </c>
      <c r="F4514" s="3">
        <f t="shared" si="1016"/>
        <v>11</v>
      </c>
      <c r="G4514" s="3">
        <f t="shared" si="1017"/>
        <v>30</v>
      </c>
      <c r="H4514" s="3">
        <f t="shared" si="1018"/>
        <v>15</v>
      </c>
      <c r="I4514" s="3">
        <f t="shared" si="1019"/>
        <v>14</v>
      </c>
      <c r="J4514" s="3">
        <f t="shared" si="102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21"/>
        <v>YES</v>
      </c>
      <c r="Q4514" t="str">
        <f t="shared" si="1022"/>
        <v>YES</v>
      </c>
      <c r="R4514" t="str">
        <f t="shared" si="1023"/>
        <v>NO</v>
      </c>
      <c r="T4514" t="s">
        <v>32</v>
      </c>
      <c r="U4514" t="str">
        <f t="shared" si="1024"/>
        <v>Main St</v>
      </c>
      <c r="V4514" t="s">
        <v>202</v>
      </c>
      <c r="W4514" t="str">
        <f t="shared" si="1025"/>
        <v>Vassar St</v>
      </c>
      <c r="X4514" t="str">
        <f>IF(ISBLANK(S4514),"Intersection","Non-Intersection")</f>
        <v>Intersection</v>
      </c>
      <c r="Y4514" t="s">
        <v>772</v>
      </c>
      <c r="Z4514" t="str">
        <f t="shared" si="1026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13"/>
        <v>40909</v>
      </c>
      <c r="D4515" s="4">
        <f t="shared" si="1014"/>
        <v>0.91256830601092898</v>
      </c>
      <c r="E4515" s="3">
        <f t="shared" si="1015"/>
        <v>2012</v>
      </c>
      <c r="F4515" s="3">
        <f t="shared" si="1016"/>
        <v>11</v>
      </c>
      <c r="G4515" s="3">
        <f t="shared" si="1017"/>
        <v>30</v>
      </c>
      <c r="H4515" s="3">
        <f t="shared" si="1018"/>
        <v>17</v>
      </c>
      <c r="I4515" s="3">
        <f t="shared" si="1019"/>
        <v>55</v>
      </c>
      <c r="J4515" s="3">
        <f t="shared" si="102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21"/>
        <v>YES</v>
      </c>
      <c r="Q4515" t="str">
        <f t="shared" si="1022"/>
        <v>NO</v>
      </c>
      <c r="R4515" t="str">
        <f t="shared" si="1023"/>
        <v>NO</v>
      </c>
      <c r="T4515" t="s">
        <v>199</v>
      </c>
      <c r="U4515" t="str">
        <f t="shared" si="1024"/>
        <v>Brattle St</v>
      </c>
      <c r="W4515" t="str">
        <f t="shared" si="1025"/>
        <v/>
      </c>
      <c r="X4515" t="str">
        <f>IF(ISBLANK(S4515),"Intersection","Non-Intersection")</f>
        <v>Intersection</v>
      </c>
      <c r="Y4515" t="s">
        <v>1010</v>
      </c>
      <c r="Z4515" t="str">
        <f t="shared" si="1026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13"/>
        <v>40909</v>
      </c>
      <c r="D4516" s="4">
        <f t="shared" si="1014"/>
        <v>0.91256830601092898</v>
      </c>
      <c r="E4516" s="3">
        <f t="shared" si="1015"/>
        <v>2012</v>
      </c>
      <c r="F4516" s="3">
        <f t="shared" si="1016"/>
        <v>11</v>
      </c>
      <c r="G4516" s="3">
        <f t="shared" si="1017"/>
        <v>30</v>
      </c>
      <c r="H4516" s="3">
        <f t="shared" si="1018"/>
        <v>14</v>
      </c>
      <c r="I4516" s="3">
        <f t="shared" si="1019"/>
        <v>29</v>
      </c>
      <c r="J4516" s="3">
        <f t="shared" si="102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21"/>
        <v>YES</v>
      </c>
      <c r="Q4516" t="str">
        <f t="shared" si="1022"/>
        <v>NO</v>
      </c>
      <c r="R4516" t="str">
        <f t="shared" si="1023"/>
        <v>NO</v>
      </c>
      <c r="T4516" t="s">
        <v>14</v>
      </c>
      <c r="U4516" t="str">
        <f t="shared" si="1024"/>
        <v>Massachusetts Ave</v>
      </c>
      <c r="V4516" t="s">
        <v>3980</v>
      </c>
      <c r="W4516" t="str">
        <f t="shared" si="1025"/>
        <v>Dana Pl</v>
      </c>
      <c r="X4516" t="str">
        <f>IF(ISBLANK(S4516),"Intersection","Non-Intersection")</f>
        <v>Intersection</v>
      </c>
      <c r="Y4516" t="s">
        <v>3981</v>
      </c>
      <c r="Z4516" t="str">
        <f t="shared" si="1026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13"/>
        <v>40909</v>
      </c>
      <c r="D4517" s="4">
        <f t="shared" si="1014"/>
        <v>0.91256830601092898</v>
      </c>
      <c r="E4517" s="3">
        <f t="shared" si="1015"/>
        <v>2012</v>
      </c>
      <c r="F4517" s="3">
        <f t="shared" si="1016"/>
        <v>11</v>
      </c>
      <c r="G4517" s="3">
        <f t="shared" si="1017"/>
        <v>30</v>
      </c>
      <c r="H4517" s="3">
        <f t="shared" si="1018"/>
        <v>12</v>
      </c>
      <c r="I4517" s="3">
        <f t="shared" si="1019"/>
        <v>0</v>
      </c>
      <c r="J4517" s="3">
        <f t="shared" si="102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21"/>
        <v>YES</v>
      </c>
      <c r="Q4517" t="str">
        <f t="shared" si="1022"/>
        <v>NO</v>
      </c>
      <c r="R4517" t="str">
        <f t="shared" si="1023"/>
        <v>NO</v>
      </c>
      <c r="T4517" t="s">
        <v>202</v>
      </c>
      <c r="U4517" t="str">
        <f t="shared" si="1024"/>
        <v>Vassar St</v>
      </c>
      <c r="W4517" t="str">
        <f t="shared" si="1025"/>
        <v/>
      </c>
      <c r="X4517" t="str">
        <f>IF(ISBLANK(S4517),"Intersection","Non-Intersection")</f>
        <v>Intersection</v>
      </c>
      <c r="Y4517" t="s">
        <v>5161</v>
      </c>
      <c r="Z4517" t="str">
        <f t="shared" si="1026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13"/>
        <v>40909</v>
      </c>
      <c r="D4518" s="4">
        <f t="shared" si="1014"/>
        <v>0.91530054644808745</v>
      </c>
      <c r="E4518" s="3">
        <f t="shared" si="1015"/>
        <v>2012</v>
      </c>
      <c r="F4518" s="3">
        <f t="shared" si="1016"/>
        <v>12</v>
      </c>
      <c r="G4518" s="3">
        <f t="shared" si="1017"/>
        <v>1</v>
      </c>
      <c r="H4518" s="3">
        <f t="shared" si="1018"/>
        <v>9</v>
      </c>
      <c r="I4518" s="3">
        <f t="shared" si="1019"/>
        <v>59</v>
      </c>
      <c r="J4518" s="3">
        <f t="shared" si="102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21"/>
        <v>YES</v>
      </c>
      <c r="Q4518" t="str">
        <f t="shared" si="1022"/>
        <v>NO</v>
      </c>
      <c r="R4518" t="str">
        <f t="shared" si="1023"/>
        <v>NO</v>
      </c>
      <c r="S4518">
        <v>186</v>
      </c>
      <c r="T4518" t="s">
        <v>170</v>
      </c>
      <c r="U4518" t="str">
        <f t="shared" si="1024"/>
        <v>Alewife Brook Pky</v>
      </c>
      <c r="W4518" t="str">
        <f t="shared" si="1025"/>
        <v/>
      </c>
      <c r="X4518" t="str">
        <f>IF(ISBLANK(S4518),"Intersection","Non-Intersection")</f>
        <v>Non-Intersection</v>
      </c>
      <c r="Y4518" t="s">
        <v>242</v>
      </c>
      <c r="Z4518" t="str">
        <f t="shared" si="1026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13"/>
        <v>40909</v>
      </c>
      <c r="D4519" s="4">
        <f t="shared" si="1014"/>
        <v>0.91530054644808745</v>
      </c>
      <c r="E4519" s="3">
        <f t="shared" si="1015"/>
        <v>2012</v>
      </c>
      <c r="F4519" s="3">
        <f t="shared" si="1016"/>
        <v>12</v>
      </c>
      <c r="G4519" s="3">
        <f t="shared" si="1017"/>
        <v>1</v>
      </c>
      <c r="H4519" s="3">
        <f t="shared" si="1018"/>
        <v>11</v>
      </c>
      <c r="I4519" s="3">
        <f t="shared" si="1019"/>
        <v>29</v>
      </c>
      <c r="J4519" s="3">
        <f t="shared" si="102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21"/>
        <v>YES</v>
      </c>
      <c r="Q4519" t="str">
        <f t="shared" si="1022"/>
        <v>NO</v>
      </c>
      <c r="R4519" t="str">
        <f t="shared" si="1023"/>
        <v>NO</v>
      </c>
      <c r="S4519">
        <v>41</v>
      </c>
      <c r="T4519" t="s">
        <v>484</v>
      </c>
      <c r="U4519" t="str">
        <f t="shared" si="1024"/>
        <v>Porter St</v>
      </c>
      <c r="W4519" t="str">
        <f t="shared" si="1025"/>
        <v/>
      </c>
      <c r="X4519" t="str">
        <f>IF(ISBLANK(S4519),"Intersection","Non-Intersection")</f>
        <v>Non-Intersection</v>
      </c>
      <c r="Y4519" t="s">
        <v>5162</v>
      </c>
      <c r="Z4519" t="str">
        <f t="shared" si="1026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13"/>
        <v>40909</v>
      </c>
      <c r="D4520" s="4">
        <f t="shared" si="1014"/>
        <v>0.91530054644808745</v>
      </c>
      <c r="E4520" s="3">
        <f t="shared" si="1015"/>
        <v>2012</v>
      </c>
      <c r="F4520" s="3">
        <f t="shared" si="1016"/>
        <v>12</v>
      </c>
      <c r="G4520" s="3">
        <f t="shared" si="1017"/>
        <v>1</v>
      </c>
      <c r="H4520" s="3">
        <f t="shared" si="1018"/>
        <v>15</v>
      </c>
      <c r="I4520" s="3">
        <f t="shared" si="1019"/>
        <v>0</v>
      </c>
      <c r="J4520" s="3">
        <f t="shared" si="102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21"/>
        <v>YES</v>
      </c>
      <c r="Q4520" t="str">
        <f t="shared" si="1022"/>
        <v>NO</v>
      </c>
      <c r="R4520" t="str">
        <f t="shared" si="1023"/>
        <v>NO</v>
      </c>
      <c r="S4520">
        <v>330</v>
      </c>
      <c r="T4520" t="s">
        <v>41</v>
      </c>
      <c r="U4520" t="str">
        <f t="shared" si="1024"/>
        <v>River St</v>
      </c>
      <c r="W4520" t="str">
        <f t="shared" si="1025"/>
        <v/>
      </c>
      <c r="X4520" t="str">
        <f>IF(ISBLANK(S4520),"Intersection","Non-Intersection")</f>
        <v>Non-Intersection</v>
      </c>
      <c r="Y4520" t="s">
        <v>1098</v>
      </c>
      <c r="Z4520" t="str">
        <f t="shared" si="1026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13"/>
        <v>40909</v>
      </c>
      <c r="D4521" s="4">
        <f t="shared" si="1014"/>
        <v>0.91530054644808745</v>
      </c>
      <c r="E4521" s="3">
        <f t="shared" si="1015"/>
        <v>2012</v>
      </c>
      <c r="F4521" s="3">
        <f t="shared" si="1016"/>
        <v>12</v>
      </c>
      <c r="G4521" s="3">
        <f t="shared" si="1017"/>
        <v>1</v>
      </c>
      <c r="H4521" s="3">
        <f t="shared" si="1018"/>
        <v>2</v>
      </c>
      <c r="I4521" s="3">
        <f t="shared" si="1019"/>
        <v>39</v>
      </c>
      <c r="J4521" s="3">
        <f t="shared" si="102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21"/>
        <v>YES</v>
      </c>
      <c r="Q4521" t="str">
        <f t="shared" si="1022"/>
        <v>NO</v>
      </c>
      <c r="R4521" t="str">
        <f t="shared" si="1023"/>
        <v>NO</v>
      </c>
      <c r="T4521" t="s">
        <v>14</v>
      </c>
      <c r="U4521" t="str">
        <f t="shared" si="1024"/>
        <v>Massachusetts Ave</v>
      </c>
      <c r="V4521" t="s">
        <v>203</v>
      </c>
      <c r="W4521" t="str">
        <f t="shared" si="1025"/>
        <v>Memorial Dr</v>
      </c>
      <c r="X4521" t="str">
        <f>IF(ISBLANK(S4521),"Intersection","Non-Intersection")</f>
        <v>Intersection</v>
      </c>
      <c r="Y4521" t="s">
        <v>3246</v>
      </c>
      <c r="Z4521" t="str">
        <f t="shared" si="1026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13"/>
        <v>40909</v>
      </c>
      <c r="D4522" s="4">
        <f t="shared" si="1014"/>
        <v>0.91803278688524592</v>
      </c>
      <c r="E4522" s="3">
        <f t="shared" si="1015"/>
        <v>2012</v>
      </c>
      <c r="F4522" s="3">
        <f t="shared" si="1016"/>
        <v>12</v>
      </c>
      <c r="G4522" s="3">
        <f t="shared" si="1017"/>
        <v>2</v>
      </c>
      <c r="H4522" s="3">
        <f t="shared" si="1018"/>
        <v>3</v>
      </c>
      <c r="I4522" s="3">
        <f t="shared" si="1019"/>
        <v>30</v>
      </c>
      <c r="J4522" s="3">
        <f t="shared" si="102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21"/>
        <v>YES</v>
      </c>
      <c r="Q4522" t="str">
        <f t="shared" si="1022"/>
        <v>NO</v>
      </c>
      <c r="R4522" t="str">
        <f t="shared" si="1023"/>
        <v>NO</v>
      </c>
      <c r="T4522" t="s">
        <v>74</v>
      </c>
      <c r="U4522" t="str">
        <f t="shared" si="1024"/>
        <v>Hampshire St</v>
      </c>
      <c r="V4522" t="s">
        <v>129</v>
      </c>
      <c r="W4522" t="str">
        <f t="shared" si="1025"/>
        <v>Cardinal Medeiros Ave</v>
      </c>
      <c r="X4522" t="str">
        <f>IF(ISBLANK(S4522),"Intersection","Non-Intersection")</f>
        <v>Intersection</v>
      </c>
      <c r="Y4522" t="s">
        <v>4878</v>
      </c>
      <c r="Z4522" t="str">
        <f t="shared" si="1026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13"/>
        <v>40909</v>
      </c>
      <c r="D4523" s="4">
        <f t="shared" si="1014"/>
        <v>0.91803278688524592</v>
      </c>
      <c r="E4523" s="3">
        <f t="shared" si="1015"/>
        <v>2012</v>
      </c>
      <c r="F4523" s="3">
        <f t="shared" si="1016"/>
        <v>12</v>
      </c>
      <c r="G4523" s="3">
        <f t="shared" si="1017"/>
        <v>2</v>
      </c>
      <c r="H4523" s="3">
        <f t="shared" si="1018"/>
        <v>17</v>
      </c>
      <c r="I4523" s="3">
        <f t="shared" si="1019"/>
        <v>0</v>
      </c>
      <c r="J4523" s="3">
        <f t="shared" si="102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21"/>
        <v>YES</v>
      </c>
      <c r="Q4523" t="str">
        <f t="shared" si="1022"/>
        <v>NO</v>
      </c>
      <c r="R4523" t="str">
        <f t="shared" si="1023"/>
        <v>NO</v>
      </c>
      <c r="T4523" t="s">
        <v>985</v>
      </c>
      <c r="U4523" t="str">
        <f t="shared" si="1024"/>
        <v>Plymouth St</v>
      </c>
      <c r="W4523" t="str">
        <f t="shared" si="1025"/>
        <v/>
      </c>
      <c r="X4523" t="str">
        <f>IF(ISBLANK(S4523),"Intersection","Non-Intersection")</f>
        <v>Intersection</v>
      </c>
      <c r="Y4523" t="s">
        <v>5164</v>
      </c>
      <c r="Z4523" t="str">
        <f t="shared" si="1026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13"/>
        <v>40909</v>
      </c>
      <c r="D4524" s="4">
        <f t="shared" si="1014"/>
        <v>0.92076502732240439</v>
      </c>
      <c r="E4524" s="3">
        <f t="shared" si="1015"/>
        <v>2012</v>
      </c>
      <c r="F4524" s="3">
        <f t="shared" si="1016"/>
        <v>12</v>
      </c>
      <c r="G4524" s="3">
        <f t="shared" si="1017"/>
        <v>3</v>
      </c>
      <c r="H4524" s="3">
        <f t="shared" si="1018"/>
        <v>7</v>
      </c>
      <c r="I4524" s="3">
        <f t="shared" si="1019"/>
        <v>44</v>
      </c>
      <c r="J4524" s="3">
        <f t="shared" si="102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21"/>
        <v>YES</v>
      </c>
      <c r="Q4524" t="str">
        <f t="shared" si="1022"/>
        <v>NO</v>
      </c>
      <c r="R4524" t="str">
        <f t="shared" si="1023"/>
        <v>NO</v>
      </c>
      <c r="T4524" t="s">
        <v>105</v>
      </c>
      <c r="U4524" t="str">
        <f t="shared" si="1024"/>
        <v>Broadway</v>
      </c>
      <c r="V4524" t="s">
        <v>667</v>
      </c>
      <c r="W4524" t="str">
        <f t="shared" si="1025"/>
        <v>Tremont St</v>
      </c>
      <c r="X4524" t="str">
        <f>IF(ISBLANK(S4524),"Intersection","Non-Intersection")</f>
        <v>Intersection</v>
      </c>
      <c r="Y4524" t="s">
        <v>1721</v>
      </c>
      <c r="Z4524" t="str">
        <f t="shared" si="1026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13"/>
        <v>40909</v>
      </c>
      <c r="D4525" s="4">
        <f t="shared" si="1014"/>
        <v>0.92076502732240439</v>
      </c>
      <c r="E4525" s="3">
        <f t="shared" si="1015"/>
        <v>2012</v>
      </c>
      <c r="F4525" s="3">
        <f t="shared" si="1016"/>
        <v>12</v>
      </c>
      <c r="G4525" s="3">
        <f t="shared" si="1017"/>
        <v>3</v>
      </c>
      <c r="H4525" s="3">
        <f t="shared" si="1018"/>
        <v>8</v>
      </c>
      <c r="I4525" s="3">
        <f t="shared" si="1019"/>
        <v>35</v>
      </c>
      <c r="J4525" s="3">
        <f t="shared" si="102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21"/>
        <v>YES</v>
      </c>
      <c r="Q4525" t="str">
        <f t="shared" si="1022"/>
        <v>NO</v>
      </c>
      <c r="R4525" t="str">
        <f t="shared" si="1023"/>
        <v>YES</v>
      </c>
      <c r="T4525" t="s">
        <v>3339</v>
      </c>
      <c r="U4525" t="str">
        <f t="shared" si="1024"/>
        <v>Field St</v>
      </c>
      <c r="V4525" t="s">
        <v>5065</v>
      </c>
      <c r="W4525" t="str">
        <f t="shared" si="1025"/>
        <v>Alpine Pl</v>
      </c>
      <c r="X4525" t="str">
        <f>IF(ISBLANK(S4525),"Intersection","Non-Intersection")</f>
        <v>Intersection</v>
      </c>
      <c r="Y4525" t="s">
        <v>5165</v>
      </c>
      <c r="Z4525" t="str">
        <f t="shared" si="1026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13"/>
        <v>40909</v>
      </c>
      <c r="D4526" s="4">
        <f t="shared" si="1014"/>
        <v>0.92076502732240439</v>
      </c>
      <c r="E4526" s="3">
        <f t="shared" si="1015"/>
        <v>2012</v>
      </c>
      <c r="F4526" s="3">
        <f t="shared" si="1016"/>
        <v>12</v>
      </c>
      <c r="G4526" s="3">
        <f t="shared" si="1017"/>
        <v>3</v>
      </c>
      <c r="H4526" s="3">
        <f t="shared" si="1018"/>
        <v>18</v>
      </c>
      <c r="I4526" s="3">
        <f t="shared" si="1019"/>
        <v>55</v>
      </c>
      <c r="J4526" s="3">
        <f t="shared" si="102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21"/>
        <v>YES</v>
      </c>
      <c r="Q4526" t="str">
        <f t="shared" si="1022"/>
        <v>YES</v>
      </c>
      <c r="R4526" t="str">
        <f t="shared" si="1023"/>
        <v>NO</v>
      </c>
      <c r="T4526" t="s">
        <v>105</v>
      </c>
      <c r="U4526" t="str">
        <f t="shared" si="1024"/>
        <v>Broadway</v>
      </c>
      <c r="V4526" t="s">
        <v>288</v>
      </c>
      <c r="W4526" t="str">
        <f t="shared" si="1025"/>
        <v>Galileo Galilei Way</v>
      </c>
      <c r="X4526" t="str">
        <f>IF(ISBLANK(S4526),"Intersection","Non-Intersection")</f>
        <v>Intersection</v>
      </c>
      <c r="Y4526" t="s">
        <v>289</v>
      </c>
      <c r="Z4526" t="str">
        <f t="shared" si="1026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13"/>
        <v>40909</v>
      </c>
      <c r="D4527" s="4">
        <f t="shared" si="1014"/>
        <v>0.92076502732240439</v>
      </c>
      <c r="E4527" s="3">
        <f t="shared" si="1015"/>
        <v>2012</v>
      </c>
      <c r="F4527" s="3">
        <f t="shared" si="1016"/>
        <v>12</v>
      </c>
      <c r="G4527" s="3">
        <f t="shared" si="1017"/>
        <v>3</v>
      </c>
      <c r="H4527" s="3">
        <f t="shared" si="1018"/>
        <v>18</v>
      </c>
      <c r="I4527" s="3">
        <f t="shared" si="1019"/>
        <v>30</v>
      </c>
      <c r="J4527" s="3">
        <f t="shared" si="102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21"/>
        <v>YES</v>
      </c>
      <c r="Q4527" t="str">
        <f t="shared" si="1022"/>
        <v>NO</v>
      </c>
      <c r="R4527" t="str">
        <f t="shared" si="1023"/>
        <v>NO</v>
      </c>
      <c r="S4527">
        <v>111</v>
      </c>
      <c r="T4527" t="s">
        <v>216</v>
      </c>
      <c r="U4527" t="str">
        <f t="shared" si="1024"/>
        <v>Washington Ave</v>
      </c>
      <c r="W4527" t="str">
        <f t="shared" si="1025"/>
        <v/>
      </c>
      <c r="X4527" t="str">
        <f>IF(ISBLANK(S4527),"Intersection","Non-Intersection")</f>
        <v>Non-Intersection</v>
      </c>
      <c r="Y4527" t="s">
        <v>2708</v>
      </c>
      <c r="Z4527" t="str">
        <f t="shared" si="1026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13"/>
        <v>40909</v>
      </c>
      <c r="D4528" s="4">
        <f t="shared" si="1014"/>
        <v>0.92076502732240439</v>
      </c>
      <c r="E4528" s="3">
        <f t="shared" si="1015"/>
        <v>2012</v>
      </c>
      <c r="F4528" s="3">
        <f t="shared" si="1016"/>
        <v>12</v>
      </c>
      <c r="G4528" s="3">
        <f t="shared" si="1017"/>
        <v>3</v>
      </c>
      <c r="H4528" s="3">
        <f t="shared" si="1018"/>
        <v>12</v>
      </c>
      <c r="I4528" s="3">
        <f t="shared" si="1019"/>
        <v>11</v>
      </c>
      <c r="J4528" s="3">
        <f t="shared" si="102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21"/>
        <v>YES</v>
      </c>
      <c r="Q4528" t="str">
        <f t="shared" si="1022"/>
        <v>NO</v>
      </c>
      <c r="R4528" t="str">
        <f t="shared" si="1023"/>
        <v>NO</v>
      </c>
      <c r="T4528" t="s">
        <v>19</v>
      </c>
      <c r="U4528" t="str">
        <f t="shared" si="1024"/>
        <v>Cambridge St</v>
      </c>
      <c r="V4528" t="s">
        <v>2820</v>
      </c>
      <c r="W4528" t="str">
        <f t="shared" si="1025"/>
        <v>Hunting St</v>
      </c>
      <c r="X4528" t="str">
        <f>IF(ISBLANK(S4528),"Intersection","Non-Intersection")</f>
        <v>Intersection</v>
      </c>
      <c r="Y4528" t="s">
        <v>3582</v>
      </c>
      <c r="Z4528" t="str">
        <f t="shared" si="1026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13"/>
        <v>40909</v>
      </c>
      <c r="D4529" s="4">
        <f t="shared" si="1014"/>
        <v>0.92349726775956287</v>
      </c>
      <c r="E4529" s="3">
        <f t="shared" si="1015"/>
        <v>2012</v>
      </c>
      <c r="F4529" s="3">
        <f t="shared" si="1016"/>
        <v>12</v>
      </c>
      <c r="G4529" s="3">
        <f t="shared" si="1017"/>
        <v>4</v>
      </c>
      <c r="H4529" s="3">
        <f t="shared" si="1018"/>
        <v>19</v>
      </c>
      <c r="I4529" s="3">
        <f t="shared" si="1019"/>
        <v>44</v>
      </c>
      <c r="J4529" s="3">
        <f t="shared" si="102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21"/>
        <v>YES</v>
      </c>
      <c r="Q4529" t="str">
        <f t="shared" si="1022"/>
        <v>NO</v>
      </c>
      <c r="R4529" t="str">
        <f t="shared" si="1023"/>
        <v>NO</v>
      </c>
      <c r="S4529">
        <v>139</v>
      </c>
      <c r="T4529" t="s">
        <v>533</v>
      </c>
      <c r="U4529" t="str">
        <f t="shared" si="1024"/>
        <v>Cherry St</v>
      </c>
      <c r="W4529" t="str">
        <f t="shared" si="1025"/>
        <v/>
      </c>
      <c r="X4529" t="str">
        <f>IF(ISBLANK(S4529),"Intersection","Non-Intersection")</f>
        <v>Non-Intersection</v>
      </c>
      <c r="Y4529" t="s">
        <v>5167</v>
      </c>
      <c r="Z4529" t="str">
        <f t="shared" si="1026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13"/>
        <v>40909</v>
      </c>
      <c r="D4530" s="4">
        <f t="shared" si="1014"/>
        <v>0.92349726775956287</v>
      </c>
      <c r="E4530" s="3">
        <f t="shared" si="1015"/>
        <v>2012</v>
      </c>
      <c r="F4530" s="3">
        <f t="shared" si="1016"/>
        <v>12</v>
      </c>
      <c r="G4530" s="3">
        <f t="shared" si="1017"/>
        <v>4</v>
      </c>
      <c r="H4530" s="3">
        <f t="shared" si="1018"/>
        <v>21</v>
      </c>
      <c r="I4530" s="3">
        <f t="shared" si="1019"/>
        <v>46</v>
      </c>
      <c r="J4530" s="3">
        <f t="shared" si="102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21"/>
        <v>YES</v>
      </c>
      <c r="Q4530" t="str">
        <f t="shared" si="1022"/>
        <v>NO</v>
      </c>
      <c r="R4530" t="str">
        <f t="shared" si="1023"/>
        <v>YES</v>
      </c>
      <c r="T4530" t="s">
        <v>19</v>
      </c>
      <c r="U4530" t="str">
        <f t="shared" si="1024"/>
        <v>Cambridge St</v>
      </c>
      <c r="V4530" t="s">
        <v>61</v>
      </c>
      <c r="W4530" t="str">
        <f t="shared" si="1025"/>
        <v>First St</v>
      </c>
      <c r="X4530" t="str">
        <f>IF(ISBLANK(S4530),"Intersection","Non-Intersection")</f>
        <v>Intersection</v>
      </c>
      <c r="Y4530" t="s">
        <v>494</v>
      </c>
      <c r="Z4530" t="str">
        <f t="shared" si="1026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13"/>
        <v>40909</v>
      </c>
      <c r="D4531" s="4">
        <f t="shared" si="1014"/>
        <v>0.92349726775956287</v>
      </c>
      <c r="E4531" s="3">
        <f t="shared" si="1015"/>
        <v>2012</v>
      </c>
      <c r="F4531" s="3">
        <f t="shared" si="1016"/>
        <v>12</v>
      </c>
      <c r="G4531" s="3">
        <f t="shared" si="1017"/>
        <v>4</v>
      </c>
      <c r="H4531" s="3">
        <f t="shared" si="1018"/>
        <v>12</v>
      </c>
      <c r="I4531" s="3">
        <f t="shared" si="1019"/>
        <v>30</v>
      </c>
      <c r="J4531" s="3">
        <f t="shared" si="102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21"/>
        <v>YES</v>
      </c>
      <c r="Q4531" t="str">
        <f t="shared" si="1022"/>
        <v>NO</v>
      </c>
      <c r="R4531" t="str">
        <f t="shared" si="1023"/>
        <v>YES</v>
      </c>
      <c r="S4531">
        <v>211</v>
      </c>
      <c r="T4531" t="s">
        <v>14</v>
      </c>
      <c r="U4531" t="str">
        <f t="shared" si="1024"/>
        <v>Massachusetts Ave</v>
      </c>
      <c r="W4531" t="str">
        <f t="shared" si="1025"/>
        <v/>
      </c>
      <c r="X4531" t="str">
        <f>IF(ISBLANK(S4531),"Intersection","Non-Intersection")</f>
        <v>Non-Intersection</v>
      </c>
      <c r="Y4531" t="s">
        <v>4966</v>
      </c>
      <c r="Z4531" t="str">
        <f t="shared" si="1026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13"/>
        <v>40909</v>
      </c>
      <c r="D4532" s="4">
        <f t="shared" si="1014"/>
        <v>0.92622950819672134</v>
      </c>
      <c r="E4532" s="3">
        <f t="shared" si="1015"/>
        <v>2012</v>
      </c>
      <c r="F4532" s="3">
        <f t="shared" si="1016"/>
        <v>12</v>
      </c>
      <c r="G4532" s="3">
        <f t="shared" si="1017"/>
        <v>5</v>
      </c>
      <c r="H4532" s="3">
        <f t="shared" si="1018"/>
        <v>9</v>
      </c>
      <c r="I4532" s="3">
        <f t="shared" si="1019"/>
        <v>4</v>
      </c>
      <c r="J4532" s="3">
        <f t="shared" si="102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21"/>
        <v>YES</v>
      </c>
      <c r="Q4532" t="str">
        <f t="shared" si="1022"/>
        <v>NO</v>
      </c>
      <c r="R4532" t="str">
        <f t="shared" si="1023"/>
        <v>NO</v>
      </c>
      <c r="T4532" t="s">
        <v>260</v>
      </c>
      <c r="U4532" t="str">
        <f t="shared" si="1024"/>
        <v>Third St</v>
      </c>
      <c r="V4532" t="s">
        <v>3803</v>
      </c>
      <c r="W4532" t="str">
        <f t="shared" si="1025"/>
        <v>Kendall St</v>
      </c>
      <c r="X4532" t="str">
        <f>IF(ISBLANK(S4532),"Intersection","Non-Intersection")</f>
        <v>Intersection</v>
      </c>
      <c r="Y4532" t="s">
        <v>5169</v>
      </c>
      <c r="Z4532" t="str">
        <f t="shared" si="1026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13"/>
        <v>40909</v>
      </c>
      <c r="D4533" s="4">
        <f t="shared" si="1014"/>
        <v>0.92622950819672134</v>
      </c>
      <c r="E4533" s="3">
        <f t="shared" si="1015"/>
        <v>2012</v>
      </c>
      <c r="F4533" s="3">
        <f t="shared" si="1016"/>
        <v>12</v>
      </c>
      <c r="G4533" s="3">
        <f t="shared" si="1017"/>
        <v>5</v>
      </c>
      <c r="H4533" s="3">
        <f t="shared" si="1018"/>
        <v>8</v>
      </c>
      <c r="I4533" s="3">
        <f t="shared" si="1019"/>
        <v>0</v>
      </c>
      <c r="J4533" s="3">
        <f t="shared" si="102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21"/>
        <v>YES</v>
      </c>
      <c r="Q4533" t="str">
        <f t="shared" si="1022"/>
        <v>NO</v>
      </c>
      <c r="R4533" t="str">
        <f t="shared" si="1023"/>
        <v>NO</v>
      </c>
      <c r="S4533">
        <v>850</v>
      </c>
      <c r="T4533" t="s">
        <v>19</v>
      </c>
      <c r="U4533" t="str">
        <f t="shared" si="1024"/>
        <v>Cambridge St</v>
      </c>
      <c r="W4533" t="str">
        <f t="shared" si="1025"/>
        <v/>
      </c>
      <c r="X4533" t="str">
        <f>IF(ISBLANK(S4533),"Intersection","Non-Intersection")</f>
        <v>Non-Intersection</v>
      </c>
      <c r="Y4533" t="s">
        <v>3953</v>
      </c>
      <c r="Z4533" t="str">
        <f t="shared" si="1026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13"/>
        <v>40909</v>
      </c>
      <c r="D4534" s="4">
        <f t="shared" si="1014"/>
        <v>0.92896174863387981</v>
      </c>
      <c r="E4534" s="3">
        <f t="shared" si="1015"/>
        <v>2012</v>
      </c>
      <c r="F4534" s="3">
        <f t="shared" si="1016"/>
        <v>12</v>
      </c>
      <c r="G4534" s="3">
        <f t="shared" si="1017"/>
        <v>6</v>
      </c>
      <c r="H4534" s="3">
        <f t="shared" si="1018"/>
        <v>8</v>
      </c>
      <c r="I4534" s="3">
        <f t="shared" si="1019"/>
        <v>15</v>
      </c>
      <c r="J4534" s="3">
        <f t="shared" si="102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21"/>
        <v>NO</v>
      </c>
      <c r="Q4534" t="str">
        <f t="shared" si="1022"/>
        <v>YES</v>
      </c>
      <c r="R4534" t="str">
        <f t="shared" si="1023"/>
        <v>YES</v>
      </c>
      <c r="T4534" t="s">
        <v>202</v>
      </c>
      <c r="U4534" t="str">
        <f t="shared" si="1024"/>
        <v>Vassar St</v>
      </c>
      <c r="V4534" t="s">
        <v>14</v>
      </c>
      <c r="W4534" t="str">
        <f t="shared" si="1025"/>
        <v>Massachusetts Ave</v>
      </c>
      <c r="X4534" t="str">
        <f>IF(ISBLANK(S4534),"Intersection","Non-Intersection")</f>
        <v>Intersection</v>
      </c>
      <c r="Y4534" t="s">
        <v>222</v>
      </c>
      <c r="Z4534" t="str">
        <f t="shared" si="1026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27">EOMONTH(B4535,MONTH(B4535)*-1)+1</f>
        <v>40909</v>
      </c>
      <c r="D4535" s="4">
        <f t="shared" ref="D4535:D4597" si="1028">YEARFRAC(C4535,B4535,1)</f>
        <v>0.92896174863387981</v>
      </c>
      <c r="E4535" s="3">
        <f t="shared" ref="E4535:E4597" si="1029">YEAR(B4535)</f>
        <v>2012</v>
      </c>
      <c r="F4535" s="3">
        <f t="shared" ref="F4535:F4597" si="1030">MONTH(B4535)</f>
        <v>12</v>
      </c>
      <c r="G4535" s="3">
        <f t="shared" ref="G4535:G4597" si="1031">DAY(B4535)</f>
        <v>6</v>
      </c>
      <c r="H4535" s="3">
        <f t="shared" ref="H4535:H4597" si="1032">HOUR(B4535)</f>
        <v>18</v>
      </c>
      <c r="I4535" s="3">
        <f t="shared" ref="I4535:I4597" si="1033">MINUTE(B4535)</f>
        <v>30</v>
      </c>
      <c r="J4535" s="3">
        <f t="shared" ref="J4535:J4597" si="1034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035">IF(OR(N4535="Auto",O4535="Auto"),"YES",IF(OR(N4535="Taxi",O4535="Taxi"),"YES",IF(OR(N4535="Van",O4535="Van"),"YES",IF(OR(N4535="Truck",O4535="Truck"),"YES","NO"))))</f>
        <v>YES</v>
      </c>
      <c r="Q4535" t="str">
        <f t="shared" ref="Q4535:Q4597" si="1036">IF(OR(N4535="Bicycle",O4535="Bicycle"),"YES","NO")</f>
        <v>NO</v>
      </c>
      <c r="R4535" t="str">
        <f t="shared" ref="R4535:R4597" si="1037">IF(OR(N4535="Pedestrian",O4535="Pedestrian"),"YES","NO")</f>
        <v>NO</v>
      </c>
      <c r="S4535">
        <v>100</v>
      </c>
      <c r="T4535" t="s">
        <v>209</v>
      </c>
      <c r="U4535" t="str">
        <f t="shared" si="1024"/>
        <v>Binney St</v>
      </c>
      <c r="W4535" t="str">
        <f t="shared" si="1025"/>
        <v/>
      </c>
      <c r="X4535" t="str">
        <f>IF(ISBLANK(S4535),"Intersection","Non-Intersection")</f>
        <v>Non-Intersection</v>
      </c>
      <c r="Y4535" t="s">
        <v>3673</v>
      </c>
      <c r="Z4535" t="str">
        <f t="shared" si="1026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27"/>
        <v>40909</v>
      </c>
      <c r="D4536" s="4">
        <f t="shared" si="1028"/>
        <v>0.92896174863387981</v>
      </c>
      <c r="E4536" s="3">
        <f t="shared" si="1029"/>
        <v>2012</v>
      </c>
      <c r="F4536" s="3">
        <f t="shared" si="1030"/>
        <v>12</v>
      </c>
      <c r="G4536" s="3">
        <f t="shared" si="1031"/>
        <v>6</v>
      </c>
      <c r="H4536" s="3">
        <f t="shared" si="1032"/>
        <v>17</v>
      </c>
      <c r="I4536" s="3">
        <f t="shared" si="1033"/>
        <v>0</v>
      </c>
      <c r="J4536" s="3">
        <f t="shared" si="1034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035"/>
        <v>YES</v>
      </c>
      <c r="Q4536" t="str">
        <f t="shared" si="1036"/>
        <v>NO</v>
      </c>
      <c r="R4536" t="str">
        <f t="shared" si="1037"/>
        <v>NO</v>
      </c>
      <c r="S4536">
        <v>22</v>
      </c>
      <c r="T4536" t="s">
        <v>5170</v>
      </c>
      <c r="U4536" t="str">
        <f t="shared" si="1024"/>
        <v>Tenney St</v>
      </c>
      <c r="W4536" t="str">
        <f t="shared" si="1025"/>
        <v/>
      </c>
      <c r="X4536" t="str">
        <f>IF(ISBLANK(S4536),"Intersection","Non-Intersection")</f>
        <v>Non-Intersection</v>
      </c>
      <c r="Y4536" t="s">
        <v>5171</v>
      </c>
      <c r="Z4536" t="str">
        <f t="shared" si="1026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27"/>
        <v>40909</v>
      </c>
      <c r="D4537" s="4">
        <f t="shared" si="1028"/>
        <v>0.92896174863387981</v>
      </c>
      <c r="E4537" s="3">
        <f t="shared" si="1029"/>
        <v>2012</v>
      </c>
      <c r="F4537" s="3">
        <f t="shared" si="1030"/>
        <v>12</v>
      </c>
      <c r="G4537" s="3">
        <f t="shared" si="1031"/>
        <v>6</v>
      </c>
      <c r="H4537" s="3">
        <f t="shared" si="1032"/>
        <v>14</v>
      </c>
      <c r="I4537" s="3">
        <f t="shared" si="1033"/>
        <v>19</v>
      </c>
      <c r="J4537" s="3">
        <f t="shared" si="1034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035"/>
        <v>YES</v>
      </c>
      <c r="Q4537" t="str">
        <f t="shared" si="1036"/>
        <v>NO</v>
      </c>
      <c r="R4537" t="str">
        <f t="shared" si="1037"/>
        <v>YES</v>
      </c>
      <c r="S4537">
        <v>200</v>
      </c>
      <c r="T4537" t="s">
        <v>32</v>
      </c>
      <c r="U4537" t="str">
        <f t="shared" si="1024"/>
        <v>Main St</v>
      </c>
      <c r="W4537" t="str">
        <f t="shared" si="1025"/>
        <v/>
      </c>
      <c r="X4537" t="str">
        <f>IF(ISBLANK(S4537),"Intersection","Non-Intersection")</f>
        <v>Non-Intersection</v>
      </c>
      <c r="Y4537" t="s">
        <v>5173</v>
      </c>
      <c r="Z4537" t="str">
        <f t="shared" si="1026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27"/>
        <v>40909</v>
      </c>
      <c r="D4538" s="4">
        <f t="shared" si="1028"/>
        <v>0.92896174863387981</v>
      </c>
      <c r="E4538" s="3">
        <f t="shared" si="1029"/>
        <v>2012</v>
      </c>
      <c r="F4538" s="3">
        <f t="shared" si="1030"/>
        <v>12</v>
      </c>
      <c r="G4538" s="3">
        <f t="shared" si="1031"/>
        <v>6</v>
      </c>
      <c r="H4538" s="3">
        <f t="shared" si="1032"/>
        <v>19</v>
      </c>
      <c r="I4538" s="3">
        <f t="shared" si="1033"/>
        <v>40</v>
      </c>
      <c r="J4538" s="3">
        <f t="shared" si="1034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035"/>
        <v>YES</v>
      </c>
      <c r="Q4538" t="str">
        <f t="shared" si="1036"/>
        <v>NO</v>
      </c>
      <c r="R4538" t="str">
        <f t="shared" si="1037"/>
        <v>NO</v>
      </c>
      <c r="S4538">
        <v>11</v>
      </c>
      <c r="T4538" t="s">
        <v>1272</v>
      </c>
      <c r="U4538" t="str">
        <f t="shared" si="1024"/>
        <v>Forest St</v>
      </c>
      <c r="W4538" t="str">
        <f t="shared" si="1025"/>
        <v/>
      </c>
      <c r="X4538" t="str">
        <f>IF(ISBLANK(S4538),"Intersection","Non-Intersection")</f>
        <v>Non-Intersection</v>
      </c>
      <c r="Y4538" t="s">
        <v>5175</v>
      </c>
      <c r="Z4538" t="str">
        <f t="shared" si="1026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27"/>
        <v>40909</v>
      </c>
      <c r="D4539" s="4">
        <f t="shared" si="1028"/>
        <v>0.93169398907103829</v>
      </c>
      <c r="E4539" s="3">
        <f t="shared" si="1029"/>
        <v>2012</v>
      </c>
      <c r="F4539" s="3">
        <f t="shared" si="1030"/>
        <v>12</v>
      </c>
      <c r="G4539" s="3">
        <f t="shared" si="1031"/>
        <v>7</v>
      </c>
      <c r="H4539" s="3">
        <f t="shared" si="1032"/>
        <v>10</v>
      </c>
      <c r="I4539" s="3">
        <f t="shared" si="1033"/>
        <v>40</v>
      </c>
      <c r="J4539" s="3">
        <f t="shared" si="1034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035"/>
        <v>YES</v>
      </c>
      <c r="Q4539" t="str">
        <f t="shared" si="1036"/>
        <v>NO</v>
      </c>
      <c r="R4539" t="str">
        <f t="shared" si="1037"/>
        <v>NO</v>
      </c>
      <c r="S4539">
        <v>625</v>
      </c>
      <c r="T4539" t="s">
        <v>198</v>
      </c>
      <c r="U4539" t="str">
        <f t="shared" si="1024"/>
        <v>Mount Auburn St</v>
      </c>
      <c r="W4539" t="str">
        <f t="shared" si="1025"/>
        <v/>
      </c>
      <c r="X4539" t="str">
        <f>IF(ISBLANK(S4539),"Intersection","Non-Intersection")</f>
        <v>Non-Intersection</v>
      </c>
      <c r="Y4539" t="s">
        <v>2427</v>
      </c>
      <c r="Z4539" t="str">
        <f t="shared" si="1026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27"/>
        <v>40909</v>
      </c>
      <c r="D4540" s="4">
        <f t="shared" si="1028"/>
        <v>0.93169398907103829</v>
      </c>
      <c r="E4540" s="3">
        <f t="shared" si="1029"/>
        <v>2012</v>
      </c>
      <c r="F4540" s="3">
        <f t="shared" si="1030"/>
        <v>12</v>
      </c>
      <c r="G4540" s="3">
        <f t="shared" si="1031"/>
        <v>7</v>
      </c>
      <c r="H4540" s="3">
        <f t="shared" si="1032"/>
        <v>18</v>
      </c>
      <c r="I4540" s="3">
        <f t="shared" si="1033"/>
        <v>20</v>
      </c>
      <c r="J4540" s="3">
        <f t="shared" si="1034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035"/>
        <v>YES</v>
      </c>
      <c r="Q4540" t="str">
        <f t="shared" si="1036"/>
        <v>YES</v>
      </c>
      <c r="R4540" t="str">
        <f t="shared" si="1037"/>
        <v>NO</v>
      </c>
      <c r="T4540" t="s">
        <v>1177</v>
      </c>
      <c r="U4540" t="str">
        <f t="shared" si="1024"/>
        <v>Plympton St</v>
      </c>
      <c r="V4540" t="s">
        <v>3829</v>
      </c>
      <c r="W4540" t="str">
        <f t="shared" si="1025"/>
        <v>Mill St</v>
      </c>
      <c r="X4540" t="str">
        <f>IF(ISBLANK(S4540),"Intersection","Non-Intersection")</f>
        <v>Intersection</v>
      </c>
      <c r="Y4540" t="s">
        <v>3830</v>
      </c>
      <c r="Z4540" t="str">
        <f t="shared" si="1026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27"/>
        <v>40909</v>
      </c>
      <c r="D4541" s="4">
        <f t="shared" si="1028"/>
        <v>0.93169398907103829</v>
      </c>
      <c r="E4541" s="3">
        <f t="shared" si="1029"/>
        <v>2012</v>
      </c>
      <c r="F4541" s="3">
        <f t="shared" si="1030"/>
        <v>12</v>
      </c>
      <c r="G4541" s="3">
        <f t="shared" si="1031"/>
        <v>7</v>
      </c>
      <c r="H4541" s="3">
        <f t="shared" si="1032"/>
        <v>6</v>
      </c>
      <c r="I4541" s="3">
        <f t="shared" si="1033"/>
        <v>0</v>
      </c>
      <c r="J4541" s="3">
        <f t="shared" si="1034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035"/>
        <v>YES</v>
      </c>
      <c r="Q4541" t="str">
        <f t="shared" si="1036"/>
        <v>NO</v>
      </c>
      <c r="R4541" t="str">
        <f t="shared" si="1037"/>
        <v>NO</v>
      </c>
      <c r="T4541" t="s">
        <v>129</v>
      </c>
      <c r="U4541" t="str">
        <f t="shared" si="1024"/>
        <v>Cardinal Medeiros Ave</v>
      </c>
      <c r="V4541" t="s">
        <v>19</v>
      </c>
      <c r="W4541" t="str">
        <f t="shared" si="1025"/>
        <v>Cambridge St</v>
      </c>
      <c r="X4541" t="str">
        <f>IF(ISBLANK(S4541),"Intersection","Non-Intersection")</f>
        <v>Intersection</v>
      </c>
      <c r="Y4541" t="s">
        <v>2125</v>
      </c>
      <c r="Z4541" t="str">
        <f t="shared" si="1026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27"/>
        <v>40909</v>
      </c>
      <c r="D4542" s="4">
        <f t="shared" si="1028"/>
        <v>0.93169398907103829</v>
      </c>
      <c r="E4542" s="3">
        <f t="shared" si="1029"/>
        <v>2012</v>
      </c>
      <c r="F4542" s="3">
        <f t="shared" si="1030"/>
        <v>12</v>
      </c>
      <c r="G4542" s="3">
        <f t="shared" si="1031"/>
        <v>7</v>
      </c>
      <c r="H4542" s="3">
        <f t="shared" si="1032"/>
        <v>23</v>
      </c>
      <c r="I4542" s="3">
        <f t="shared" si="1033"/>
        <v>15</v>
      </c>
      <c r="J4542" s="3">
        <f t="shared" si="1034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035"/>
        <v>YES</v>
      </c>
      <c r="Q4542" t="str">
        <f t="shared" si="1036"/>
        <v>NO</v>
      </c>
      <c r="R4542" t="str">
        <f t="shared" si="1037"/>
        <v>NO</v>
      </c>
      <c r="S4542">
        <v>8</v>
      </c>
      <c r="T4542" t="s">
        <v>1111</v>
      </c>
      <c r="U4542" t="str">
        <f t="shared" si="1024"/>
        <v>Museum Way</v>
      </c>
      <c r="W4542" t="str">
        <f t="shared" si="1025"/>
        <v/>
      </c>
      <c r="X4542" t="str">
        <f>IF(ISBLANK(S4542),"Intersection","Non-Intersection")</f>
        <v>Non-Intersection</v>
      </c>
      <c r="Y4542" t="s">
        <v>1112</v>
      </c>
      <c r="Z4542" t="str">
        <f t="shared" si="1026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27"/>
        <v>40909</v>
      </c>
      <c r="D4543" s="4">
        <f t="shared" si="1028"/>
        <v>0.93169398907103829</v>
      </c>
      <c r="E4543" s="3">
        <f t="shared" si="1029"/>
        <v>2012</v>
      </c>
      <c r="F4543" s="3">
        <f t="shared" si="1030"/>
        <v>12</v>
      </c>
      <c r="G4543" s="3">
        <f t="shared" si="1031"/>
        <v>7</v>
      </c>
      <c r="H4543" s="3">
        <f t="shared" si="1032"/>
        <v>19</v>
      </c>
      <c r="I4543" s="3">
        <f t="shared" si="1033"/>
        <v>41</v>
      </c>
      <c r="J4543" s="3">
        <f t="shared" si="1034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035"/>
        <v>YES</v>
      </c>
      <c r="Q4543" t="str">
        <f t="shared" si="1036"/>
        <v>NO</v>
      </c>
      <c r="R4543" t="str">
        <f t="shared" si="1037"/>
        <v>YES</v>
      </c>
      <c r="S4543">
        <v>65</v>
      </c>
      <c r="T4543" t="s">
        <v>993</v>
      </c>
      <c r="U4543" t="str">
        <f t="shared" si="1024"/>
        <v>Fifth St</v>
      </c>
      <c r="W4543" t="str">
        <f t="shared" si="1025"/>
        <v/>
      </c>
      <c r="X4543" t="str">
        <f>IF(ISBLANK(S4543),"Intersection","Non-Intersection")</f>
        <v>Non-Intersection</v>
      </c>
      <c r="Y4543" t="s">
        <v>5177</v>
      </c>
      <c r="Z4543" t="str">
        <f t="shared" si="1026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27"/>
        <v>40909</v>
      </c>
      <c r="D4544" s="4">
        <f t="shared" si="1028"/>
        <v>0.93169398907103829</v>
      </c>
      <c r="E4544" s="3">
        <f t="shared" si="1029"/>
        <v>2012</v>
      </c>
      <c r="F4544" s="3">
        <f t="shared" si="1030"/>
        <v>12</v>
      </c>
      <c r="G4544" s="3">
        <f t="shared" si="1031"/>
        <v>7</v>
      </c>
      <c r="H4544" s="3">
        <f t="shared" si="1032"/>
        <v>11</v>
      </c>
      <c r="I4544" s="3">
        <f t="shared" si="1033"/>
        <v>39</v>
      </c>
      <c r="J4544" s="3">
        <f t="shared" si="1034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035"/>
        <v>YES</v>
      </c>
      <c r="Q4544" t="str">
        <f t="shared" si="1036"/>
        <v>NO</v>
      </c>
      <c r="R4544" t="str">
        <f t="shared" si="1037"/>
        <v>NO</v>
      </c>
      <c r="T4544" t="s">
        <v>379</v>
      </c>
      <c r="U4544" t="str">
        <f t="shared" si="1024"/>
        <v>Second St</v>
      </c>
      <c r="V4544" t="s">
        <v>556</v>
      </c>
      <c r="W4544" t="str">
        <f t="shared" si="1025"/>
        <v>Bent St</v>
      </c>
      <c r="X4544" t="str">
        <f>IF(ISBLANK(S4544),"Intersection","Non-Intersection")</f>
        <v>Intersection</v>
      </c>
      <c r="Y4544" t="s">
        <v>5179</v>
      </c>
      <c r="Z4544" t="str">
        <f t="shared" si="1026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27"/>
        <v>40909</v>
      </c>
      <c r="D4545" s="4">
        <f t="shared" si="1028"/>
        <v>0.93169398907103829</v>
      </c>
      <c r="E4545" s="3">
        <f t="shared" si="1029"/>
        <v>2012</v>
      </c>
      <c r="F4545" s="3">
        <f t="shared" si="1030"/>
        <v>12</v>
      </c>
      <c r="G4545" s="3">
        <f t="shared" si="1031"/>
        <v>7</v>
      </c>
      <c r="H4545" s="3">
        <f t="shared" si="1032"/>
        <v>12</v>
      </c>
      <c r="I4545" s="3">
        <f t="shared" si="1033"/>
        <v>30</v>
      </c>
      <c r="J4545" s="3">
        <f t="shared" si="1034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035"/>
        <v>YES</v>
      </c>
      <c r="Q4545" t="str">
        <f t="shared" si="1036"/>
        <v>NO</v>
      </c>
      <c r="R4545" t="str">
        <f t="shared" si="1037"/>
        <v>NO</v>
      </c>
      <c r="S4545">
        <v>30</v>
      </c>
      <c r="T4545" t="s">
        <v>185</v>
      </c>
      <c r="U4545" t="str">
        <f t="shared" si="1024"/>
        <v>Garden St</v>
      </c>
      <c r="V4545" t="s">
        <v>296</v>
      </c>
      <c r="W4545" t="str">
        <f t="shared" si="1025"/>
        <v>Mason St</v>
      </c>
      <c r="X4545" t="str">
        <f>IF(ISBLANK(S4545),"Intersection","Non-Intersection")</f>
        <v>Non-Intersection</v>
      </c>
      <c r="Y4545" t="s">
        <v>5181</v>
      </c>
      <c r="Z4545" t="str">
        <f t="shared" si="1026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27"/>
        <v>40909</v>
      </c>
      <c r="D4546" s="4">
        <f t="shared" si="1028"/>
        <v>0.93442622950819676</v>
      </c>
      <c r="E4546" s="3">
        <f t="shared" si="1029"/>
        <v>2012</v>
      </c>
      <c r="F4546" s="3">
        <f t="shared" si="1030"/>
        <v>12</v>
      </c>
      <c r="G4546" s="3">
        <f t="shared" si="1031"/>
        <v>8</v>
      </c>
      <c r="H4546" s="3">
        <f t="shared" si="1032"/>
        <v>18</v>
      </c>
      <c r="I4546" s="3">
        <f t="shared" si="1033"/>
        <v>18</v>
      </c>
      <c r="J4546" s="3">
        <f t="shared" si="1034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035"/>
        <v>YES</v>
      </c>
      <c r="Q4546" t="str">
        <f t="shared" si="1036"/>
        <v>NO</v>
      </c>
      <c r="R4546" t="str">
        <f t="shared" si="1037"/>
        <v>NO</v>
      </c>
      <c r="T4546" t="s">
        <v>97</v>
      </c>
      <c r="U4546" t="str">
        <f t="shared" si="1024"/>
        <v>Peabody St</v>
      </c>
      <c r="V4546" t="s">
        <v>14</v>
      </c>
      <c r="W4546" t="str">
        <f t="shared" si="1025"/>
        <v>Massachusetts Ave</v>
      </c>
      <c r="X4546" t="str">
        <f>IF(ISBLANK(S4546),"Intersection","Non-Intersection")</f>
        <v>Intersection</v>
      </c>
      <c r="Y4546" t="s">
        <v>98</v>
      </c>
      <c r="Z4546" t="str">
        <f t="shared" si="1026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27"/>
        <v>40909</v>
      </c>
      <c r="D4547" s="4">
        <f t="shared" si="1028"/>
        <v>0.93442622950819676</v>
      </c>
      <c r="E4547" s="3">
        <f t="shared" si="1029"/>
        <v>2012</v>
      </c>
      <c r="F4547" s="3">
        <f t="shared" si="1030"/>
        <v>12</v>
      </c>
      <c r="G4547" s="3">
        <f t="shared" si="1031"/>
        <v>8</v>
      </c>
      <c r="H4547" s="3">
        <f t="shared" si="1032"/>
        <v>9</v>
      </c>
      <c r="I4547" s="3">
        <f t="shared" si="1033"/>
        <v>59</v>
      </c>
      <c r="J4547" s="3">
        <f t="shared" si="1034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035"/>
        <v>YES</v>
      </c>
      <c r="Q4547" t="str">
        <f t="shared" si="1036"/>
        <v>NO</v>
      </c>
      <c r="R4547" t="str">
        <f t="shared" si="1037"/>
        <v>NO</v>
      </c>
      <c r="S4547">
        <v>19</v>
      </c>
      <c r="T4547" t="s">
        <v>335</v>
      </c>
      <c r="U4547" t="str">
        <f t="shared" ref="U4547:U4610" si="1038">TRIM(PROPER(T4547))</f>
        <v>Ware St</v>
      </c>
      <c r="W4547" t="str">
        <f t="shared" ref="W4547:W4610" si="1039">TRIM(PROPER(V4547))</f>
        <v/>
      </c>
      <c r="X4547" t="str">
        <f>IF(ISBLANK(S4547),"Intersection","Non-Intersection")</f>
        <v>Non-Intersection</v>
      </c>
      <c r="Y4547" t="s">
        <v>5183</v>
      </c>
      <c r="Z4547" t="str">
        <f t="shared" ref="Z4547:Z4610" si="1040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27"/>
        <v>40909</v>
      </c>
      <c r="D4548" s="4">
        <f t="shared" si="1028"/>
        <v>0.93442622950819676</v>
      </c>
      <c r="E4548" s="3">
        <f t="shared" si="1029"/>
        <v>2012</v>
      </c>
      <c r="F4548" s="3">
        <f t="shared" si="1030"/>
        <v>12</v>
      </c>
      <c r="G4548" s="3">
        <f t="shared" si="1031"/>
        <v>8</v>
      </c>
      <c r="H4548" s="3">
        <f t="shared" si="1032"/>
        <v>19</v>
      </c>
      <c r="I4548" s="3">
        <f t="shared" si="1033"/>
        <v>40</v>
      </c>
      <c r="J4548" s="3">
        <f t="shared" si="1034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035"/>
        <v>YES</v>
      </c>
      <c r="Q4548" t="str">
        <f t="shared" si="1036"/>
        <v>NO</v>
      </c>
      <c r="R4548" t="str">
        <f t="shared" si="1037"/>
        <v>YES</v>
      </c>
      <c r="T4548" t="s">
        <v>185</v>
      </c>
      <c r="U4548" t="str">
        <f t="shared" si="1038"/>
        <v>Garden St</v>
      </c>
      <c r="V4548" t="s">
        <v>5185</v>
      </c>
      <c r="W4548" t="str">
        <f t="shared" si="1039"/>
        <v>Chauncy Ln</v>
      </c>
      <c r="X4548" t="str">
        <f>IF(ISBLANK(S4548),"Intersection","Non-Intersection")</f>
        <v>Intersection</v>
      </c>
      <c r="Y4548" t="s">
        <v>5186</v>
      </c>
      <c r="Z4548" t="str">
        <f t="shared" si="1040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27"/>
        <v>40909</v>
      </c>
      <c r="D4549" s="4">
        <f t="shared" si="1028"/>
        <v>0.93442622950819676</v>
      </c>
      <c r="E4549" s="3">
        <f t="shared" si="1029"/>
        <v>2012</v>
      </c>
      <c r="F4549" s="3">
        <f t="shared" si="1030"/>
        <v>12</v>
      </c>
      <c r="G4549" s="3">
        <f t="shared" si="1031"/>
        <v>8</v>
      </c>
      <c r="H4549" s="3">
        <f t="shared" si="1032"/>
        <v>12</v>
      </c>
      <c r="I4549" s="3">
        <f t="shared" si="1033"/>
        <v>0</v>
      </c>
      <c r="J4549" s="3">
        <f t="shared" si="1034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035"/>
        <v>YES</v>
      </c>
      <c r="Q4549" t="str">
        <f t="shared" si="1036"/>
        <v>NO</v>
      </c>
      <c r="R4549" t="str">
        <f t="shared" si="1037"/>
        <v>NO</v>
      </c>
      <c r="T4549" t="s">
        <v>340</v>
      </c>
      <c r="U4549" t="str">
        <f t="shared" si="1038"/>
        <v>Davenport St</v>
      </c>
      <c r="V4549" t="s">
        <v>1976</v>
      </c>
      <c r="W4549" t="str">
        <f t="shared" si="1039"/>
        <v>Orchard St</v>
      </c>
      <c r="X4549" t="str">
        <f>IF(ISBLANK(S4549),"Intersection","Non-Intersection")</f>
        <v>Intersection</v>
      </c>
      <c r="Y4549" t="s">
        <v>5188</v>
      </c>
      <c r="Z4549" t="str">
        <f t="shared" si="1040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27"/>
        <v>40909</v>
      </c>
      <c r="D4550" s="4">
        <f t="shared" si="1028"/>
        <v>0.93442622950819676</v>
      </c>
      <c r="E4550" s="3">
        <f t="shared" si="1029"/>
        <v>2012</v>
      </c>
      <c r="F4550" s="3">
        <f t="shared" si="1030"/>
        <v>12</v>
      </c>
      <c r="G4550" s="3">
        <f t="shared" si="1031"/>
        <v>8</v>
      </c>
      <c r="H4550" s="3">
        <f t="shared" si="1032"/>
        <v>19</v>
      </c>
      <c r="I4550" s="3">
        <f t="shared" si="1033"/>
        <v>15</v>
      </c>
      <c r="J4550" s="3">
        <f t="shared" si="1034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035"/>
        <v>YES</v>
      </c>
      <c r="Q4550" t="str">
        <f t="shared" si="1036"/>
        <v>NO</v>
      </c>
      <c r="R4550" t="str">
        <f t="shared" si="1037"/>
        <v>YES</v>
      </c>
      <c r="T4550" t="s">
        <v>634</v>
      </c>
      <c r="U4550" t="str">
        <f t="shared" si="1038"/>
        <v>Chauncy St</v>
      </c>
      <c r="V4550" t="s">
        <v>185</v>
      </c>
      <c r="W4550" t="str">
        <f t="shared" si="1039"/>
        <v>Garden St</v>
      </c>
      <c r="X4550" t="str">
        <f>IF(ISBLANK(S4550),"Intersection","Non-Intersection")</f>
        <v>Intersection</v>
      </c>
      <c r="Y4550" t="s">
        <v>2004</v>
      </c>
      <c r="Z4550" t="str">
        <f t="shared" si="1040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27"/>
        <v>40909</v>
      </c>
      <c r="D4551" s="4">
        <f t="shared" si="1028"/>
        <v>0.93715846994535523</v>
      </c>
      <c r="E4551" s="3">
        <f t="shared" si="1029"/>
        <v>2012</v>
      </c>
      <c r="F4551" s="3">
        <f t="shared" si="1030"/>
        <v>12</v>
      </c>
      <c r="G4551" s="3">
        <f t="shared" si="1031"/>
        <v>9</v>
      </c>
      <c r="H4551" s="3">
        <f t="shared" si="1032"/>
        <v>12</v>
      </c>
      <c r="I4551" s="3">
        <f t="shared" si="1033"/>
        <v>0</v>
      </c>
      <c r="J4551" s="3">
        <f t="shared" si="1034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035"/>
        <v>YES</v>
      </c>
      <c r="Q4551" t="str">
        <f t="shared" si="1036"/>
        <v>NO</v>
      </c>
      <c r="R4551" t="str">
        <f t="shared" si="1037"/>
        <v>NO</v>
      </c>
      <c r="T4551" t="s">
        <v>198</v>
      </c>
      <c r="U4551" t="str">
        <f t="shared" si="1038"/>
        <v>Mount Auburn St</v>
      </c>
      <c r="W4551" t="str">
        <f t="shared" si="1039"/>
        <v/>
      </c>
      <c r="X4551" t="str">
        <f>IF(ISBLANK(S4551),"Intersection","Non-Intersection")</f>
        <v>Intersection</v>
      </c>
      <c r="Y4551" t="s">
        <v>441</v>
      </c>
      <c r="Z4551" t="str">
        <f t="shared" si="1040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27"/>
        <v>40909</v>
      </c>
      <c r="D4552" s="4">
        <f t="shared" si="1028"/>
        <v>0.93715846994535523</v>
      </c>
      <c r="E4552" s="3">
        <f t="shared" si="1029"/>
        <v>2012</v>
      </c>
      <c r="F4552" s="3">
        <f t="shared" si="1030"/>
        <v>12</v>
      </c>
      <c r="G4552" s="3">
        <f t="shared" si="1031"/>
        <v>9</v>
      </c>
      <c r="H4552" s="3">
        <f t="shared" si="1032"/>
        <v>2</v>
      </c>
      <c r="I4552" s="3">
        <f t="shared" si="1033"/>
        <v>17</v>
      </c>
      <c r="J4552" s="3">
        <f t="shared" si="1034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035"/>
        <v>YES</v>
      </c>
      <c r="Q4552" t="str">
        <f t="shared" si="1036"/>
        <v>NO</v>
      </c>
      <c r="R4552" t="str">
        <f t="shared" si="1037"/>
        <v>NO</v>
      </c>
      <c r="S4552">
        <v>402</v>
      </c>
      <c r="T4552" t="s">
        <v>14</v>
      </c>
      <c r="U4552" t="str">
        <f t="shared" si="1038"/>
        <v>Massachusetts Ave</v>
      </c>
      <c r="W4552" t="str">
        <f t="shared" si="1039"/>
        <v/>
      </c>
      <c r="X4552" t="str">
        <f>IF(ISBLANK(S4552),"Intersection","Non-Intersection")</f>
        <v>Non-Intersection</v>
      </c>
      <c r="Y4552" t="s">
        <v>5190</v>
      </c>
      <c r="Z4552" t="str">
        <f t="shared" si="1040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27"/>
        <v>40909</v>
      </c>
      <c r="D4553" s="4">
        <f t="shared" si="1028"/>
        <v>0.93715846994535523</v>
      </c>
      <c r="E4553" s="3">
        <f t="shared" si="1029"/>
        <v>2012</v>
      </c>
      <c r="F4553" s="3">
        <f t="shared" si="1030"/>
        <v>12</v>
      </c>
      <c r="G4553" s="3">
        <f t="shared" si="1031"/>
        <v>9</v>
      </c>
      <c r="H4553" s="3">
        <f t="shared" si="1032"/>
        <v>3</v>
      </c>
      <c r="I4553" s="3">
        <f t="shared" si="1033"/>
        <v>0</v>
      </c>
      <c r="J4553" s="3">
        <f t="shared" si="1034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035"/>
        <v>YES</v>
      </c>
      <c r="Q4553" t="str">
        <f t="shared" si="1036"/>
        <v>NO</v>
      </c>
      <c r="R4553" t="str">
        <f t="shared" si="1037"/>
        <v>NO</v>
      </c>
      <c r="S4553">
        <v>1815</v>
      </c>
      <c r="T4553" t="s">
        <v>14</v>
      </c>
      <c r="U4553" t="str">
        <f t="shared" si="1038"/>
        <v>Massachusetts Ave</v>
      </c>
      <c r="W4553" t="str">
        <f t="shared" si="1039"/>
        <v/>
      </c>
      <c r="X4553" t="str">
        <f>IF(ISBLANK(S4553),"Intersection","Non-Intersection")</f>
        <v>Non-Intersection</v>
      </c>
      <c r="Y4553" t="s">
        <v>2783</v>
      </c>
      <c r="Z4553" t="str">
        <f t="shared" si="1040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27"/>
        <v>40909</v>
      </c>
      <c r="D4554" s="4">
        <f t="shared" si="1028"/>
        <v>0.93715846994535523</v>
      </c>
      <c r="E4554" s="3">
        <f t="shared" si="1029"/>
        <v>2012</v>
      </c>
      <c r="F4554" s="3">
        <f t="shared" si="1030"/>
        <v>12</v>
      </c>
      <c r="G4554" s="3">
        <f t="shared" si="1031"/>
        <v>9</v>
      </c>
      <c r="H4554" s="3">
        <f t="shared" si="1032"/>
        <v>14</v>
      </c>
      <c r="I4554" s="3">
        <f t="shared" si="1033"/>
        <v>38</v>
      </c>
      <c r="J4554" s="3">
        <f t="shared" si="1034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035"/>
        <v>YES</v>
      </c>
      <c r="Q4554" t="str">
        <f t="shared" si="1036"/>
        <v>NO</v>
      </c>
      <c r="R4554" t="str">
        <f t="shared" si="1037"/>
        <v>NO</v>
      </c>
      <c r="T4554" t="s">
        <v>74</v>
      </c>
      <c r="U4554" t="str">
        <f t="shared" si="1038"/>
        <v>Hampshire St</v>
      </c>
      <c r="V4554" t="s">
        <v>104</v>
      </c>
      <c r="W4554" t="str">
        <f t="shared" si="1039"/>
        <v>Inman St</v>
      </c>
      <c r="X4554" t="str">
        <f>IF(ISBLANK(S4554),"Intersection","Non-Intersection")</f>
        <v>Intersection</v>
      </c>
      <c r="Y4554" t="s">
        <v>3593</v>
      </c>
      <c r="Z4554" t="str">
        <f t="shared" si="1040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27"/>
        <v>40909</v>
      </c>
      <c r="D4555" s="4">
        <f t="shared" si="1028"/>
        <v>0.93989071038251371</v>
      </c>
      <c r="E4555" s="3">
        <f t="shared" si="1029"/>
        <v>2012</v>
      </c>
      <c r="F4555" s="3">
        <f t="shared" si="1030"/>
        <v>12</v>
      </c>
      <c r="G4555" s="3">
        <f t="shared" si="1031"/>
        <v>10</v>
      </c>
      <c r="H4555" s="3">
        <f t="shared" si="1032"/>
        <v>3</v>
      </c>
      <c r="I4555" s="3">
        <f t="shared" si="1033"/>
        <v>0</v>
      </c>
      <c r="J4555" s="3">
        <f t="shared" si="1034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035"/>
        <v>YES</v>
      </c>
      <c r="Q4555" t="str">
        <f t="shared" si="1036"/>
        <v>NO</v>
      </c>
      <c r="R4555" t="str">
        <f t="shared" si="1037"/>
        <v>NO</v>
      </c>
      <c r="S4555">
        <v>5</v>
      </c>
      <c r="T4555" t="s">
        <v>27</v>
      </c>
      <c r="U4555" t="str">
        <f t="shared" si="1038"/>
        <v>Western Ave</v>
      </c>
      <c r="W4555" t="str">
        <f t="shared" si="1039"/>
        <v/>
      </c>
      <c r="X4555" t="str">
        <f>IF(ISBLANK(S4555),"Intersection","Non-Intersection")</f>
        <v>Non-Intersection</v>
      </c>
      <c r="Y4555" t="s">
        <v>5192</v>
      </c>
      <c r="Z4555" t="str">
        <f t="shared" si="1040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27"/>
        <v>40909</v>
      </c>
      <c r="D4556" s="4">
        <f t="shared" si="1028"/>
        <v>0.93989071038251371</v>
      </c>
      <c r="E4556" s="3">
        <f t="shared" si="1029"/>
        <v>2012</v>
      </c>
      <c r="F4556" s="3">
        <f t="shared" si="1030"/>
        <v>12</v>
      </c>
      <c r="G4556" s="3">
        <f t="shared" si="1031"/>
        <v>10</v>
      </c>
      <c r="H4556" s="3">
        <f t="shared" si="1032"/>
        <v>3</v>
      </c>
      <c r="I4556" s="3">
        <f t="shared" si="1033"/>
        <v>53</v>
      </c>
      <c r="J4556" s="3">
        <f t="shared" si="1034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035"/>
        <v>YES</v>
      </c>
      <c r="Q4556" t="str">
        <f t="shared" si="1036"/>
        <v>NO</v>
      </c>
      <c r="R4556" t="str">
        <f t="shared" si="1037"/>
        <v>NO</v>
      </c>
      <c r="T4556" t="s">
        <v>19</v>
      </c>
      <c r="U4556" t="str">
        <f t="shared" si="1038"/>
        <v>Cambridge St</v>
      </c>
      <c r="V4556" t="s">
        <v>342</v>
      </c>
      <c r="W4556" t="str">
        <f t="shared" si="1039"/>
        <v>Prospect St</v>
      </c>
      <c r="X4556" t="str">
        <f>IF(ISBLANK(S4556),"Intersection","Non-Intersection")</f>
        <v>Intersection</v>
      </c>
      <c r="Y4556" t="s">
        <v>821</v>
      </c>
      <c r="Z4556" t="str">
        <f t="shared" si="1040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27"/>
        <v>40909</v>
      </c>
      <c r="D4557" s="4">
        <f t="shared" si="1028"/>
        <v>0.93989071038251371</v>
      </c>
      <c r="E4557" s="3">
        <f t="shared" si="1029"/>
        <v>2012</v>
      </c>
      <c r="F4557" s="3">
        <f t="shared" si="1030"/>
        <v>12</v>
      </c>
      <c r="G4557" s="3">
        <f t="shared" si="1031"/>
        <v>10</v>
      </c>
      <c r="H4557" s="3">
        <f t="shared" si="1032"/>
        <v>9</v>
      </c>
      <c r="I4557" s="3">
        <f t="shared" si="1033"/>
        <v>30</v>
      </c>
      <c r="J4557" s="3">
        <f t="shared" si="1034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035"/>
        <v>YES</v>
      </c>
      <c r="Q4557" t="str">
        <f t="shared" si="1036"/>
        <v>YES</v>
      </c>
      <c r="R4557" t="str">
        <f t="shared" si="1037"/>
        <v>NO</v>
      </c>
      <c r="T4557" t="s">
        <v>32</v>
      </c>
      <c r="U4557" t="str">
        <f t="shared" si="1038"/>
        <v>Main St</v>
      </c>
      <c r="V4557" t="s">
        <v>79</v>
      </c>
      <c r="W4557" t="str">
        <f t="shared" si="1039"/>
        <v>Ames St</v>
      </c>
      <c r="X4557" t="str">
        <f>IF(ISBLANK(S4557),"Intersection","Non-Intersection")</f>
        <v>Intersection</v>
      </c>
      <c r="Y4557" t="s">
        <v>4050</v>
      </c>
      <c r="Z4557" t="str">
        <f t="shared" si="1040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27"/>
        <v>40909</v>
      </c>
      <c r="D4558" s="4">
        <f t="shared" si="1028"/>
        <v>0.93989071038251371</v>
      </c>
      <c r="E4558" s="3">
        <f t="shared" si="1029"/>
        <v>2012</v>
      </c>
      <c r="F4558" s="3">
        <f t="shared" si="1030"/>
        <v>12</v>
      </c>
      <c r="G4558" s="3">
        <f t="shared" si="1031"/>
        <v>10</v>
      </c>
      <c r="H4558" s="3">
        <f t="shared" si="1032"/>
        <v>12</v>
      </c>
      <c r="I4558" s="3">
        <f t="shared" si="1033"/>
        <v>0</v>
      </c>
      <c r="J4558" s="3">
        <f t="shared" si="1034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035"/>
        <v>YES</v>
      </c>
      <c r="Q4558" t="str">
        <f t="shared" si="1036"/>
        <v>NO</v>
      </c>
      <c r="R4558" t="str">
        <f t="shared" si="1037"/>
        <v>NO</v>
      </c>
      <c r="T4558" t="s">
        <v>186</v>
      </c>
      <c r="U4558" t="str">
        <f t="shared" si="1038"/>
        <v>Concord Ave</v>
      </c>
      <c r="V4558" t="s">
        <v>92</v>
      </c>
      <c r="W4558" t="str">
        <f t="shared" si="1039"/>
        <v>Wheeler St</v>
      </c>
      <c r="X4558" t="str">
        <f>IF(ISBLANK(S4558),"Intersection","Non-Intersection")</f>
        <v>Intersection</v>
      </c>
      <c r="Y4558" t="s">
        <v>1072</v>
      </c>
      <c r="Z4558" t="str">
        <f t="shared" si="1040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27"/>
        <v>40909</v>
      </c>
      <c r="D4559" s="4">
        <f t="shared" si="1028"/>
        <v>0.93989071038251371</v>
      </c>
      <c r="E4559" s="3">
        <f t="shared" si="1029"/>
        <v>2012</v>
      </c>
      <c r="F4559" s="3">
        <f t="shared" si="1030"/>
        <v>12</v>
      </c>
      <c r="G4559" s="3">
        <f t="shared" si="1031"/>
        <v>10</v>
      </c>
      <c r="H4559" s="3">
        <f t="shared" si="1032"/>
        <v>15</v>
      </c>
      <c r="I4559" s="3">
        <f t="shared" si="1033"/>
        <v>36</v>
      </c>
      <c r="J4559" s="3">
        <f t="shared" si="1034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035"/>
        <v>YES</v>
      </c>
      <c r="Q4559" t="str">
        <f t="shared" si="1036"/>
        <v>YES</v>
      </c>
      <c r="R4559" t="str">
        <f t="shared" si="1037"/>
        <v>NO</v>
      </c>
      <c r="S4559">
        <v>6</v>
      </c>
      <c r="T4559" t="s">
        <v>186</v>
      </c>
      <c r="U4559" t="str">
        <f t="shared" si="1038"/>
        <v>Concord Ave</v>
      </c>
      <c r="W4559" t="str">
        <f t="shared" si="1039"/>
        <v/>
      </c>
      <c r="X4559" t="str">
        <f>IF(ISBLANK(S4559),"Intersection","Non-Intersection")</f>
        <v>Non-Intersection</v>
      </c>
      <c r="Y4559" t="s">
        <v>5194</v>
      </c>
      <c r="Z4559" t="str">
        <f t="shared" si="1040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27"/>
        <v>40909</v>
      </c>
      <c r="D4560" s="4">
        <f t="shared" si="1028"/>
        <v>0.94262295081967218</v>
      </c>
      <c r="E4560" s="3">
        <f t="shared" si="1029"/>
        <v>2012</v>
      </c>
      <c r="F4560" s="3">
        <f t="shared" si="1030"/>
        <v>12</v>
      </c>
      <c r="G4560" s="3">
        <f t="shared" si="1031"/>
        <v>11</v>
      </c>
      <c r="H4560" s="3">
        <f t="shared" si="1032"/>
        <v>8</v>
      </c>
      <c r="I4560" s="3">
        <f t="shared" si="1033"/>
        <v>29</v>
      </c>
      <c r="J4560" s="3">
        <f t="shared" si="1034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035"/>
        <v>YES</v>
      </c>
      <c r="Q4560" t="str">
        <f t="shared" si="1036"/>
        <v>NO</v>
      </c>
      <c r="R4560" t="str">
        <f t="shared" si="1037"/>
        <v>NO</v>
      </c>
      <c r="T4560" t="s">
        <v>105</v>
      </c>
      <c r="U4560" t="str">
        <f t="shared" si="1038"/>
        <v>Broadway</v>
      </c>
      <c r="W4560" t="str">
        <f t="shared" si="1039"/>
        <v/>
      </c>
      <c r="X4560" t="str">
        <f>IF(ISBLANK(S4560),"Intersection","Non-Intersection")</f>
        <v>Intersection</v>
      </c>
      <c r="Y4560" t="s">
        <v>974</v>
      </c>
      <c r="Z4560" t="str">
        <f t="shared" si="1040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27"/>
        <v>40909</v>
      </c>
      <c r="D4561" s="4">
        <f t="shared" si="1028"/>
        <v>0.94262295081967218</v>
      </c>
      <c r="E4561" s="3">
        <f t="shared" si="1029"/>
        <v>2012</v>
      </c>
      <c r="F4561" s="3">
        <f t="shared" si="1030"/>
        <v>12</v>
      </c>
      <c r="G4561" s="3">
        <f t="shared" si="1031"/>
        <v>11</v>
      </c>
      <c r="H4561" s="3">
        <f t="shared" si="1032"/>
        <v>8</v>
      </c>
      <c r="I4561" s="3">
        <f t="shared" si="1033"/>
        <v>46</v>
      </c>
      <c r="J4561" s="3">
        <f t="shared" si="1034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035"/>
        <v>YES</v>
      </c>
      <c r="Q4561" t="str">
        <f t="shared" si="1036"/>
        <v>NO</v>
      </c>
      <c r="R4561" t="str">
        <f t="shared" si="1037"/>
        <v>NO</v>
      </c>
      <c r="S4561">
        <v>153</v>
      </c>
      <c r="T4561" t="s">
        <v>198</v>
      </c>
      <c r="U4561" t="str">
        <f t="shared" si="1038"/>
        <v>Mount Auburn St</v>
      </c>
      <c r="W4561" t="str">
        <f t="shared" si="1039"/>
        <v/>
      </c>
      <c r="X4561" t="str">
        <f>IF(ISBLANK(S4561),"Intersection","Non-Intersection")</f>
        <v>Non-Intersection</v>
      </c>
      <c r="Y4561" t="s">
        <v>5196</v>
      </c>
      <c r="Z4561" t="str">
        <f t="shared" si="1040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27"/>
        <v>40909</v>
      </c>
      <c r="D4562" s="4">
        <f t="shared" si="1028"/>
        <v>0.94262295081967218</v>
      </c>
      <c r="E4562" s="3">
        <f t="shared" si="1029"/>
        <v>2012</v>
      </c>
      <c r="F4562" s="3">
        <f t="shared" si="1030"/>
        <v>12</v>
      </c>
      <c r="G4562" s="3">
        <f t="shared" si="1031"/>
        <v>11</v>
      </c>
      <c r="H4562" s="3">
        <f t="shared" si="1032"/>
        <v>9</v>
      </c>
      <c r="I4562" s="3">
        <f t="shared" si="1033"/>
        <v>0</v>
      </c>
      <c r="J4562" s="3">
        <f t="shared" si="1034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035"/>
        <v>YES</v>
      </c>
      <c r="Q4562" t="str">
        <f t="shared" si="1036"/>
        <v>NO</v>
      </c>
      <c r="R4562" t="str">
        <f t="shared" si="1037"/>
        <v>NO</v>
      </c>
      <c r="T4562" t="s">
        <v>3385</v>
      </c>
      <c r="U4562" t="str">
        <f t="shared" si="1038"/>
        <v>Seventh St</v>
      </c>
      <c r="V4562" t="s">
        <v>698</v>
      </c>
      <c r="W4562" t="str">
        <f t="shared" si="1039"/>
        <v>Thorndike St</v>
      </c>
      <c r="X4562" t="str">
        <f>IF(ISBLANK(S4562),"Intersection","Non-Intersection")</f>
        <v>Intersection</v>
      </c>
      <c r="Y4562" t="s">
        <v>4294</v>
      </c>
      <c r="Z4562" t="str">
        <f t="shared" si="1040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27"/>
        <v>40909</v>
      </c>
      <c r="D4563" s="4">
        <f t="shared" si="1028"/>
        <v>0.94262295081967218</v>
      </c>
      <c r="E4563" s="3">
        <f t="shared" si="1029"/>
        <v>2012</v>
      </c>
      <c r="F4563" s="3">
        <f t="shared" si="1030"/>
        <v>12</v>
      </c>
      <c r="G4563" s="3">
        <f t="shared" si="1031"/>
        <v>11</v>
      </c>
      <c r="H4563" s="3">
        <f t="shared" si="1032"/>
        <v>17</v>
      </c>
      <c r="I4563" s="3">
        <f t="shared" si="1033"/>
        <v>29</v>
      </c>
      <c r="J4563" s="3">
        <f t="shared" si="1034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035"/>
        <v>YES</v>
      </c>
      <c r="Q4563" t="str">
        <f t="shared" si="1036"/>
        <v>NO</v>
      </c>
      <c r="R4563" t="str">
        <f t="shared" si="1037"/>
        <v>NO</v>
      </c>
      <c r="S4563">
        <v>20</v>
      </c>
      <c r="T4563" t="s">
        <v>195</v>
      </c>
      <c r="U4563" t="str">
        <f t="shared" si="1038"/>
        <v>Sidney St</v>
      </c>
      <c r="W4563" t="str">
        <f t="shared" si="1039"/>
        <v/>
      </c>
      <c r="X4563" t="str">
        <f>IF(ISBLANK(S4563),"Intersection","Non-Intersection")</f>
        <v>Non-Intersection</v>
      </c>
      <c r="Y4563" t="s">
        <v>5198</v>
      </c>
      <c r="Z4563" t="str">
        <f t="shared" si="1040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27"/>
        <v>40909</v>
      </c>
      <c r="D4564" s="4">
        <f t="shared" si="1028"/>
        <v>0.94535519125683065</v>
      </c>
      <c r="E4564" s="3">
        <f t="shared" si="1029"/>
        <v>2012</v>
      </c>
      <c r="F4564" s="3">
        <f t="shared" si="1030"/>
        <v>12</v>
      </c>
      <c r="G4564" s="3">
        <f t="shared" si="1031"/>
        <v>12</v>
      </c>
      <c r="H4564" s="3">
        <f t="shared" si="1032"/>
        <v>7</v>
      </c>
      <c r="I4564" s="3">
        <f t="shared" si="1033"/>
        <v>19</v>
      </c>
      <c r="J4564" s="3">
        <f t="shared" si="1034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035"/>
        <v>YES</v>
      </c>
      <c r="Q4564" t="str">
        <f t="shared" si="1036"/>
        <v>NO</v>
      </c>
      <c r="R4564" t="str">
        <f t="shared" si="1037"/>
        <v>NO</v>
      </c>
      <c r="S4564">
        <v>13</v>
      </c>
      <c r="T4564" t="s">
        <v>1389</v>
      </c>
      <c r="U4564" t="str">
        <f t="shared" si="1038"/>
        <v>Dover St</v>
      </c>
      <c r="W4564" t="str">
        <f t="shared" si="1039"/>
        <v/>
      </c>
      <c r="X4564" t="str">
        <f>IF(ISBLANK(S4564),"Intersection","Non-Intersection")</f>
        <v>Non-Intersection</v>
      </c>
      <c r="Y4564" t="s">
        <v>5200</v>
      </c>
      <c r="Z4564" t="str">
        <f t="shared" si="1040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27"/>
        <v>40909</v>
      </c>
      <c r="D4565" s="4">
        <f t="shared" si="1028"/>
        <v>0.94535519125683065</v>
      </c>
      <c r="E4565" s="3">
        <f t="shared" si="1029"/>
        <v>2012</v>
      </c>
      <c r="F4565" s="3">
        <f t="shared" si="1030"/>
        <v>12</v>
      </c>
      <c r="G4565" s="3">
        <f t="shared" si="1031"/>
        <v>12</v>
      </c>
      <c r="H4565" s="3">
        <f t="shared" si="1032"/>
        <v>14</v>
      </c>
      <c r="I4565" s="3">
        <f t="shared" si="1033"/>
        <v>0</v>
      </c>
      <c r="J4565" s="3">
        <f t="shared" si="1034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035"/>
        <v>YES</v>
      </c>
      <c r="Q4565" t="str">
        <f t="shared" si="1036"/>
        <v>NO</v>
      </c>
      <c r="R4565" t="str">
        <f t="shared" si="1037"/>
        <v>NO</v>
      </c>
      <c r="T4565" t="s">
        <v>41</v>
      </c>
      <c r="U4565" t="str">
        <f t="shared" si="1038"/>
        <v>River St</v>
      </c>
      <c r="V4565" t="s">
        <v>757</v>
      </c>
      <c r="W4565" t="str">
        <f t="shared" si="1039"/>
        <v>Blackstone St</v>
      </c>
      <c r="X4565" t="str">
        <f>IF(ISBLANK(S4565),"Intersection","Non-Intersection")</f>
        <v>Intersection</v>
      </c>
      <c r="Y4565" t="s">
        <v>758</v>
      </c>
      <c r="Z4565" t="str">
        <f t="shared" si="1040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27"/>
        <v>40909</v>
      </c>
      <c r="D4566" s="4">
        <f t="shared" si="1028"/>
        <v>0.94535519125683065</v>
      </c>
      <c r="E4566" s="3">
        <f t="shared" si="1029"/>
        <v>2012</v>
      </c>
      <c r="F4566" s="3">
        <f t="shared" si="1030"/>
        <v>12</v>
      </c>
      <c r="G4566" s="3">
        <f t="shared" si="1031"/>
        <v>12</v>
      </c>
      <c r="H4566" s="3">
        <f t="shared" si="1032"/>
        <v>17</v>
      </c>
      <c r="I4566" s="3">
        <f t="shared" si="1033"/>
        <v>32</v>
      </c>
      <c r="J4566" s="3">
        <f t="shared" si="1034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035"/>
        <v>YES</v>
      </c>
      <c r="Q4566" t="str">
        <f t="shared" si="1036"/>
        <v>YES</v>
      </c>
      <c r="R4566" t="str">
        <f t="shared" si="1037"/>
        <v>NO</v>
      </c>
      <c r="S4566">
        <v>229</v>
      </c>
      <c r="T4566" t="s">
        <v>202</v>
      </c>
      <c r="U4566" t="str">
        <f t="shared" si="1038"/>
        <v>Vassar St</v>
      </c>
      <c r="W4566" t="str">
        <f t="shared" si="1039"/>
        <v/>
      </c>
      <c r="X4566" t="str">
        <f>IF(ISBLANK(S4566),"Intersection","Non-Intersection")</f>
        <v>Non-Intersection</v>
      </c>
      <c r="Y4566" t="s">
        <v>5202</v>
      </c>
      <c r="Z4566" t="str">
        <f t="shared" si="1040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27"/>
        <v>40909</v>
      </c>
      <c r="D4567" s="4">
        <f t="shared" si="1028"/>
        <v>0.94535519125683065</v>
      </c>
      <c r="E4567" s="3">
        <f t="shared" si="1029"/>
        <v>2012</v>
      </c>
      <c r="F4567" s="3">
        <f t="shared" si="1030"/>
        <v>12</v>
      </c>
      <c r="G4567" s="3">
        <f t="shared" si="1031"/>
        <v>12</v>
      </c>
      <c r="H4567" s="3">
        <f t="shared" si="1032"/>
        <v>22</v>
      </c>
      <c r="I4567" s="3">
        <f t="shared" si="1033"/>
        <v>34</v>
      </c>
      <c r="J4567" s="3">
        <f t="shared" si="1034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035"/>
        <v>YES</v>
      </c>
      <c r="Q4567" t="str">
        <f t="shared" si="1036"/>
        <v>NO</v>
      </c>
      <c r="R4567" t="str">
        <f t="shared" si="1037"/>
        <v>NO</v>
      </c>
      <c r="T4567" t="s">
        <v>105</v>
      </c>
      <c r="U4567" t="str">
        <f t="shared" si="1038"/>
        <v>Broadway</v>
      </c>
      <c r="V4567" t="s">
        <v>79</v>
      </c>
      <c r="W4567" t="str">
        <f t="shared" si="1039"/>
        <v>Ames St</v>
      </c>
      <c r="X4567" t="str">
        <f>IF(ISBLANK(S4567),"Intersection","Non-Intersection")</f>
        <v>Intersection</v>
      </c>
      <c r="Y4567" t="s">
        <v>1346</v>
      </c>
      <c r="Z4567" t="str">
        <f t="shared" si="1040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27"/>
        <v>40909</v>
      </c>
      <c r="D4568" s="4">
        <f t="shared" si="1028"/>
        <v>0.94535519125683065</v>
      </c>
      <c r="E4568" s="3">
        <f t="shared" si="1029"/>
        <v>2012</v>
      </c>
      <c r="F4568" s="3">
        <f t="shared" si="1030"/>
        <v>12</v>
      </c>
      <c r="G4568" s="3">
        <f t="shared" si="1031"/>
        <v>12</v>
      </c>
      <c r="H4568" s="3">
        <f t="shared" si="1032"/>
        <v>23</v>
      </c>
      <c r="I4568" s="3">
        <f t="shared" si="1033"/>
        <v>4</v>
      </c>
      <c r="J4568" s="3">
        <f t="shared" si="1034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035"/>
        <v>YES</v>
      </c>
      <c r="Q4568" t="str">
        <f t="shared" si="1036"/>
        <v>NO</v>
      </c>
      <c r="R4568" t="str">
        <f t="shared" si="1037"/>
        <v>NO</v>
      </c>
      <c r="T4568" t="s">
        <v>14</v>
      </c>
      <c r="U4568" t="str">
        <f t="shared" si="1038"/>
        <v>Massachusetts Ave</v>
      </c>
      <c r="V4568" t="s">
        <v>195</v>
      </c>
      <c r="W4568" t="str">
        <f t="shared" si="1039"/>
        <v>Sidney St</v>
      </c>
      <c r="X4568" t="str">
        <f>IF(ISBLANK(S4568),"Intersection","Non-Intersection")</f>
        <v>Intersection</v>
      </c>
      <c r="Y4568" t="s">
        <v>196</v>
      </c>
      <c r="Z4568" t="str">
        <f t="shared" si="1040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27"/>
        <v>40909</v>
      </c>
      <c r="D4569" s="4">
        <f t="shared" si="1028"/>
        <v>0.94808743169398912</v>
      </c>
      <c r="E4569" s="3">
        <f t="shared" si="1029"/>
        <v>2012</v>
      </c>
      <c r="F4569" s="3">
        <f t="shared" si="1030"/>
        <v>12</v>
      </c>
      <c r="G4569" s="3">
        <f t="shared" si="1031"/>
        <v>13</v>
      </c>
      <c r="H4569" s="3">
        <f t="shared" si="1032"/>
        <v>12</v>
      </c>
      <c r="I4569" s="3">
        <f t="shared" si="1033"/>
        <v>59</v>
      </c>
      <c r="J4569" s="3">
        <f t="shared" si="1034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035"/>
        <v>YES</v>
      </c>
      <c r="Q4569" t="str">
        <f t="shared" si="1036"/>
        <v>NO</v>
      </c>
      <c r="R4569" t="str">
        <f t="shared" si="1037"/>
        <v>NO</v>
      </c>
      <c r="T4569" t="s">
        <v>316</v>
      </c>
      <c r="U4569" t="str">
        <f t="shared" si="1038"/>
        <v>Bishop Allen Dr</v>
      </c>
      <c r="W4569" t="str">
        <f t="shared" si="1039"/>
        <v/>
      </c>
      <c r="X4569" t="str">
        <f>IF(ISBLANK(S4569),"Intersection","Non-Intersection")</f>
        <v>Intersection</v>
      </c>
      <c r="Y4569" t="s">
        <v>1374</v>
      </c>
      <c r="Z4569" t="str">
        <f t="shared" si="1040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27"/>
        <v>40909</v>
      </c>
      <c r="D4570" s="4">
        <f t="shared" si="1028"/>
        <v>0.95081967213114749</v>
      </c>
      <c r="E4570" s="3">
        <f t="shared" si="1029"/>
        <v>2012</v>
      </c>
      <c r="F4570" s="3">
        <f t="shared" si="1030"/>
        <v>12</v>
      </c>
      <c r="G4570" s="3">
        <f t="shared" si="1031"/>
        <v>14</v>
      </c>
      <c r="H4570" s="3">
        <f t="shared" si="1032"/>
        <v>0</v>
      </c>
      <c r="I4570" s="3">
        <f t="shared" si="1033"/>
        <v>43</v>
      </c>
      <c r="J4570" s="3">
        <f t="shared" si="1034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035"/>
        <v>YES</v>
      </c>
      <c r="Q4570" t="str">
        <f t="shared" si="1036"/>
        <v>NO</v>
      </c>
      <c r="R4570" t="str">
        <f t="shared" si="1037"/>
        <v>NO</v>
      </c>
      <c r="S4570">
        <v>1868</v>
      </c>
      <c r="T4570" t="s">
        <v>14</v>
      </c>
      <c r="U4570" t="str">
        <f t="shared" si="1038"/>
        <v>Massachusetts Ave</v>
      </c>
      <c r="W4570" t="str">
        <f t="shared" si="1039"/>
        <v/>
      </c>
      <c r="X4570" t="str">
        <f>IF(ISBLANK(S4570),"Intersection","Non-Intersection")</f>
        <v>Non-Intersection</v>
      </c>
      <c r="Y4570" t="s">
        <v>1937</v>
      </c>
      <c r="Z4570" t="str">
        <f t="shared" si="1040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27"/>
        <v>40909</v>
      </c>
      <c r="D4571" s="4">
        <f t="shared" si="1028"/>
        <v>0.95081967213114749</v>
      </c>
      <c r="E4571" s="3">
        <f t="shared" si="1029"/>
        <v>2012</v>
      </c>
      <c r="F4571" s="3">
        <f t="shared" si="1030"/>
        <v>12</v>
      </c>
      <c r="G4571" s="3">
        <f t="shared" si="1031"/>
        <v>14</v>
      </c>
      <c r="H4571" s="3">
        <f t="shared" si="1032"/>
        <v>15</v>
      </c>
      <c r="I4571" s="3">
        <f t="shared" si="1033"/>
        <v>43</v>
      </c>
      <c r="J4571" s="3">
        <f t="shared" si="1034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035"/>
        <v>YES</v>
      </c>
      <c r="Q4571" t="str">
        <f t="shared" si="1036"/>
        <v>NO</v>
      </c>
      <c r="R4571" t="str">
        <f t="shared" si="1037"/>
        <v>NO</v>
      </c>
      <c r="S4571">
        <v>2240</v>
      </c>
      <c r="T4571" t="s">
        <v>14</v>
      </c>
      <c r="U4571" t="str">
        <f t="shared" si="1038"/>
        <v>Massachusetts Ave</v>
      </c>
      <c r="W4571" t="str">
        <f t="shared" si="1039"/>
        <v/>
      </c>
      <c r="X4571" t="str">
        <f>IF(ISBLANK(S4571),"Intersection","Non-Intersection")</f>
        <v>Non-Intersection</v>
      </c>
      <c r="Y4571" t="s">
        <v>5204</v>
      </c>
      <c r="Z4571" t="str">
        <f t="shared" si="1040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27"/>
        <v>40909</v>
      </c>
      <c r="D4572" s="4">
        <f t="shared" si="1028"/>
        <v>0.95081967213114749</v>
      </c>
      <c r="E4572" s="3">
        <f t="shared" si="1029"/>
        <v>2012</v>
      </c>
      <c r="F4572" s="3">
        <f t="shared" si="1030"/>
        <v>12</v>
      </c>
      <c r="G4572" s="3">
        <f t="shared" si="1031"/>
        <v>14</v>
      </c>
      <c r="H4572" s="3">
        <f t="shared" si="1032"/>
        <v>20</v>
      </c>
      <c r="I4572" s="3">
        <f t="shared" si="1033"/>
        <v>0</v>
      </c>
      <c r="J4572" s="3">
        <f t="shared" si="1034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035"/>
        <v>YES</v>
      </c>
      <c r="Q4572" t="str">
        <f t="shared" si="1036"/>
        <v>NO</v>
      </c>
      <c r="R4572" t="str">
        <f t="shared" si="1037"/>
        <v>NO</v>
      </c>
      <c r="S4572">
        <v>460</v>
      </c>
      <c r="T4572" t="s">
        <v>105</v>
      </c>
      <c r="U4572" t="str">
        <f t="shared" si="1038"/>
        <v>Broadway</v>
      </c>
      <c r="W4572" t="str">
        <f t="shared" si="1039"/>
        <v/>
      </c>
      <c r="X4572" t="str">
        <f>IF(ISBLANK(S4572),"Intersection","Non-Intersection")</f>
        <v>Non-Intersection</v>
      </c>
      <c r="Y4572" t="s">
        <v>5206</v>
      </c>
      <c r="Z4572" t="str">
        <f t="shared" si="1040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27"/>
        <v>40909</v>
      </c>
      <c r="D4573" s="4">
        <f t="shared" si="1028"/>
        <v>0.95081967213114749</v>
      </c>
      <c r="E4573" s="3">
        <f t="shared" si="1029"/>
        <v>2012</v>
      </c>
      <c r="F4573" s="3">
        <f t="shared" si="1030"/>
        <v>12</v>
      </c>
      <c r="G4573" s="3">
        <f t="shared" si="1031"/>
        <v>14</v>
      </c>
      <c r="H4573" s="3">
        <f t="shared" si="1032"/>
        <v>16</v>
      </c>
      <c r="I4573" s="3">
        <f t="shared" si="1033"/>
        <v>38</v>
      </c>
      <c r="J4573" s="3">
        <f t="shared" si="1034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035"/>
        <v>YES</v>
      </c>
      <c r="Q4573" t="str">
        <f t="shared" si="1036"/>
        <v>NO</v>
      </c>
      <c r="R4573" t="str">
        <f t="shared" si="1037"/>
        <v>NO</v>
      </c>
      <c r="S4573">
        <v>43</v>
      </c>
      <c r="T4573" t="s">
        <v>2650</v>
      </c>
      <c r="U4573" t="str">
        <f t="shared" si="1038"/>
        <v>Royal Ave</v>
      </c>
      <c r="W4573" t="str">
        <f t="shared" si="1039"/>
        <v/>
      </c>
      <c r="X4573" t="str">
        <f>IF(ISBLANK(S4573),"Intersection","Non-Intersection")</f>
        <v>Non-Intersection</v>
      </c>
      <c r="Y4573" t="s">
        <v>5208</v>
      </c>
      <c r="Z4573" t="str">
        <f t="shared" si="1040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27"/>
        <v>40909</v>
      </c>
      <c r="D4574" s="4">
        <f t="shared" si="1028"/>
        <v>0.95081967213114749</v>
      </c>
      <c r="E4574" s="3">
        <f t="shared" si="1029"/>
        <v>2012</v>
      </c>
      <c r="F4574" s="3">
        <f t="shared" si="1030"/>
        <v>12</v>
      </c>
      <c r="G4574" s="3">
        <f t="shared" si="1031"/>
        <v>14</v>
      </c>
      <c r="H4574" s="3">
        <f t="shared" si="1032"/>
        <v>23</v>
      </c>
      <c r="I4574" s="3">
        <f t="shared" si="1033"/>
        <v>16</v>
      </c>
      <c r="J4574" s="3">
        <f t="shared" si="1034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035"/>
        <v>YES</v>
      </c>
      <c r="Q4574" t="str">
        <f t="shared" si="1036"/>
        <v>NO</v>
      </c>
      <c r="R4574" t="str">
        <f t="shared" si="1037"/>
        <v>NO</v>
      </c>
      <c r="T4574" t="s">
        <v>19</v>
      </c>
      <c r="U4574" t="str">
        <f t="shared" si="1038"/>
        <v>Cambridge St</v>
      </c>
      <c r="V4574" t="s">
        <v>918</v>
      </c>
      <c r="W4574" t="str">
        <f t="shared" si="1039"/>
        <v>Camelia Ave</v>
      </c>
      <c r="X4574" t="str">
        <f>IF(ISBLANK(S4574),"Intersection","Non-Intersection")</f>
        <v>Intersection</v>
      </c>
      <c r="Y4574" t="s">
        <v>919</v>
      </c>
      <c r="Z4574" t="str">
        <f t="shared" si="1040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27"/>
        <v>40909</v>
      </c>
      <c r="D4575" s="4">
        <f t="shared" si="1028"/>
        <v>0.95081967213114749</v>
      </c>
      <c r="E4575" s="3">
        <f t="shared" si="1029"/>
        <v>2012</v>
      </c>
      <c r="F4575" s="3">
        <f t="shared" si="1030"/>
        <v>12</v>
      </c>
      <c r="G4575" s="3">
        <f t="shared" si="1031"/>
        <v>14</v>
      </c>
      <c r="H4575" s="3">
        <f t="shared" si="1032"/>
        <v>9</v>
      </c>
      <c r="I4575" s="3">
        <f t="shared" si="1033"/>
        <v>0</v>
      </c>
      <c r="J4575" s="3">
        <f t="shared" si="1034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035"/>
        <v>YES</v>
      </c>
      <c r="Q4575" t="str">
        <f t="shared" si="1036"/>
        <v>NO</v>
      </c>
      <c r="R4575" t="str">
        <f t="shared" si="1037"/>
        <v>NO</v>
      </c>
      <c r="S4575">
        <v>158</v>
      </c>
      <c r="T4575" t="s">
        <v>261</v>
      </c>
      <c r="U4575" t="str">
        <f t="shared" si="1038"/>
        <v>Otis St</v>
      </c>
      <c r="W4575" t="str">
        <f t="shared" si="1039"/>
        <v/>
      </c>
      <c r="X4575" t="str">
        <f>IF(ISBLANK(S4575),"Intersection","Non-Intersection")</f>
        <v>Non-Intersection</v>
      </c>
      <c r="Y4575" t="s">
        <v>5210</v>
      </c>
      <c r="Z4575" t="str">
        <f t="shared" si="1040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27"/>
        <v>40909</v>
      </c>
      <c r="D4576" s="4">
        <f t="shared" si="1028"/>
        <v>0.95081967213114749</v>
      </c>
      <c r="E4576" s="3">
        <f t="shared" si="1029"/>
        <v>2012</v>
      </c>
      <c r="F4576" s="3">
        <f t="shared" si="1030"/>
        <v>12</v>
      </c>
      <c r="G4576" s="3">
        <f t="shared" si="1031"/>
        <v>14</v>
      </c>
      <c r="H4576" s="3">
        <f t="shared" si="1032"/>
        <v>23</v>
      </c>
      <c r="I4576" s="3">
        <f t="shared" si="1033"/>
        <v>0</v>
      </c>
      <c r="J4576" s="3">
        <f t="shared" si="1034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035"/>
        <v>YES</v>
      </c>
      <c r="Q4576" t="str">
        <f t="shared" si="1036"/>
        <v>NO</v>
      </c>
      <c r="R4576" t="str">
        <f t="shared" si="1037"/>
        <v>NO</v>
      </c>
      <c r="S4576">
        <v>211</v>
      </c>
      <c r="T4576" t="s">
        <v>5212</v>
      </c>
      <c r="U4576" t="str">
        <f t="shared" si="1038"/>
        <v>Concord Tpke</v>
      </c>
      <c r="W4576" t="str">
        <f t="shared" si="1039"/>
        <v/>
      </c>
      <c r="X4576" t="str">
        <f>IF(ISBLANK(S4576),"Intersection","Non-Intersection")</f>
        <v>Non-Intersection</v>
      </c>
      <c r="Y4576" t="s">
        <v>5213</v>
      </c>
      <c r="Z4576" t="str">
        <f t="shared" si="1040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27"/>
        <v>40909</v>
      </c>
      <c r="D4577" s="4">
        <f t="shared" si="1028"/>
        <v>0.95628415300546443</v>
      </c>
      <c r="E4577" s="3">
        <f t="shared" si="1029"/>
        <v>2012</v>
      </c>
      <c r="F4577" s="3">
        <f t="shared" si="1030"/>
        <v>12</v>
      </c>
      <c r="G4577" s="3">
        <f t="shared" si="1031"/>
        <v>16</v>
      </c>
      <c r="H4577" s="3">
        <f t="shared" si="1032"/>
        <v>19</v>
      </c>
      <c r="I4577" s="3">
        <f t="shared" si="1033"/>
        <v>5</v>
      </c>
      <c r="J4577" s="3">
        <f t="shared" si="1034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035"/>
        <v>YES</v>
      </c>
      <c r="Q4577" t="str">
        <f t="shared" si="1036"/>
        <v>NO</v>
      </c>
      <c r="R4577" t="str">
        <f t="shared" si="1037"/>
        <v>NO</v>
      </c>
      <c r="T4577" t="s">
        <v>101</v>
      </c>
      <c r="U4577" t="str">
        <f t="shared" si="1038"/>
        <v>Columbia St</v>
      </c>
      <c r="V4577" t="s">
        <v>342</v>
      </c>
      <c r="W4577" t="str">
        <f t="shared" si="1039"/>
        <v>Prospect St</v>
      </c>
      <c r="X4577" t="str">
        <f>IF(ISBLANK(S4577),"Intersection","Non-Intersection")</f>
        <v>Intersection</v>
      </c>
      <c r="Y4577" t="s">
        <v>5215</v>
      </c>
      <c r="Z4577" t="str">
        <f t="shared" si="1040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27"/>
        <v>40909</v>
      </c>
      <c r="D4578" s="4">
        <f t="shared" si="1028"/>
        <v>0.95628415300546443</v>
      </c>
      <c r="E4578" s="3">
        <f t="shared" si="1029"/>
        <v>2012</v>
      </c>
      <c r="F4578" s="3">
        <f t="shared" si="1030"/>
        <v>12</v>
      </c>
      <c r="G4578" s="3">
        <f t="shared" si="1031"/>
        <v>16</v>
      </c>
      <c r="H4578" s="3">
        <f t="shared" si="1032"/>
        <v>15</v>
      </c>
      <c r="I4578" s="3">
        <f t="shared" si="1033"/>
        <v>0</v>
      </c>
      <c r="J4578" s="3">
        <f t="shared" si="1034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035"/>
        <v>YES</v>
      </c>
      <c r="Q4578" t="str">
        <f t="shared" si="1036"/>
        <v>NO</v>
      </c>
      <c r="R4578" t="str">
        <f t="shared" si="1037"/>
        <v>NO</v>
      </c>
      <c r="T4578" t="s">
        <v>4108</v>
      </c>
      <c r="U4578" t="str">
        <f t="shared" si="1038"/>
        <v>Avon St</v>
      </c>
      <c r="W4578" t="str">
        <f t="shared" si="1039"/>
        <v/>
      </c>
      <c r="X4578" t="str">
        <f>IF(ISBLANK(S4578),"Intersection","Non-Intersection")</f>
        <v>Intersection</v>
      </c>
      <c r="Y4578" t="s">
        <v>5216</v>
      </c>
      <c r="Z4578" t="str">
        <f t="shared" si="1040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27"/>
        <v>40909</v>
      </c>
      <c r="D4579" s="4">
        <f t="shared" si="1028"/>
        <v>0.95901639344262291</v>
      </c>
      <c r="E4579" s="3">
        <f t="shared" si="1029"/>
        <v>2012</v>
      </c>
      <c r="F4579" s="3">
        <f t="shared" si="1030"/>
        <v>12</v>
      </c>
      <c r="G4579" s="3">
        <f t="shared" si="1031"/>
        <v>17</v>
      </c>
      <c r="H4579" s="3">
        <f t="shared" si="1032"/>
        <v>16</v>
      </c>
      <c r="I4579" s="3">
        <f t="shared" si="1033"/>
        <v>28</v>
      </c>
      <c r="J4579" s="3">
        <f t="shared" si="1034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035"/>
        <v>YES</v>
      </c>
      <c r="Q4579" t="str">
        <f t="shared" si="1036"/>
        <v>NO</v>
      </c>
      <c r="R4579" t="str">
        <f t="shared" si="1037"/>
        <v>YES</v>
      </c>
      <c r="T4579" t="s">
        <v>198</v>
      </c>
      <c r="U4579" t="str">
        <f t="shared" si="1038"/>
        <v>Mount Auburn St</v>
      </c>
      <c r="V4579" t="s">
        <v>1813</v>
      </c>
      <c r="W4579" t="str">
        <f t="shared" si="1039"/>
        <v>University Rd</v>
      </c>
      <c r="X4579" t="str">
        <f>IF(ISBLANK(S4579),"Intersection","Non-Intersection")</f>
        <v>Intersection</v>
      </c>
      <c r="Y4579" t="s">
        <v>3088</v>
      </c>
      <c r="Z4579" t="str">
        <f t="shared" si="1040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27"/>
        <v>40909</v>
      </c>
      <c r="D4580" s="4">
        <f t="shared" si="1028"/>
        <v>0.95901639344262291</v>
      </c>
      <c r="E4580" s="3">
        <f t="shared" si="1029"/>
        <v>2012</v>
      </c>
      <c r="F4580" s="3">
        <f t="shared" si="1030"/>
        <v>12</v>
      </c>
      <c r="G4580" s="3">
        <f t="shared" si="1031"/>
        <v>17</v>
      </c>
      <c r="H4580" s="3">
        <f t="shared" si="1032"/>
        <v>17</v>
      </c>
      <c r="I4580" s="3">
        <f t="shared" si="1033"/>
        <v>7</v>
      </c>
      <c r="J4580" s="3">
        <f t="shared" si="1034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035"/>
        <v>YES</v>
      </c>
      <c r="Q4580" t="str">
        <f t="shared" si="1036"/>
        <v>NO</v>
      </c>
      <c r="R4580" t="str">
        <f t="shared" si="1037"/>
        <v>NO</v>
      </c>
      <c r="S4580">
        <v>773</v>
      </c>
      <c r="T4580" t="s">
        <v>186</v>
      </c>
      <c r="U4580" t="str">
        <f t="shared" si="1038"/>
        <v>Concord Ave</v>
      </c>
      <c r="W4580" t="str">
        <f t="shared" si="1039"/>
        <v/>
      </c>
      <c r="X4580" t="str">
        <f>IF(ISBLANK(S4580),"Intersection","Non-Intersection")</f>
        <v>Non-Intersection</v>
      </c>
      <c r="Y4580" t="s">
        <v>5217</v>
      </c>
      <c r="Z4580" t="str">
        <f t="shared" si="1040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27"/>
        <v>40909</v>
      </c>
      <c r="D4581" s="4">
        <f t="shared" si="1028"/>
        <v>0.95901639344262291</v>
      </c>
      <c r="E4581" s="3">
        <f t="shared" si="1029"/>
        <v>2012</v>
      </c>
      <c r="F4581" s="3">
        <f t="shared" si="1030"/>
        <v>12</v>
      </c>
      <c r="G4581" s="3">
        <f t="shared" si="1031"/>
        <v>17</v>
      </c>
      <c r="H4581" s="3">
        <f t="shared" si="1032"/>
        <v>8</v>
      </c>
      <c r="I4581" s="3">
        <f t="shared" si="1033"/>
        <v>4</v>
      </c>
      <c r="J4581" s="3">
        <f t="shared" si="1034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035"/>
        <v>YES</v>
      </c>
      <c r="Q4581" t="str">
        <f t="shared" si="1036"/>
        <v>NO</v>
      </c>
      <c r="R4581" t="str">
        <f t="shared" si="1037"/>
        <v>NO</v>
      </c>
      <c r="T4581" t="s">
        <v>186</v>
      </c>
      <c r="U4581" t="str">
        <f t="shared" si="1038"/>
        <v>Concord Ave</v>
      </c>
      <c r="V4581" t="s">
        <v>5219</v>
      </c>
      <c r="W4581" t="str">
        <f t="shared" si="1039"/>
        <v>Buckingham Pl</v>
      </c>
      <c r="X4581" t="str">
        <f>IF(ISBLANK(S4581),"Intersection","Non-Intersection")</f>
        <v>Intersection</v>
      </c>
      <c r="Y4581" t="s">
        <v>5220</v>
      </c>
      <c r="Z4581" t="str">
        <f t="shared" si="1040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27"/>
        <v>40909</v>
      </c>
      <c r="D4582" s="4">
        <f t="shared" si="1028"/>
        <v>0.96174863387978138</v>
      </c>
      <c r="E4582" s="3">
        <f t="shared" si="1029"/>
        <v>2012</v>
      </c>
      <c r="F4582" s="3">
        <f t="shared" si="1030"/>
        <v>12</v>
      </c>
      <c r="G4582" s="3">
        <f t="shared" si="1031"/>
        <v>18</v>
      </c>
      <c r="H4582" s="3">
        <f t="shared" si="1032"/>
        <v>17</v>
      </c>
      <c r="I4582" s="3">
        <f t="shared" si="1033"/>
        <v>20</v>
      </c>
      <c r="J4582" s="3">
        <f t="shared" si="1034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035"/>
        <v>YES</v>
      </c>
      <c r="Q4582" t="str">
        <f t="shared" si="1036"/>
        <v>NO</v>
      </c>
      <c r="R4582" t="str">
        <f t="shared" si="1037"/>
        <v>NO</v>
      </c>
      <c r="S4582" s="2">
        <v>42029</v>
      </c>
      <c r="T4582" t="s">
        <v>4933</v>
      </c>
      <c r="U4582" t="str">
        <f t="shared" si="1038"/>
        <v>Griswold St</v>
      </c>
      <c r="W4582" t="str">
        <f t="shared" si="1039"/>
        <v/>
      </c>
      <c r="X4582" t="str">
        <f>IF(ISBLANK(S4582),"Intersection","Non-Intersection")</f>
        <v>Non-Intersection</v>
      </c>
      <c r="Y4582" t="s">
        <v>5222</v>
      </c>
      <c r="Z4582" t="str">
        <f t="shared" si="1040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27"/>
        <v>40909</v>
      </c>
      <c r="D4583" s="4">
        <f t="shared" si="1028"/>
        <v>0.96174863387978138</v>
      </c>
      <c r="E4583" s="3">
        <f t="shared" si="1029"/>
        <v>2012</v>
      </c>
      <c r="F4583" s="3">
        <f t="shared" si="1030"/>
        <v>12</v>
      </c>
      <c r="G4583" s="3">
        <f t="shared" si="1031"/>
        <v>18</v>
      </c>
      <c r="H4583" s="3">
        <f t="shared" si="1032"/>
        <v>8</v>
      </c>
      <c r="I4583" s="3">
        <f t="shared" si="1033"/>
        <v>29</v>
      </c>
      <c r="J4583" s="3">
        <f t="shared" si="1034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035"/>
        <v>YES</v>
      </c>
      <c r="Q4583" t="str">
        <f t="shared" si="1036"/>
        <v>NO</v>
      </c>
      <c r="R4583" t="str">
        <f t="shared" si="1037"/>
        <v>NO</v>
      </c>
      <c r="S4583">
        <v>10</v>
      </c>
      <c r="T4583" t="s">
        <v>1111</v>
      </c>
      <c r="U4583" t="str">
        <f t="shared" si="1038"/>
        <v>Museum Way</v>
      </c>
      <c r="W4583" t="str">
        <f t="shared" si="1039"/>
        <v/>
      </c>
      <c r="X4583" t="str">
        <f>IF(ISBLANK(S4583),"Intersection","Non-Intersection")</f>
        <v>Non-Intersection</v>
      </c>
      <c r="Y4583" t="s">
        <v>5224</v>
      </c>
      <c r="Z4583" t="str">
        <f t="shared" si="1040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27"/>
        <v>40909</v>
      </c>
      <c r="D4584" s="4">
        <f t="shared" si="1028"/>
        <v>0.96174863387978138</v>
      </c>
      <c r="E4584" s="3">
        <f t="shared" si="1029"/>
        <v>2012</v>
      </c>
      <c r="F4584" s="3">
        <f t="shared" si="1030"/>
        <v>12</v>
      </c>
      <c r="G4584" s="3">
        <f t="shared" si="1031"/>
        <v>18</v>
      </c>
      <c r="H4584" s="3">
        <f t="shared" si="1032"/>
        <v>6</v>
      </c>
      <c r="I4584" s="3">
        <f t="shared" si="1033"/>
        <v>59</v>
      </c>
      <c r="J4584" s="3">
        <f t="shared" si="1034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035"/>
        <v>YES</v>
      </c>
      <c r="Q4584" t="str">
        <f t="shared" si="1036"/>
        <v>NO</v>
      </c>
      <c r="R4584" t="str">
        <f t="shared" si="1037"/>
        <v>NO</v>
      </c>
      <c r="S4584">
        <v>201</v>
      </c>
      <c r="T4584" t="s">
        <v>75</v>
      </c>
      <c r="U4584" t="str">
        <f t="shared" si="1038"/>
        <v>Elm St</v>
      </c>
      <c r="W4584" t="str">
        <f t="shared" si="1039"/>
        <v/>
      </c>
      <c r="X4584" t="str">
        <f>IF(ISBLANK(S4584),"Intersection","Non-Intersection")</f>
        <v>Non-Intersection</v>
      </c>
      <c r="Y4584" t="s">
        <v>4846</v>
      </c>
      <c r="Z4584" t="str">
        <f t="shared" si="1040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27"/>
        <v>40909</v>
      </c>
      <c r="D4585" s="4">
        <f t="shared" si="1028"/>
        <v>0.96174863387978138</v>
      </c>
      <c r="E4585" s="3">
        <f t="shared" si="1029"/>
        <v>2012</v>
      </c>
      <c r="F4585" s="3">
        <f t="shared" si="1030"/>
        <v>12</v>
      </c>
      <c r="G4585" s="3">
        <f t="shared" si="1031"/>
        <v>18</v>
      </c>
      <c r="H4585" s="3">
        <f t="shared" si="1032"/>
        <v>8</v>
      </c>
      <c r="I4585" s="3">
        <f t="shared" si="1033"/>
        <v>25</v>
      </c>
      <c r="J4585" s="3">
        <f t="shared" si="1034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035"/>
        <v>YES</v>
      </c>
      <c r="Q4585" t="str">
        <f t="shared" si="1036"/>
        <v>NO</v>
      </c>
      <c r="R4585" t="str">
        <f t="shared" si="1037"/>
        <v>NO</v>
      </c>
      <c r="S4585">
        <v>2055</v>
      </c>
      <c r="T4585" t="s">
        <v>14</v>
      </c>
      <c r="U4585" t="str">
        <f t="shared" si="1038"/>
        <v>Massachusetts Ave</v>
      </c>
      <c r="W4585" t="str">
        <f t="shared" si="1039"/>
        <v/>
      </c>
      <c r="X4585" t="str">
        <f>IF(ISBLANK(S4585),"Intersection","Non-Intersection")</f>
        <v>Non-Intersection</v>
      </c>
      <c r="Y4585" t="s">
        <v>3399</v>
      </c>
      <c r="Z4585" t="str">
        <f t="shared" si="1040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27"/>
        <v>40909</v>
      </c>
      <c r="D4586" s="4">
        <f t="shared" si="1028"/>
        <v>0.96174863387978138</v>
      </c>
      <c r="E4586" s="3">
        <f t="shared" si="1029"/>
        <v>2012</v>
      </c>
      <c r="F4586" s="3">
        <f t="shared" si="1030"/>
        <v>12</v>
      </c>
      <c r="G4586" s="3">
        <f t="shared" si="1031"/>
        <v>18</v>
      </c>
      <c r="H4586" s="3">
        <f t="shared" si="1032"/>
        <v>7</v>
      </c>
      <c r="I4586" s="3">
        <f t="shared" si="1033"/>
        <v>50</v>
      </c>
      <c r="J4586" s="3">
        <f t="shared" si="1034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035"/>
        <v>YES</v>
      </c>
      <c r="Q4586" t="str">
        <f t="shared" si="1036"/>
        <v>YES</v>
      </c>
      <c r="R4586" t="str">
        <f t="shared" si="1037"/>
        <v>NO</v>
      </c>
      <c r="T4586" t="s">
        <v>19</v>
      </c>
      <c r="U4586" t="str">
        <f t="shared" si="1038"/>
        <v>Cambridge St</v>
      </c>
      <c r="V4586" t="s">
        <v>803</v>
      </c>
      <c r="W4586" t="str">
        <f t="shared" si="1039"/>
        <v>Line St</v>
      </c>
      <c r="X4586" t="str">
        <f>IF(ISBLANK(S4586),"Intersection","Non-Intersection")</f>
        <v>Intersection</v>
      </c>
      <c r="Y4586" t="s">
        <v>1561</v>
      </c>
      <c r="Z4586" t="str">
        <f t="shared" si="1040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27"/>
        <v>40909</v>
      </c>
      <c r="D4587" s="4">
        <f t="shared" si="1028"/>
        <v>0.96174863387978138</v>
      </c>
      <c r="E4587" s="3">
        <f t="shared" si="1029"/>
        <v>2012</v>
      </c>
      <c r="F4587" s="3">
        <f t="shared" si="1030"/>
        <v>12</v>
      </c>
      <c r="G4587" s="3">
        <f t="shared" si="1031"/>
        <v>18</v>
      </c>
      <c r="H4587" s="3">
        <f t="shared" si="1032"/>
        <v>12</v>
      </c>
      <c r="I4587" s="3">
        <f t="shared" si="1033"/>
        <v>24</v>
      </c>
      <c r="J4587" s="3">
        <f t="shared" si="1034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035"/>
        <v>YES</v>
      </c>
      <c r="Q4587" t="str">
        <f t="shared" si="1036"/>
        <v>NO</v>
      </c>
      <c r="R4587" t="str">
        <f t="shared" si="1037"/>
        <v>NO</v>
      </c>
      <c r="T4587" t="s">
        <v>19</v>
      </c>
      <c r="U4587" t="str">
        <f t="shared" si="1038"/>
        <v>Cambridge St</v>
      </c>
      <c r="V4587" t="s">
        <v>526</v>
      </c>
      <c r="W4587" t="str">
        <f t="shared" si="1039"/>
        <v>Springfield St</v>
      </c>
      <c r="X4587" t="str">
        <f>IF(ISBLANK(S4587),"Intersection","Non-Intersection")</f>
        <v>Intersection</v>
      </c>
      <c r="Y4587" t="s">
        <v>527</v>
      </c>
      <c r="Z4587" t="str">
        <f t="shared" si="1040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27"/>
        <v>40909</v>
      </c>
      <c r="D4588" s="4">
        <f t="shared" si="1028"/>
        <v>0.96448087431693985</v>
      </c>
      <c r="E4588" s="3">
        <f t="shared" si="1029"/>
        <v>2012</v>
      </c>
      <c r="F4588" s="3">
        <f t="shared" si="1030"/>
        <v>12</v>
      </c>
      <c r="G4588" s="3">
        <f t="shared" si="1031"/>
        <v>19</v>
      </c>
      <c r="H4588" s="3">
        <f t="shared" si="1032"/>
        <v>11</v>
      </c>
      <c r="I4588" s="3">
        <f t="shared" si="1033"/>
        <v>39</v>
      </c>
      <c r="J4588" s="3">
        <f t="shared" si="1034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035"/>
        <v>YES</v>
      </c>
      <c r="Q4588" t="str">
        <f t="shared" si="1036"/>
        <v>NO</v>
      </c>
      <c r="R4588" t="str">
        <f t="shared" si="1037"/>
        <v>NO</v>
      </c>
      <c r="T4588" t="s">
        <v>14</v>
      </c>
      <c r="U4588" t="str">
        <f t="shared" si="1038"/>
        <v>Massachusetts Ave</v>
      </c>
      <c r="V4588" t="s">
        <v>252</v>
      </c>
      <c r="W4588" t="str">
        <f t="shared" si="1039"/>
        <v>Walden St</v>
      </c>
      <c r="X4588" t="str">
        <f>IF(ISBLANK(S4588),"Intersection","Non-Intersection")</f>
        <v>Intersection</v>
      </c>
      <c r="Y4588" t="s">
        <v>2600</v>
      </c>
      <c r="Z4588" t="str">
        <f t="shared" si="1040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27"/>
        <v>40909</v>
      </c>
      <c r="D4589" s="4">
        <f t="shared" si="1028"/>
        <v>0.96448087431693985</v>
      </c>
      <c r="E4589" s="3">
        <f t="shared" si="1029"/>
        <v>2012</v>
      </c>
      <c r="F4589" s="3">
        <f t="shared" si="1030"/>
        <v>12</v>
      </c>
      <c r="G4589" s="3">
        <f t="shared" si="1031"/>
        <v>19</v>
      </c>
      <c r="H4589" s="3">
        <f t="shared" si="1032"/>
        <v>5</v>
      </c>
      <c r="I4589" s="3">
        <f t="shared" si="1033"/>
        <v>4</v>
      </c>
      <c r="J4589" s="3">
        <f t="shared" si="1034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035"/>
        <v>YES</v>
      </c>
      <c r="Q4589" t="str">
        <f t="shared" si="1036"/>
        <v>NO</v>
      </c>
      <c r="R4589" t="str">
        <f t="shared" si="1037"/>
        <v>NO</v>
      </c>
      <c r="T4589" t="s">
        <v>195</v>
      </c>
      <c r="U4589" t="str">
        <f t="shared" si="1038"/>
        <v>Sidney St</v>
      </c>
      <c r="V4589" t="s">
        <v>509</v>
      </c>
      <c r="W4589" t="str">
        <f t="shared" si="1039"/>
        <v>Green St</v>
      </c>
      <c r="X4589" t="str">
        <f>IF(ISBLANK(S4589),"Intersection","Non-Intersection")</f>
        <v>Intersection</v>
      </c>
      <c r="Y4589" t="s">
        <v>3036</v>
      </c>
      <c r="Z4589" t="str">
        <f t="shared" si="1040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27"/>
        <v>40909</v>
      </c>
      <c r="D4590" s="4">
        <f t="shared" si="1028"/>
        <v>0.96448087431693985</v>
      </c>
      <c r="E4590" s="3">
        <f t="shared" si="1029"/>
        <v>2012</v>
      </c>
      <c r="F4590" s="3">
        <f t="shared" si="1030"/>
        <v>12</v>
      </c>
      <c r="G4590" s="3">
        <f t="shared" si="1031"/>
        <v>19</v>
      </c>
      <c r="H4590" s="3">
        <f t="shared" si="1032"/>
        <v>19</v>
      </c>
      <c r="I4590" s="3">
        <f t="shared" si="1033"/>
        <v>40</v>
      </c>
      <c r="J4590" s="3">
        <f t="shared" si="1034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035"/>
        <v>YES</v>
      </c>
      <c r="Q4590" t="str">
        <f t="shared" si="1036"/>
        <v>NO</v>
      </c>
      <c r="R4590" t="str">
        <f t="shared" si="1037"/>
        <v>NO</v>
      </c>
      <c r="T4590" t="s">
        <v>5226</v>
      </c>
      <c r="U4590" t="str">
        <f t="shared" si="1038"/>
        <v>Grove St</v>
      </c>
      <c r="V4590" t="s">
        <v>1013</v>
      </c>
      <c r="W4590" t="str">
        <f t="shared" si="1039"/>
        <v>Blanchard Rd</v>
      </c>
      <c r="X4590" t="str">
        <f>IF(ISBLANK(S4590),"Intersection","Non-Intersection")</f>
        <v>Intersection</v>
      </c>
      <c r="Y4590" t="s">
        <v>5227</v>
      </c>
      <c r="Z4590" t="str">
        <f t="shared" si="1040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27"/>
        <v>40909</v>
      </c>
      <c r="D4591" s="4">
        <f t="shared" si="1028"/>
        <v>0.96448087431693985</v>
      </c>
      <c r="E4591" s="3">
        <f t="shared" si="1029"/>
        <v>2012</v>
      </c>
      <c r="F4591" s="3">
        <f t="shared" si="1030"/>
        <v>12</v>
      </c>
      <c r="G4591" s="3">
        <f t="shared" si="1031"/>
        <v>19</v>
      </c>
      <c r="H4591" s="3">
        <f t="shared" si="1032"/>
        <v>21</v>
      </c>
      <c r="I4591" s="3">
        <f t="shared" si="1033"/>
        <v>0</v>
      </c>
      <c r="J4591" s="3">
        <f t="shared" si="1034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035"/>
        <v>YES</v>
      </c>
      <c r="Q4591" t="str">
        <f t="shared" si="1036"/>
        <v>NO</v>
      </c>
      <c r="R4591" t="str">
        <f t="shared" si="1037"/>
        <v>NO</v>
      </c>
      <c r="S4591" t="s">
        <v>5229</v>
      </c>
      <c r="T4591" t="s">
        <v>316</v>
      </c>
      <c r="U4591" t="str">
        <f t="shared" si="1038"/>
        <v>Bishop Allen Dr</v>
      </c>
      <c r="W4591" t="str">
        <f t="shared" si="1039"/>
        <v/>
      </c>
      <c r="X4591" t="str">
        <f>IF(ISBLANK(S4591),"Intersection","Non-Intersection")</f>
        <v>Non-Intersection</v>
      </c>
      <c r="Y4591" t="s">
        <v>5230</v>
      </c>
      <c r="Z4591" t="str">
        <f t="shared" si="1040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27"/>
        <v>40909</v>
      </c>
      <c r="D4592" s="4">
        <f t="shared" si="1028"/>
        <v>0.96448087431693985</v>
      </c>
      <c r="E4592" s="3">
        <f t="shared" si="1029"/>
        <v>2012</v>
      </c>
      <c r="F4592" s="3">
        <f t="shared" si="1030"/>
        <v>12</v>
      </c>
      <c r="G4592" s="3">
        <f t="shared" si="1031"/>
        <v>19</v>
      </c>
      <c r="H4592" s="3">
        <f t="shared" si="1032"/>
        <v>11</v>
      </c>
      <c r="I4592" s="3">
        <f t="shared" si="1033"/>
        <v>39</v>
      </c>
      <c r="J4592" s="3">
        <f t="shared" si="1034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035"/>
        <v>YES</v>
      </c>
      <c r="Q4592" t="str">
        <f t="shared" si="1036"/>
        <v>NO</v>
      </c>
      <c r="R4592" t="str">
        <f t="shared" si="1037"/>
        <v>NO</v>
      </c>
      <c r="S4592">
        <v>26</v>
      </c>
      <c r="T4592" t="s">
        <v>484</v>
      </c>
      <c r="U4592" t="str">
        <f t="shared" si="1038"/>
        <v>Porter St</v>
      </c>
      <c r="W4592" t="str">
        <f t="shared" si="1039"/>
        <v/>
      </c>
      <c r="X4592" t="str">
        <f>IF(ISBLANK(S4592),"Intersection","Non-Intersection")</f>
        <v>Non-Intersection</v>
      </c>
      <c r="Y4592" t="s">
        <v>5231</v>
      </c>
      <c r="Z4592" t="str">
        <f t="shared" si="1040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27"/>
        <v>40909</v>
      </c>
      <c r="D4593" s="4">
        <f t="shared" si="1028"/>
        <v>0.96721311475409832</v>
      </c>
      <c r="E4593" s="3">
        <f t="shared" si="1029"/>
        <v>2012</v>
      </c>
      <c r="F4593" s="3">
        <f t="shared" si="1030"/>
        <v>12</v>
      </c>
      <c r="G4593" s="3">
        <f t="shared" si="1031"/>
        <v>20</v>
      </c>
      <c r="H4593" s="3">
        <f t="shared" si="1032"/>
        <v>21</v>
      </c>
      <c r="I4593" s="3">
        <f t="shared" si="1033"/>
        <v>34</v>
      </c>
      <c r="J4593" s="3">
        <f t="shared" si="1034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035"/>
        <v>YES</v>
      </c>
      <c r="Q4593" t="str">
        <f t="shared" si="1036"/>
        <v>NO</v>
      </c>
      <c r="R4593" t="str">
        <f t="shared" si="1037"/>
        <v>NO</v>
      </c>
      <c r="S4593">
        <v>133</v>
      </c>
      <c r="T4593" t="s">
        <v>42</v>
      </c>
      <c r="U4593" t="str">
        <f t="shared" si="1038"/>
        <v>Putnam Ave</v>
      </c>
      <c r="W4593" t="str">
        <f t="shared" si="1039"/>
        <v/>
      </c>
      <c r="X4593" t="str">
        <f>IF(ISBLANK(S4593),"Intersection","Non-Intersection")</f>
        <v>Non-Intersection</v>
      </c>
      <c r="Y4593" t="s">
        <v>4951</v>
      </c>
      <c r="Z4593" t="str">
        <f t="shared" si="1040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27"/>
        <v>40909</v>
      </c>
      <c r="D4594" s="4">
        <f t="shared" si="1028"/>
        <v>0.96721311475409832</v>
      </c>
      <c r="E4594" s="3">
        <f t="shared" si="1029"/>
        <v>2012</v>
      </c>
      <c r="F4594" s="3">
        <f t="shared" si="1030"/>
        <v>12</v>
      </c>
      <c r="G4594" s="3">
        <f t="shared" si="1031"/>
        <v>20</v>
      </c>
      <c r="H4594" s="3">
        <f t="shared" si="1032"/>
        <v>21</v>
      </c>
      <c r="I4594" s="3">
        <f t="shared" si="1033"/>
        <v>30</v>
      </c>
      <c r="J4594" s="3">
        <f t="shared" si="1034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035"/>
        <v>YES</v>
      </c>
      <c r="Q4594" t="str">
        <f t="shared" si="1036"/>
        <v>NO</v>
      </c>
      <c r="R4594" t="str">
        <f t="shared" si="1037"/>
        <v>NO</v>
      </c>
      <c r="T4594" t="s">
        <v>75</v>
      </c>
      <c r="U4594" t="str">
        <f t="shared" si="1038"/>
        <v>Elm St</v>
      </c>
      <c r="V4594" t="s">
        <v>19</v>
      </c>
      <c r="W4594" t="str">
        <f t="shared" si="1039"/>
        <v>Cambridge St</v>
      </c>
      <c r="X4594" t="str">
        <f>IF(ISBLANK(S4594),"Intersection","Non-Intersection")</f>
        <v>Intersection</v>
      </c>
      <c r="Y4594" t="s">
        <v>5233</v>
      </c>
      <c r="Z4594" t="str">
        <f t="shared" si="1040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27"/>
        <v>40909</v>
      </c>
      <c r="D4595" s="4">
        <f t="shared" si="1028"/>
        <v>0.96721311475409832</v>
      </c>
      <c r="E4595" s="3">
        <f t="shared" si="1029"/>
        <v>2012</v>
      </c>
      <c r="F4595" s="3">
        <f t="shared" si="1030"/>
        <v>12</v>
      </c>
      <c r="G4595" s="3">
        <f t="shared" si="1031"/>
        <v>20</v>
      </c>
      <c r="H4595" s="3">
        <f t="shared" si="1032"/>
        <v>13</v>
      </c>
      <c r="I4595" s="3">
        <f t="shared" si="1033"/>
        <v>30</v>
      </c>
      <c r="J4595" s="3">
        <f t="shared" si="1034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035"/>
        <v>YES</v>
      </c>
      <c r="Q4595" t="str">
        <f t="shared" si="1036"/>
        <v>NO</v>
      </c>
      <c r="R4595" t="str">
        <f t="shared" si="1037"/>
        <v>NO</v>
      </c>
      <c r="T4595" t="s">
        <v>5234</v>
      </c>
      <c r="U4595" t="str">
        <f t="shared" si="1038"/>
        <v>Bay State Rd</v>
      </c>
      <c r="W4595" t="str">
        <f t="shared" si="1039"/>
        <v/>
      </c>
      <c r="X4595" t="str">
        <f>IF(ISBLANK(S4595),"Intersection","Non-Intersection")</f>
        <v>Intersection</v>
      </c>
      <c r="Y4595" t="s">
        <v>5235</v>
      </c>
      <c r="Z4595" t="str">
        <f t="shared" si="1040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27"/>
        <v>40909</v>
      </c>
      <c r="D4596" s="4">
        <f t="shared" si="1028"/>
        <v>0.9699453551912568</v>
      </c>
      <c r="E4596" s="3">
        <f t="shared" si="1029"/>
        <v>2012</v>
      </c>
      <c r="F4596" s="3">
        <f t="shared" si="1030"/>
        <v>12</v>
      </c>
      <c r="G4596" s="3">
        <f t="shared" si="1031"/>
        <v>21</v>
      </c>
      <c r="H4596" s="3">
        <f t="shared" si="1032"/>
        <v>13</v>
      </c>
      <c r="I4596" s="3">
        <f t="shared" si="1033"/>
        <v>51</v>
      </c>
      <c r="J4596" s="3">
        <f t="shared" si="1034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035"/>
        <v>YES</v>
      </c>
      <c r="Q4596" t="str">
        <f t="shared" si="1036"/>
        <v>NO</v>
      </c>
      <c r="R4596" t="str">
        <f t="shared" si="1037"/>
        <v>NO</v>
      </c>
      <c r="S4596">
        <v>1815</v>
      </c>
      <c r="T4596" t="s">
        <v>14</v>
      </c>
      <c r="U4596" t="str">
        <f t="shared" si="1038"/>
        <v>Massachusetts Ave</v>
      </c>
      <c r="W4596" t="str">
        <f t="shared" si="1039"/>
        <v/>
      </c>
      <c r="X4596" t="str">
        <f>IF(ISBLANK(S4596),"Intersection","Non-Intersection")</f>
        <v>Non-Intersection</v>
      </c>
      <c r="Y4596" t="s">
        <v>2783</v>
      </c>
      <c r="Z4596" t="str">
        <f t="shared" si="1040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27"/>
        <v>40909</v>
      </c>
      <c r="D4597" s="4">
        <f t="shared" si="1028"/>
        <v>0.9699453551912568</v>
      </c>
      <c r="E4597" s="3">
        <f t="shared" si="1029"/>
        <v>2012</v>
      </c>
      <c r="F4597" s="3">
        <f t="shared" si="1030"/>
        <v>12</v>
      </c>
      <c r="G4597" s="3">
        <f t="shared" si="1031"/>
        <v>21</v>
      </c>
      <c r="H4597" s="3">
        <f t="shared" si="1032"/>
        <v>15</v>
      </c>
      <c r="I4597" s="3">
        <f t="shared" si="1033"/>
        <v>30</v>
      </c>
      <c r="J4597" s="3">
        <f t="shared" si="1034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035"/>
        <v>YES</v>
      </c>
      <c r="Q4597" t="str">
        <f t="shared" si="1036"/>
        <v>NO</v>
      </c>
      <c r="R4597" t="str">
        <f t="shared" si="1037"/>
        <v>NO</v>
      </c>
      <c r="T4597" t="s">
        <v>326</v>
      </c>
      <c r="U4597" t="str">
        <f t="shared" si="1038"/>
        <v>Jfk St</v>
      </c>
      <c r="V4597" t="s">
        <v>325</v>
      </c>
      <c r="W4597" t="str">
        <f t="shared" si="1039"/>
        <v>Eliot St</v>
      </c>
      <c r="X4597" t="str">
        <f>IF(ISBLANK(S4597),"Intersection","Non-Intersection")</f>
        <v>Intersection</v>
      </c>
      <c r="Y4597" t="s">
        <v>1420</v>
      </c>
      <c r="Z4597" t="str">
        <f t="shared" si="1040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041">EOMONTH(B4598,MONTH(B4598)*-1)+1</f>
        <v>40909</v>
      </c>
      <c r="D4598" s="4">
        <f t="shared" ref="D4598:D4660" si="1042">YEARFRAC(C4598,B4598,1)</f>
        <v>0.9699453551912568</v>
      </c>
      <c r="E4598" s="3">
        <f t="shared" ref="E4598:E4660" si="1043">YEAR(B4598)</f>
        <v>2012</v>
      </c>
      <c r="F4598" s="3">
        <f t="shared" ref="F4598:F4660" si="1044">MONTH(B4598)</f>
        <v>12</v>
      </c>
      <c r="G4598" s="3">
        <f t="shared" ref="G4598:G4660" si="1045">DAY(B4598)</f>
        <v>21</v>
      </c>
      <c r="H4598" s="3">
        <f t="shared" ref="H4598:H4660" si="1046">HOUR(B4598)</f>
        <v>11</v>
      </c>
      <c r="I4598" s="3">
        <f t="shared" ref="I4598:I4660" si="1047">MINUTE(B4598)</f>
        <v>39</v>
      </c>
      <c r="J4598" s="3">
        <f t="shared" ref="J4598:J4660" si="1048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049">IF(OR(N4598="Auto",O4598="Auto"),"YES",IF(OR(N4598="Taxi",O4598="Taxi"),"YES",IF(OR(N4598="Van",O4598="Van"),"YES",IF(OR(N4598="Truck",O4598="Truck"),"YES","NO"))))</f>
        <v>YES</v>
      </c>
      <c r="Q4598" t="str">
        <f t="shared" ref="Q4598:Q4660" si="1050">IF(OR(N4598="Bicycle",O4598="Bicycle"),"YES","NO")</f>
        <v>NO</v>
      </c>
      <c r="R4598" t="str">
        <f t="shared" ref="R4598:R4660" si="1051">IF(OR(N4598="Pedestrian",O4598="Pedestrian"),"YES","NO")</f>
        <v>NO</v>
      </c>
      <c r="T4598" t="s">
        <v>14</v>
      </c>
      <c r="U4598" t="str">
        <f t="shared" si="1038"/>
        <v>Massachusetts Ave</v>
      </c>
      <c r="V4598" t="s">
        <v>126</v>
      </c>
      <c r="W4598" t="str">
        <f t="shared" si="1039"/>
        <v>Somerville Ave</v>
      </c>
      <c r="X4598" t="str">
        <f>IF(ISBLANK(S4598),"Intersection","Non-Intersection")</f>
        <v>Intersection</v>
      </c>
      <c r="Y4598" t="s">
        <v>127</v>
      </c>
      <c r="Z4598" t="str">
        <f t="shared" si="1040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041"/>
        <v>40909</v>
      </c>
      <c r="D4599" s="4">
        <f t="shared" si="1042"/>
        <v>0.9699453551912568</v>
      </c>
      <c r="E4599" s="3">
        <f t="shared" si="1043"/>
        <v>2012</v>
      </c>
      <c r="F4599" s="3">
        <f t="shared" si="1044"/>
        <v>12</v>
      </c>
      <c r="G4599" s="3">
        <f t="shared" si="1045"/>
        <v>21</v>
      </c>
      <c r="H4599" s="3">
        <f t="shared" si="1046"/>
        <v>23</v>
      </c>
      <c r="I4599" s="3">
        <f t="shared" si="1047"/>
        <v>29</v>
      </c>
      <c r="J4599" s="3">
        <f t="shared" si="1048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049"/>
        <v>YES</v>
      </c>
      <c r="Q4599" t="str">
        <f t="shared" si="1050"/>
        <v>NO</v>
      </c>
      <c r="R4599" t="str">
        <f t="shared" si="1051"/>
        <v>YES</v>
      </c>
      <c r="T4599" t="s">
        <v>316</v>
      </c>
      <c r="U4599" t="str">
        <f t="shared" si="1038"/>
        <v>Bishop Allen Dr</v>
      </c>
      <c r="W4599" t="str">
        <f t="shared" si="1039"/>
        <v/>
      </c>
      <c r="X4599" t="str">
        <f>IF(ISBLANK(S4599),"Intersection","Non-Intersection")</f>
        <v>Intersection</v>
      </c>
      <c r="Y4599" t="s">
        <v>1374</v>
      </c>
      <c r="Z4599" t="str">
        <f t="shared" si="1040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041"/>
        <v>40909</v>
      </c>
      <c r="D4600" s="4">
        <f t="shared" si="1042"/>
        <v>0.9699453551912568</v>
      </c>
      <c r="E4600" s="3">
        <f t="shared" si="1043"/>
        <v>2012</v>
      </c>
      <c r="F4600" s="3">
        <f t="shared" si="1044"/>
        <v>12</v>
      </c>
      <c r="G4600" s="3">
        <f t="shared" si="1045"/>
        <v>21</v>
      </c>
      <c r="H4600" s="3">
        <f t="shared" si="1046"/>
        <v>22</v>
      </c>
      <c r="I4600" s="3">
        <f t="shared" si="1047"/>
        <v>34</v>
      </c>
      <c r="J4600" s="3">
        <f t="shared" si="1048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049"/>
        <v>YES</v>
      </c>
      <c r="Q4600" t="str">
        <f t="shared" si="1050"/>
        <v>YES</v>
      </c>
      <c r="R4600" t="str">
        <f t="shared" si="1051"/>
        <v>NO</v>
      </c>
      <c r="T4600" t="s">
        <v>199</v>
      </c>
      <c r="U4600" t="str">
        <f t="shared" si="1038"/>
        <v>Brattle St</v>
      </c>
      <c r="V4600" t="s">
        <v>518</v>
      </c>
      <c r="W4600" t="str">
        <f t="shared" si="1039"/>
        <v>Willard St</v>
      </c>
      <c r="X4600" t="str">
        <f>IF(ISBLANK(S4600),"Intersection","Non-Intersection")</f>
        <v>Intersection</v>
      </c>
      <c r="Y4600" t="s">
        <v>5236</v>
      </c>
      <c r="Z4600" t="str">
        <f t="shared" si="1040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041"/>
        <v>40909</v>
      </c>
      <c r="D4601" s="4">
        <f t="shared" si="1042"/>
        <v>0.97267759562841527</v>
      </c>
      <c r="E4601" s="3">
        <f t="shared" si="1043"/>
        <v>2012</v>
      </c>
      <c r="F4601" s="3">
        <f t="shared" si="1044"/>
        <v>12</v>
      </c>
      <c r="G4601" s="3">
        <f t="shared" si="1045"/>
        <v>22</v>
      </c>
      <c r="H4601" s="3">
        <f t="shared" si="1046"/>
        <v>21</v>
      </c>
      <c r="I4601" s="3">
        <f t="shared" si="1047"/>
        <v>0</v>
      </c>
      <c r="J4601" s="3">
        <f t="shared" si="1048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049"/>
        <v>YES</v>
      </c>
      <c r="Q4601" t="str">
        <f t="shared" si="1050"/>
        <v>NO</v>
      </c>
      <c r="R4601" t="str">
        <f t="shared" si="1051"/>
        <v>NO</v>
      </c>
      <c r="S4601">
        <v>13</v>
      </c>
      <c r="T4601" t="s">
        <v>1612</v>
      </c>
      <c r="U4601" t="str">
        <f t="shared" si="1038"/>
        <v>William St</v>
      </c>
      <c r="W4601" t="str">
        <f t="shared" si="1039"/>
        <v/>
      </c>
      <c r="X4601" t="str">
        <f>IF(ISBLANK(S4601),"Intersection","Non-Intersection")</f>
        <v>Non-Intersection</v>
      </c>
      <c r="Y4601" t="s">
        <v>5238</v>
      </c>
      <c r="Z4601" t="str">
        <f t="shared" si="1040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041"/>
        <v>40909</v>
      </c>
      <c r="D4602" s="4">
        <f t="shared" si="1042"/>
        <v>0.97540983606557374</v>
      </c>
      <c r="E4602" s="3">
        <f t="shared" si="1043"/>
        <v>2012</v>
      </c>
      <c r="F4602" s="3">
        <f t="shared" si="1044"/>
        <v>12</v>
      </c>
      <c r="G4602" s="3">
        <f t="shared" si="1045"/>
        <v>23</v>
      </c>
      <c r="H4602" s="3">
        <f t="shared" si="1046"/>
        <v>17</v>
      </c>
      <c r="I4602" s="3">
        <f t="shared" si="1047"/>
        <v>25</v>
      </c>
      <c r="J4602" s="3">
        <f t="shared" si="1048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049"/>
        <v>YES</v>
      </c>
      <c r="Q4602" t="str">
        <f t="shared" si="1050"/>
        <v>NO</v>
      </c>
      <c r="R4602" t="str">
        <f t="shared" si="1051"/>
        <v>NO</v>
      </c>
      <c r="T4602" t="s">
        <v>19</v>
      </c>
      <c r="U4602" t="str">
        <f t="shared" si="1038"/>
        <v>Cambridge St</v>
      </c>
      <c r="V4602" t="s">
        <v>526</v>
      </c>
      <c r="W4602" t="str">
        <f t="shared" si="1039"/>
        <v>Springfield St</v>
      </c>
      <c r="X4602" t="str">
        <f>IF(ISBLANK(S4602),"Intersection","Non-Intersection")</f>
        <v>Intersection</v>
      </c>
      <c r="Y4602" t="s">
        <v>527</v>
      </c>
      <c r="Z4602" t="str">
        <f t="shared" si="1040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041"/>
        <v>40909</v>
      </c>
      <c r="D4603" s="4">
        <f t="shared" si="1042"/>
        <v>0.97540983606557374</v>
      </c>
      <c r="E4603" s="3">
        <f t="shared" si="1043"/>
        <v>2012</v>
      </c>
      <c r="F4603" s="3">
        <f t="shared" si="1044"/>
        <v>12</v>
      </c>
      <c r="G4603" s="3">
        <f t="shared" si="1045"/>
        <v>23</v>
      </c>
      <c r="H4603" s="3">
        <f t="shared" si="1046"/>
        <v>2</v>
      </c>
      <c r="I4603" s="3">
        <f t="shared" si="1047"/>
        <v>55</v>
      </c>
      <c r="J4603" s="3">
        <f t="shared" si="1048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049"/>
        <v>YES</v>
      </c>
      <c r="Q4603" t="str">
        <f t="shared" si="1050"/>
        <v>NO</v>
      </c>
      <c r="R4603" t="str">
        <f t="shared" si="1051"/>
        <v>NO</v>
      </c>
      <c r="T4603" t="s">
        <v>342</v>
      </c>
      <c r="U4603" t="str">
        <f t="shared" si="1038"/>
        <v>Prospect St</v>
      </c>
      <c r="V4603" t="s">
        <v>74</v>
      </c>
      <c r="W4603" t="str">
        <f t="shared" si="1039"/>
        <v>Hampshire St</v>
      </c>
      <c r="X4603" t="str">
        <f>IF(ISBLANK(S4603),"Intersection","Non-Intersection")</f>
        <v>Intersection</v>
      </c>
      <c r="Y4603" t="s">
        <v>964</v>
      </c>
      <c r="Z4603" t="str">
        <f t="shared" si="1040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041"/>
        <v>40909</v>
      </c>
      <c r="D4604" s="4">
        <f t="shared" si="1042"/>
        <v>0.97540983606557374</v>
      </c>
      <c r="E4604" s="3">
        <f t="shared" si="1043"/>
        <v>2012</v>
      </c>
      <c r="F4604" s="3">
        <f t="shared" si="1044"/>
        <v>12</v>
      </c>
      <c r="G4604" s="3">
        <f t="shared" si="1045"/>
        <v>23</v>
      </c>
      <c r="H4604" s="3">
        <f t="shared" si="1046"/>
        <v>21</v>
      </c>
      <c r="I4604" s="3">
        <f t="shared" si="1047"/>
        <v>13</v>
      </c>
      <c r="J4604" s="3">
        <f t="shared" si="1048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049"/>
        <v>YES</v>
      </c>
      <c r="Q4604" t="str">
        <f t="shared" si="1050"/>
        <v>NO</v>
      </c>
      <c r="R4604" t="str">
        <f t="shared" si="1051"/>
        <v>NO</v>
      </c>
      <c r="S4604">
        <v>49</v>
      </c>
      <c r="T4604" t="s">
        <v>268</v>
      </c>
      <c r="U4604" t="str">
        <f t="shared" si="1038"/>
        <v>White St</v>
      </c>
      <c r="W4604" t="str">
        <f t="shared" si="1039"/>
        <v/>
      </c>
      <c r="X4604" t="str">
        <f>IF(ISBLANK(S4604),"Intersection","Non-Intersection")</f>
        <v>Non-Intersection</v>
      </c>
      <c r="Y4604" t="s">
        <v>270</v>
      </c>
      <c r="Z4604" t="str">
        <f t="shared" si="1040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041"/>
        <v>40909</v>
      </c>
      <c r="D4605" s="4">
        <f t="shared" si="1042"/>
        <v>0.97814207650273222</v>
      </c>
      <c r="E4605" s="3">
        <f t="shared" si="1043"/>
        <v>2012</v>
      </c>
      <c r="F4605" s="3">
        <f t="shared" si="1044"/>
        <v>12</v>
      </c>
      <c r="G4605" s="3">
        <f t="shared" si="1045"/>
        <v>24</v>
      </c>
      <c r="H4605" s="3">
        <f t="shared" si="1046"/>
        <v>21</v>
      </c>
      <c r="I4605" s="3">
        <f t="shared" si="1047"/>
        <v>20</v>
      </c>
      <c r="J4605" s="3">
        <f t="shared" si="1048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049"/>
        <v>YES</v>
      </c>
      <c r="Q4605" t="str">
        <f t="shared" si="1050"/>
        <v>NO</v>
      </c>
      <c r="R4605" t="str">
        <f t="shared" si="1051"/>
        <v>NO</v>
      </c>
      <c r="S4605">
        <v>49</v>
      </c>
      <c r="T4605" t="s">
        <v>268</v>
      </c>
      <c r="U4605" t="str">
        <f t="shared" si="1038"/>
        <v>White St</v>
      </c>
      <c r="W4605" t="str">
        <f t="shared" si="1039"/>
        <v/>
      </c>
      <c r="X4605" t="str">
        <f>IF(ISBLANK(S4605),"Intersection","Non-Intersection")</f>
        <v>Non-Intersection</v>
      </c>
      <c r="Y4605" t="s">
        <v>270</v>
      </c>
      <c r="Z4605" t="str">
        <f t="shared" si="1040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041"/>
        <v>40909</v>
      </c>
      <c r="D4606" s="4">
        <f t="shared" si="1042"/>
        <v>0.98087431693989069</v>
      </c>
      <c r="E4606" s="3">
        <f t="shared" si="1043"/>
        <v>2012</v>
      </c>
      <c r="F4606" s="3">
        <f t="shared" si="1044"/>
        <v>12</v>
      </c>
      <c r="G4606" s="3">
        <f t="shared" si="1045"/>
        <v>25</v>
      </c>
      <c r="H4606" s="3">
        <f t="shared" si="1046"/>
        <v>13</v>
      </c>
      <c r="I4606" s="3">
        <f t="shared" si="1047"/>
        <v>28</v>
      </c>
      <c r="J4606" s="3">
        <f t="shared" si="1048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049"/>
        <v>YES</v>
      </c>
      <c r="Q4606" t="str">
        <f t="shared" si="1050"/>
        <v>NO</v>
      </c>
      <c r="R4606" t="str">
        <f t="shared" si="1051"/>
        <v>NO</v>
      </c>
      <c r="T4606" t="s">
        <v>37</v>
      </c>
      <c r="U4606" t="str">
        <f t="shared" si="1038"/>
        <v>Magazine St</v>
      </c>
      <c r="V4606" t="s">
        <v>1152</v>
      </c>
      <c r="W4606" t="str">
        <f t="shared" si="1039"/>
        <v>Hamilton St</v>
      </c>
      <c r="X4606" t="str">
        <f>IF(ISBLANK(S4606),"Intersection","Non-Intersection")</f>
        <v>Intersection</v>
      </c>
      <c r="Y4606" t="s">
        <v>3915</v>
      </c>
      <c r="Z4606" t="str">
        <f t="shared" si="1040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041"/>
        <v>40909</v>
      </c>
      <c r="D4607" s="4">
        <f t="shared" si="1042"/>
        <v>0.98360655737704916</v>
      </c>
      <c r="E4607" s="3">
        <f t="shared" si="1043"/>
        <v>2012</v>
      </c>
      <c r="F4607" s="3">
        <f t="shared" si="1044"/>
        <v>12</v>
      </c>
      <c r="G4607" s="3">
        <f t="shared" si="1045"/>
        <v>26</v>
      </c>
      <c r="H4607" s="3">
        <f t="shared" si="1046"/>
        <v>9</v>
      </c>
      <c r="I4607" s="3">
        <f t="shared" si="1047"/>
        <v>0</v>
      </c>
      <c r="J4607" s="3">
        <f t="shared" si="1048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049"/>
        <v>YES</v>
      </c>
      <c r="Q4607" t="str">
        <f t="shared" si="1050"/>
        <v>NO</v>
      </c>
      <c r="R4607" t="str">
        <f t="shared" si="1051"/>
        <v>NO</v>
      </c>
      <c r="T4607" t="s">
        <v>260</v>
      </c>
      <c r="U4607" t="str">
        <f t="shared" si="1038"/>
        <v>Third St</v>
      </c>
      <c r="V4607" t="s">
        <v>19</v>
      </c>
      <c r="W4607" t="str">
        <f t="shared" si="1039"/>
        <v>Cambridge St</v>
      </c>
      <c r="X4607" t="str">
        <f>IF(ISBLANK(S4607),"Intersection","Non-Intersection")</f>
        <v>Intersection</v>
      </c>
      <c r="Y4607" t="s">
        <v>2227</v>
      </c>
      <c r="Z4607" t="str">
        <f t="shared" si="1040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041"/>
        <v>40909</v>
      </c>
      <c r="D4608" s="4">
        <f t="shared" si="1042"/>
        <v>0.98633879781420764</v>
      </c>
      <c r="E4608" s="3">
        <f t="shared" si="1043"/>
        <v>2012</v>
      </c>
      <c r="F4608" s="3">
        <f t="shared" si="1044"/>
        <v>12</v>
      </c>
      <c r="G4608" s="3">
        <f t="shared" si="1045"/>
        <v>27</v>
      </c>
      <c r="H4608" s="3">
        <f t="shared" si="1046"/>
        <v>12</v>
      </c>
      <c r="I4608" s="3">
        <f t="shared" si="1047"/>
        <v>53</v>
      </c>
      <c r="J4608" s="3">
        <f t="shared" si="1048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049"/>
        <v>YES</v>
      </c>
      <c r="Q4608" t="str">
        <f t="shared" si="1050"/>
        <v>NO</v>
      </c>
      <c r="R4608" t="str">
        <f t="shared" si="1051"/>
        <v>NO</v>
      </c>
      <c r="S4608">
        <v>67</v>
      </c>
      <c r="T4608" t="s">
        <v>104</v>
      </c>
      <c r="U4608" t="str">
        <f t="shared" si="1038"/>
        <v>Inman St</v>
      </c>
      <c r="W4608" t="str">
        <f t="shared" si="1039"/>
        <v/>
      </c>
      <c r="X4608" t="str">
        <f>IF(ISBLANK(S4608),"Intersection","Non-Intersection")</f>
        <v>Non-Intersection</v>
      </c>
      <c r="Y4608" t="s">
        <v>5240</v>
      </c>
      <c r="Z4608" t="str">
        <f t="shared" si="1040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041"/>
        <v>40909</v>
      </c>
      <c r="D4609" s="4">
        <f t="shared" si="1042"/>
        <v>0.98633879781420764</v>
      </c>
      <c r="E4609" s="3">
        <f t="shared" si="1043"/>
        <v>2012</v>
      </c>
      <c r="F4609" s="3">
        <f t="shared" si="1044"/>
        <v>12</v>
      </c>
      <c r="G4609" s="3">
        <f t="shared" si="1045"/>
        <v>27</v>
      </c>
      <c r="H4609" s="3">
        <f t="shared" si="1046"/>
        <v>17</v>
      </c>
      <c r="I4609" s="3">
        <f t="shared" si="1047"/>
        <v>10</v>
      </c>
      <c r="J4609" s="3">
        <f t="shared" si="1048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049"/>
        <v>YES</v>
      </c>
      <c r="Q4609" t="str">
        <f t="shared" si="1050"/>
        <v>NO</v>
      </c>
      <c r="R4609" t="str">
        <f t="shared" si="1051"/>
        <v>NO</v>
      </c>
      <c r="T4609" t="s">
        <v>19</v>
      </c>
      <c r="U4609" t="str">
        <f t="shared" si="1038"/>
        <v>Cambridge St</v>
      </c>
      <c r="V4609" t="s">
        <v>189</v>
      </c>
      <c r="W4609" t="str">
        <f t="shared" si="1039"/>
        <v>Windsor St</v>
      </c>
      <c r="X4609" t="str">
        <f>IF(ISBLANK(S4609),"Intersection","Non-Intersection")</f>
        <v>Intersection</v>
      </c>
      <c r="Y4609" t="s">
        <v>244</v>
      </c>
      <c r="Z4609" t="str">
        <f t="shared" si="1040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041"/>
        <v>40909</v>
      </c>
      <c r="D4610" s="4">
        <f t="shared" si="1042"/>
        <v>0.98907103825136611</v>
      </c>
      <c r="E4610" s="3">
        <f t="shared" si="1043"/>
        <v>2012</v>
      </c>
      <c r="F4610" s="3">
        <f t="shared" si="1044"/>
        <v>12</v>
      </c>
      <c r="G4610" s="3">
        <f t="shared" si="1045"/>
        <v>28</v>
      </c>
      <c r="H4610" s="3">
        <f t="shared" si="1046"/>
        <v>23</v>
      </c>
      <c r="I4610" s="3">
        <f t="shared" si="1047"/>
        <v>0</v>
      </c>
      <c r="J4610" s="3">
        <f t="shared" si="1048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049"/>
        <v>YES</v>
      </c>
      <c r="Q4610" t="str">
        <f t="shared" si="1050"/>
        <v>NO</v>
      </c>
      <c r="R4610" t="str">
        <f t="shared" si="1051"/>
        <v>NO</v>
      </c>
      <c r="S4610">
        <v>41</v>
      </c>
      <c r="T4610" t="s">
        <v>1114</v>
      </c>
      <c r="U4610" t="str">
        <f t="shared" si="1038"/>
        <v>Market St</v>
      </c>
      <c r="W4610" t="str">
        <f t="shared" si="1039"/>
        <v/>
      </c>
      <c r="X4610" t="str">
        <f>IF(ISBLANK(S4610),"Intersection","Non-Intersection")</f>
        <v>Non-Intersection</v>
      </c>
      <c r="Y4610" t="s">
        <v>1115</v>
      </c>
      <c r="Z4610" t="str">
        <f t="shared" si="1040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041"/>
        <v>40909</v>
      </c>
      <c r="D4611" s="4">
        <f t="shared" si="1042"/>
        <v>0.98907103825136611</v>
      </c>
      <c r="E4611" s="3">
        <f t="shared" si="1043"/>
        <v>2012</v>
      </c>
      <c r="F4611" s="3">
        <f t="shared" si="1044"/>
        <v>12</v>
      </c>
      <c r="G4611" s="3">
        <f t="shared" si="1045"/>
        <v>28</v>
      </c>
      <c r="H4611" s="3">
        <f t="shared" si="1046"/>
        <v>19</v>
      </c>
      <c r="I4611" s="3">
        <f t="shared" si="1047"/>
        <v>25</v>
      </c>
      <c r="J4611" s="3">
        <f t="shared" si="1048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049"/>
        <v>YES</v>
      </c>
      <c r="Q4611" t="str">
        <f t="shared" si="1050"/>
        <v>NO</v>
      </c>
      <c r="R4611" t="str">
        <f t="shared" si="1051"/>
        <v>NO</v>
      </c>
      <c r="S4611">
        <v>14</v>
      </c>
      <c r="T4611" t="s">
        <v>260</v>
      </c>
      <c r="U4611" t="str">
        <f t="shared" ref="U4611:U4674" si="1052">TRIM(PROPER(T4611))</f>
        <v>Third St</v>
      </c>
      <c r="W4611" t="str">
        <f t="shared" ref="W4611:W4674" si="1053">TRIM(PROPER(V4611))</f>
        <v/>
      </c>
      <c r="X4611" t="str">
        <f>IF(ISBLANK(S4611),"Intersection","Non-Intersection")</f>
        <v>Non-Intersection</v>
      </c>
      <c r="Y4611" t="s">
        <v>5242</v>
      </c>
      <c r="Z4611" t="str">
        <f t="shared" ref="Z4611:Z4674" si="1054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041"/>
        <v>40909</v>
      </c>
      <c r="D4612" s="4">
        <f t="shared" si="1042"/>
        <v>0.98907103825136611</v>
      </c>
      <c r="E4612" s="3">
        <f t="shared" si="1043"/>
        <v>2012</v>
      </c>
      <c r="F4612" s="3">
        <f t="shared" si="1044"/>
        <v>12</v>
      </c>
      <c r="G4612" s="3">
        <f t="shared" si="1045"/>
        <v>28</v>
      </c>
      <c r="H4612" s="3">
        <f t="shared" si="1046"/>
        <v>14</v>
      </c>
      <c r="I4612" s="3">
        <f t="shared" si="1047"/>
        <v>19</v>
      </c>
      <c r="J4612" s="3">
        <f t="shared" si="1048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049"/>
        <v>YES</v>
      </c>
      <c r="Q4612" t="str">
        <f t="shared" si="1050"/>
        <v>NO</v>
      </c>
      <c r="R4612" t="str">
        <f t="shared" si="1051"/>
        <v>NO</v>
      </c>
      <c r="S4612">
        <v>42</v>
      </c>
      <c r="T4612" t="s">
        <v>665</v>
      </c>
      <c r="U4612" t="str">
        <f t="shared" si="1052"/>
        <v>New St</v>
      </c>
      <c r="W4612" t="str">
        <f t="shared" si="1053"/>
        <v/>
      </c>
      <c r="X4612" t="str">
        <f>IF(ISBLANK(S4612),"Intersection","Non-Intersection")</f>
        <v>Non-Intersection</v>
      </c>
      <c r="Y4612" t="s">
        <v>5244</v>
      </c>
      <c r="Z4612" t="str">
        <f t="shared" si="1054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041"/>
        <v>40909</v>
      </c>
      <c r="D4613" s="4">
        <f t="shared" si="1042"/>
        <v>0.98907103825136611</v>
      </c>
      <c r="E4613" s="3">
        <f t="shared" si="1043"/>
        <v>2012</v>
      </c>
      <c r="F4613" s="3">
        <f t="shared" si="1044"/>
        <v>12</v>
      </c>
      <c r="G4613" s="3">
        <f t="shared" si="1045"/>
        <v>28</v>
      </c>
      <c r="H4613" s="3">
        <f t="shared" si="1046"/>
        <v>11</v>
      </c>
      <c r="I4613" s="3">
        <f t="shared" si="1047"/>
        <v>0</v>
      </c>
      <c r="J4613" s="3">
        <f t="shared" si="1048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049"/>
        <v>YES</v>
      </c>
      <c r="Q4613" t="str">
        <f t="shared" si="1050"/>
        <v>NO</v>
      </c>
      <c r="R4613" t="str">
        <f t="shared" si="1051"/>
        <v>NO</v>
      </c>
      <c r="S4613">
        <v>39</v>
      </c>
      <c r="T4613" t="s">
        <v>601</v>
      </c>
      <c r="U4613" t="str">
        <f t="shared" si="1052"/>
        <v>Cedar St</v>
      </c>
      <c r="W4613" t="str">
        <f t="shared" si="1053"/>
        <v/>
      </c>
      <c r="X4613" t="str">
        <f>IF(ISBLANK(S4613),"Intersection","Non-Intersection")</f>
        <v>Non-Intersection</v>
      </c>
      <c r="Y4613" t="s">
        <v>5246</v>
      </c>
      <c r="Z4613" t="str">
        <f t="shared" si="1054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041"/>
        <v>40909</v>
      </c>
      <c r="D4614" s="4">
        <f t="shared" si="1042"/>
        <v>0.98907103825136611</v>
      </c>
      <c r="E4614" s="3">
        <f t="shared" si="1043"/>
        <v>2012</v>
      </c>
      <c r="F4614" s="3">
        <f t="shared" si="1044"/>
        <v>12</v>
      </c>
      <c r="G4614" s="3">
        <f t="shared" si="1045"/>
        <v>28</v>
      </c>
      <c r="H4614" s="3">
        <f t="shared" si="1046"/>
        <v>18</v>
      </c>
      <c r="I4614" s="3">
        <f t="shared" si="1047"/>
        <v>0</v>
      </c>
      <c r="J4614" s="3">
        <f t="shared" si="1048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049"/>
        <v>YES</v>
      </c>
      <c r="Q4614" t="str">
        <f t="shared" si="1050"/>
        <v>NO</v>
      </c>
      <c r="R4614" t="str">
        <f t="shared" si="1051"/>
        <v>NO</v>
      </c>
      <c r="S4614">
        <v>1904</v>
      </c>
      <c r="T4614" t="s">
        <v>14</v>
      </c>
      <c r="U4614" t="str">
        <f t="shared" si="1052"/>
        <v>Massachusetts Ave</v>
      </c>
      <c r="W4614" t="str">
        <f t="shared" si="1053"/>
        <v/>
      </c>
      <c r="X4614" t="str">
        <f>IF(ISBLANK(S4614),"Intersection","Non-Intersection")</f>
        <v>Non-Intersection</v>
      </c>
      <c r="Y4614" t="s">
        <v>5248</v>
      </c>
      <c r="Z4614" t="str">
        <f t="shared" si="1054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041"/>
        <v>40909</v>
      </c>
      <c r="D4615" s="4">
        <f t="shared" si="1042"/>
        <v>0.99180327868852458</v>
      </c>
      <c r="E4615" s="3">
        <f t="shared" si="1043"/>
        <v>2012</v>
      </c>
      <c r="F4615" s="3">
        <f t="shared" si="1044"/>
        <v>12</v>
      </c>
      <c r="G4615" s="3">
        <f t="shared" si="1045"/>
        <v>29</v>
      </c>
      <c r="H4615" s="3">
        <f t="shared" si="1046"/>
        <v>20</v>
      </c>
      <c r="I4615" s="3">
        <f t="shared" si="1047"/>
        <v>0</v>
      </c>
      <c r="J4615" s="3">
        <f t="shared" si="1048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049"/>
        <v>YES</v>
      </c>
      <c r="Q4615" t="str">
        <f t="shared" si="1050"/>
        <v>NO</v>
      </c>
      <c r="R4615" t="str">
        <f t="shared" si="1051"/>
        <v>NO</v>
      </c>
      <c r="T4615" t="s">
        <v>199</v>
      </c>
      <c r="U4615" t="str">
        <f t="shared" si="1052"/>
        <v>Brattle St</v>
      </c>
      <c r="V4615" t="s">
        <v>710</v>
      </c>
      <c r="W4615" t="str">
        <f t="shared" si="1053"/>
        <v>Fresh Pond Pky</v>
      </c>
      <c r="X4615" t="str">
        <f>IF(ISBLANK(S4615),"Intersection","Non-Intersection")</f>
        <v>Intersection</v>
      </c>
      <c r="Y4615" t="s">
        <v>2153</v>
      </c>
      <c r="Z4615" t="str">
        <f t="shared" si="1054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041"/>
        <v>40909</v>
      </c>
      <c r="D4616" s="4">
        <f t="shared" si="1042"/>
        <v>0.99180327868852458</v>
      </c>
      <c r="E4616" s="3">
        <f t="shared" si="1043"/>
        <v>2012</v>
      </c>
      <c r="F4616" s="3">
        <f t="shared" si="1044"/>
        <v>12</v>
      </c>
      <c r="G4616" s="3">
        <f t="shared" si="1045"/>
        <v>29</v>
      </c>
      <c r="H4616" s="3">
        <f t="shared" si="1046"/>
        <v>22</v>
      </c>
      <c r="I4616" s="3">
        <f t="shared" si="1047"/>
        <v>30</v>
      </c>
      <c r="J4616" s="3">
        <f t="shared" si="1048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049"/>
        <v>YES</v>
      </c>
      <c r="Q4616" t="str">
        <f t="shared" si="1050"/>
        <v>NO</v>
      </c>
      <c r="R4616" t="str">
        <f t="shared" si="1051"/>
        <v>NO</v>
      </c>
      <c r="S4616">
        <v>2254</v>
      </c>
      <c r="T4616" t="s">
        <v>14</v>
      </c>
      <c r="U4616" t="str">
        <f t="shared" si="1052"/>
        <v>Massachusetts Ave</v>
      </c>
      <c r="W4616" t="str">
        <f t="shared" si="1053"/>
        <v/>
      </c>
      <c r="X4616" t="str">
        <f>IF(ISBLANK(S4616),"Intersection","Non-Intersection")</f>
        <v>Non-Intersection</v>
      </c>
      <c r="Y4616" t="s">
        <v>4036</v>
      </c>
      <c r="Z4616" t="str">
        <f t="shared" si="1054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041"/>
        <v>40909</v>
      </c>
      <c r="D4617" s="4">
        <f t="shared" si="1042"/>
        <v>0.99453551912568305</v>
      </c>
      <c r="E4617" s="3">
        <f t="shared" si="1043"/>
        <v>2012</v>
      </c>
      <c r="F4617" s="3">
        <f t="shared" si="1044"/>
        <v>12</v>
      </c>
      <c r="G4617" s="3">
        <f t="shared" si="1045"/>
        <v>30</v>
      </c>
      <c r="H4617" s="3">
        <f t="shared" si="1046"/>
        <v>20</v>
      </c>
      <c r="I4617" s="3">
        <f t="shared" si="1047"/>
        <v>0</v>
      </c>
      <c r="J4617" s="3">
        <f t="shared" si="1048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049"/>
        <v>YES</v>
      </c>
      <c r="Q4617" t="str">
        <f t="shared" si="1050"/>
        <v>NO</v>
      </c>
      <c r="R4617" t="str">
        <f t="shared" si="1051"/>
        <v>NO</v>
      </c>
      <c r="T4617" t="s">
        <v>291</v>
      </c>
      <c r="U4617" t="str">
        <f t="shared" si="1052"/>
        <v>Raymond St</v>
      </c>
      <c r="V4617" t="s">
        <v>252</v>
      </c>
      <c r="W4617" t="str">
        <f t="shared" si="1053"/>
        <v>Walden St</v>
      </c>
      <c r="X4617" t="str">
        <f>IF(ISBLANK(S4617),"Intersection","Non-Intersection")</f>
        <v>Intersection</v>
      </c>
      <c r="Y4617" t="s">
        <v>3345</v>
      </c>
      <c r="Z4617" t="str">
        <f t="shared" si="1054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041"/>
        <v>40909</v>
      </c>
      <c r="D4618" s="4">
        <f t="shared" si="1042"/>
        <v>0.99453551912568305</v>
      </c>
      <c r="E4618" s="3">
        <f t="shared" si="1043"/>
        <v>2012</v>
      </c>
      <c r="F4618" s="3">
        <f t="shared" si="1044"/>
        <v>12</v>
      </c>
      <c r="G4618" s="3">
        <f t="shared" si="1045"/>
        <v>30</v>
      </c>
      <c r="H4618" s="3">
        <f t="shared" si="1046"/>
        <v>17</v>
      </c>
      <c r="I4618" s="3">
        <f t="shared" si="1047"/>
        <v>0</v>
      </c>
      <c r="J4618" s="3">
        <f t="shared" si="1048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049"/>
        <v>YES</v>
      </c>
      <c r="Q4618" t="str">
        <f t="shared" si="1050"/>
        <v>NO</v>
      </c>
      <c r="R4618" t="str">
        <f t="shared" si="1051"/>
        <v>NO</v>
      </c>
      <c r="S4618">
        <v>35</v>
      </c>
      <c r="T4618" t="s">
        <v>431</v>
      </c>
      <c r="U4618" t="str">
        <f t="shared" si="1052"/>
        <v>Hovey Ave</v>
      </c>
      <c r="W4618" t="str">
        <f t="shared" si="1053"/>
        <v/>
      </c>
      <c r="X4618" t="str">
        <f>IF(ISBLANK(S4618),"Intersection","Non-Intersection")</f>
        <v>Non-Intersection</v>
      </c>
      <c r="Y4618" t="s">
        <v>5250</v>
      </c>
      <c r="Z4618" t="str">
        <f t="shared" si="1054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041"/>
        <v>40909</v>
      </c>
      <c r="D4619" s="4">
        <f t="shared" si="1042"/>
        <v>0.99726775956284153</v>
      </c>
      <c r="E4619" s="3">
        <f t="shared" si="1043"/>
        <v>2012</v>
      </c>
      <c r="F4619" s="3">
        <f t="shared" si="1044"/>
        <v>12</v>
      </c>
      <c r="G4619" s="3">
        <f t="shared" si="1045"/>
        <v>31</v>
      </c>
      <c r="H4619" s="3">
        <f t="shared" si="1046"/>
        <v>23</v>
      </c>
      <c r="I4619" s="3">
        <f t="shared" si="1047"/>
        <v>29</v>
      </c>
      <c r="J4619" s="3">
        <f t="shared" si="1048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049"/>
        <v>YES</v>
      </c>
      <c r="Q4619" t="str">
        <f t="shared" si="1050"/>
        <v>NO</v>
      </c>
      <c r="R4619" t="str">
        <f t="shared" si="1051"/>
        <v>NO</v>
      </c>
      <c r="S4619">
        <v>70</v>
      </c>
      <c r="T4619" t="s">
        <v>899</v>
      </c>
      <c r="U4619" t="str">
        <f t="shared" si="1052"/>
        <v>Cushing St</v>
      </c>
      <c r="W4619" t="str">
        <f t="shared" si="1053"/>
        <v/>
      </c>
      <c r="X4619" t="str">
        <f>IF(ISBLANK(S4619),"Intersection","Non-Intersection")</f>
        <v>Non-Intersection</v>
      </c>
      <c r="Y4619" t="s">
        <v>5252</v>
      </c>
      <c r="Z4619" t="str">
        <f t="shared" si="1054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041"/>
        <v>41275</v>
      </c>
      <c r="D4620" s="4">
        <f t="shared" si="1042"/>
        <v>0</v>
      </c>
      <c r="E4620" s="3">
        <f t="shared" si="1043"/>
        <v>2013</v>
      </c>
      <c r="F4620" s="3">
        <f t="shared" si="1044"/>
        <v>1</v>
      </c>
      <c r="G4620" s="3">
        <f t="shared" si="1045"/>
        <v>1</v>
      </c>
      <c r="H4620" s="3">
        <f t="shared" si="1046"/>
        <v>3</v>
      </c>
      <c r="I4620" s="3">
        <f t="shared" si="1047"/>
        <v>10</v>
      </c>
      <c r="J4620" s="3">
        <f t="shared" si="1048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049"/>
        <v>YES</v>
      </c>
      <c r="Q4620" t="str">
        <f t="shared" si="1050"/>
        <v>NO</v>
      </c>
      <c r="R4620" t="str">
        <f t="shared" si="1051"/>
        <v>NO</v>
      </c>
      <c r="S4620">
        <v>258</v>
      </c>
      <c r="T4620" t="s">
        <v>342</v>
      </c>
      <c r="U4620" t="str">
        <f t="shared" si="1052"/>
        <v>Prospect St</v>
      </c>
      <c r="V4620" t="s">
        <v>74</v>
      </c>
      <c r="W4620" t="str">
        <f t="shared" si="1053"/>
        <v>Hampshire St</v>
      </c>
      <c r="X4620" t="str">
        <f>IF(ISBLANK(S4620),"Intersection","Non-Intersection")</f>
        <v>Non-Intersection</v>
      </c>
      <c r="Y4620" t="s">
        <v>5254</v>
      </c>
      <c r="Z4620" t="str">
        <f t="shared" si="1054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041"/>
        <v>41275</v>
      </c>
      <c r="D4621" s="4">
        <f t="shared" si="1042"/>
        <v>0</v>
      </c>
      <c r="E4621" s="3">
        <f t="shared" si="1043"/>
        <v>2013</v>
      </c>
      <c r="F4621" s="3">
        <f t="shared" si="1044"/>
        <v>1</v>
      </c>
      <c r="G4621" s="3">
        <f t="shared" si="1045"/>
        <v>1</v>
      </c>
      <c r="H4621" s="3">
        <f t="shared" si="1046"/>
        <v>14</v>
      </c>
      <c r="I4621" s="3">
        <f t="shared" si="1047"/>
        <v>38</v>
      </c>
      <c r="J4621" s="3">
        <f t="shared" si="1048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049"/>
        <v>YES</v>
      </c>
      <c r="Q4621" t="str">
        <f t="shared" si="1050"/>
        <v>NO</v>
      </c>
      <c r="R4621" t="str">
        <f t="shared" si="1051"/>
        <v>NO</v>
      </c>
      <c r="S4621">
        <v>18</v>
      </c>
      <c r="T4621" t="s">
        <v>899</v>
      </c>
      <c r="U4621" t="str">
        <f t="shared" si="1052"/>
        <v>Cushing St</v>
      </c>
      <c r="W4621" t="str">
        <f t="shared" si="1053"/>
        <v/>
      </c>
      <c r="X4621" t="str">
        <f>IF(ISBLANK(S4621),"Intersection","Non-Intersection")</f>
        <v>Non-Intersection</v>
      </c>
      <c r="Y4621" t="s">
        <v>5256</v>
      </c>
      <c r="Z4621" t="str">
        <f t="shared" si="1054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041"/>
        <v>41275</v>
      </c>
      <c r="D4622" s="4">
        <f t="shared" si="1042"/>
        <v>0</v>
      </c>
      <c r="E4622" s="3">
        <f t="shared" si="1043"/>
        <v>2013</v>
      </c>
      <c r="F4622" s="3">
        <f t="shared" si="1044"/>
        <v>1</v>
      </c>
      <c r="G4622" s="3">
        <f t="shared" si="1045"/>
        <v>1</v>
      </c>
      <c r="H4622" s="3">
        <f t="shared" si="1046"/>
        <v>12</v>
      </c>
      <c r="I4622" s="3">
        <f t="shared" si="1047"/>
        <v>45</v>
      </c>
      <c r="J4622" s="3">
        <f t="shared" si="1048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049"/>
        <v>YES</v>
      </c>
      <c r="Q4622" t="str">
        <f t="shared" si="1050"/>
        <v>NO</v>
      </c>
      <c r="R4622" t="str">
        <f t="shared" si="1051"/>
        <v>NO</v>
      </c>
      <c r="S4622">
        <v>51</v>
      </c>
      <c r="T4622" t="s">
        <v>1013</v>
      </c>
      <c r="U4622" t="str">
        <f t="shared" si="1052"/>
        <v>Blanchard Rd</v>
      </c>
      <c r="W4622" t="str">
        <f t="shared" si="1053"/>
        <v/>
      </c>
      <c r="X4622" t="str">
        <f>IF(ISBLANK(S4622),"Intersection","Non-Intersection")</f>
        <v>Non-Intersection</v>
      </c>
      <c r="Y4622" t="s">
        <v>5258</v>
      </c>
      <c r="Z4622" t="str">
        <f t="shared" si="1054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041"/>
        <v>41275</v>
      </c>
      <c r="D4623" s="4">
        <f t="shared" si="1042"/>
        <v>0</v>
      </c>
      <c r="E4623" s="3">
        <f t="shared" si="1043"/>
        <v>2013</v>
      </c>
      <c r="F4623" s="3">
        <f t="shared" si="1044"/>
        <v>1</v>
      </c>
      <c r="G4623" s="3">
        <f t="shared" si="1045"/>
        <v>1</v>
      </c>
      <c r="H4623" s="3">
        <f t="shared" si="1046"/>
        <v>18</v>
      </c>
      <c r="I4623" s="3">
        <f t="shared" si="1047"/>
        <v>0</v>
      </c>
      <c r="J4623" s="3">
        <f t="shared" si="1048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049"/>
        <v>YES</v>
      </c>
      <c r="Q4623" t="str">
        <f t="shared" si="1050"/>
        <v>NO</v>
      </c>
      <c r="R4623" t="str">
        <f t="shared" si="1051"/>
        <v>NO</v>
      </c>
      <c r="S4623">
        <v>151</v>
      </c>
      <c r="T4623" t="s">
        <v>189</v>
      </c>
      <c r="U4623" t="str">
        <f t="shared" si="1052"/>
        <v>Windsor St</v>
      </c>
      <c r="W4623" t="str">
        <f t="shared" si="1053"/>
        <v/>
      </c>
      <c r="X4623" t="str">
        <f>IF(ISBLANK(S4623),"Intersection","Non-Intersection")</f>
        <v>Non-Intersection</v>
      </c>
      <c r="Y4623" t="s">
        <v>5260</v>
      </c>
      <c r="Z4623" t="str">
        <f t="shared" si="1054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041"/>
        <v>41275</v>
      </c>
      <c r="D4624" s="4">
        <f t="shared" si="1042"/>
        <v>0</v>
      </c>
      <c r="E4624" s="3">
        <f t="shared" si="1043"/>
        <v>2013</v>
      </c>
      <c r="F4624" s="3">
        <f t="shared" si="1044"/>
        <v>1</v>
      </c>
      <c r="G4624" s="3">
        <f t="shared" si="1045"/>
        <v>1</v>
      </c>
      <c r="H4624" s="3">
        <f t="shared" si="1046"/>
        <v>6</v>
      </c>
      <c r="I4624" s="3">
        <f t="shared" si="1047"/>
        <v>0</v>
      </c>
      <c r="J4624" s="3">
        <f t="shared" si="1048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049"/>
        <v>YES</v>
      </c>
      <c r="Q4624" t="str">
        <f t="shared" si="1050"/>
        <v>NO</v>
      </c>
      <c r="R4624" t="str">
        <f t="shared" si="1051"/>
        <v>NO</v>
      </c>
      <c r="T4624" t="s">
        <v>19</v>
      </c>
      <c r="U4624" t="str">
        <f t="shared" si="1052"/>
        <v>Cambridge St</v>
      </c>
      <c r="V4624" t="s">
        <v>74</v>
      </c>
      <c r="W4624" t="str">
        <f t="shared" si="1053"/>
        <v>Hampshire St</v>
      </c>
      <c r="X4624" t="str">
        <f>IF(ISBLANK(S4624),"Intersection","Non-Intersection")</f>
        <v>Intersection</v>
      </c>
      <c r="Y4624" t="s">
        <v>111</v>
      </c>
      <c r="Z4624" t="str">
        <f t="shared" si="1054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041"/>
        <v>41275</v>
      </c>
      <c r="D4625" s="4">
        <f t="shared" si="1042"/>
        <v>2.7397260273972603E-3</v>
      </c>
      <c r="E4625" s="3">
        <f t="shared" si="1043"/>
        <v>2013</v>
      </c>
      <c r="F4625" s="3">
        <f t="shared" si="1044"/>
        <v>1</v>
      </c>
      <c r="G4625" s="3">
        <f t="shared" si="1045"/>
        <v>2</v>
      </c>
      <c r="H4625" s="3">
        <f t="shared" si="1046"/>
        <v>12</v>
      </c>
      <c r="I4625" s="3">
        <f t="shared" si="1047"/>
        <v>0</v>
      </c>
      <c r="J4625" s="3">
        <f t="shared" si="1048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049"/>
        <v>YES</v>
      </c>
      <c r="Q4625" t="str">
        <f t="shared" si="1050"/>
        <v>NO</v>
      </c>
      <c r="R4625" t="str">
        <f t="shared" si="1051"/>
        <v>NO</v>
      </c>
      <c r="S4625">
        <v>770</v>
      </c>
      <c r="T4625" t="s">
        <v>203</v>
      </c>
      <c r="U4625" t="str">
        <f t="shared" si="1052"/>
        <v>Memorial Dr</v>
      </c>
      <c r="W4625" t="str">
        <f t="shared" si="1053"/>
        <v/>
      </c>
      <c r="X4625" t="str">
        <f>IF(ISBLANK(S4625),"Intersection","Non-Intersection")</f>
        <v>Non-Intersection</v>
      </c>
      <c r="Y4625" t="s">
        <v>5262</v>
      </c>
      <c r="Z4625" t="str">
        <f t="shared" si="1054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041"/>
        <v>41275</v>
      </c>
      <c r="D4626" s="4">
        <f t="shared" si="1042"/>
        <v>2.7397260273972603E-3</v>
      </c>
      <c r="E4626" s="3">
        <f t="shared" si="1043"/>
        <v>2013</v>
      </c>
      <c r="F4626" s="3">
        <f t="shared" si="1044"/>
        <v>1</v>
      </c>
      <c r="G4626" s="3">
        <f t="shared" si="1045"/>
        <v>2</v>
      </c>
      <c r="H4626" s="3">
        <f t="shared" si="1046"/>
        <v>12</v>
      </c>
      <c r="I4626" s="3">
        <f t="shared" si="1047"/>
        <v>34</v>
      </c>
      <c r="J4626" s="3">
        <f t="shared" si="1048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049"/>
        <v>YES</v>
      </c>
      <c r="Q4626" t="str">
        <f t="shared" si="1050"/>
        <v>NO</v>
      </c>
      <c r="R4626" t="str">
        <f t="shared" si="1051"/>
        <v>NO</v>
      </c>
      <c r="T4626" t="s">
        <v>14</v>
      </c>
      <c r="U4626" t="str">
        <f t="shared" si="1052"/>
        <v>Massachusetts Ave</v>
      </c>
      <c r="V4626" t="s">
        <v>487</v>
      </c>
      <c r="W4626" t="str">
        <f t="shared" si="1053"/>
        <v>Beech St</v>
      </c>
      <c r="X4626" t="str">
        <f>IF(ISBLANK(S4626),"Intersection","Non-Intersection")</f>
        <v>Intersection</v>
      </c>
      <c r="Y4626" t="s">
        <v>787</v>
      </c>
      <c r="Z4626" t="str">
        <f t="shared" si="1054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041"/>
        <v>41275</v>
      </c>
      <c r="D4627" s="4">
        <f t="shared" si="1042"/>
        <v>2.7397260273972603E-3</v>
      </c>
      <c r="E4627" s="3">
        <f t="shared" si="1043"/>
        <v>2013</v>
      </c>
      <c r="F4627" s="3">
        <f t="shared" si="1044"/>
        <v>1</v>
      </c>
      <c r="G4627" s="3">
        <f t="shared" si="1045"/>
        <v>2</v>
      </c>
      <c r="H4627" s="3">
        <f t="shared" si="1046"/>
        <v>13</v>
      </c>
      <c r="I4627" s="3">
        <f t="shared" si="1047"/>
        <v>30</v>
      </c>
      <c r="J4627" s="3">
        <f t="shared" si="1048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049"/>
        <v>YES</v>
      </c>
      <c r="Q4627" t="str">
        <f t="shared" si="1050"/>
        <v>NO</v>
      </c>
      <c r="R4627" t="str">
        <f t="shared" si="1051"/>
        <v>NO</v>
      </c>
      <c r="S4627">
        <v>35</v>
      </c>
      <c r="T4627" t="s">
        <v>4313</v>
      </c>
      <c r="U4627" t="str">
        <f t="shared" si="1052"/>
        <v>Dunstable Rd</v>
      </c>
      <c r="W4627" t="str">
        <f t="shared" si="1053"/>
        <v/>
      </c>
      <c r="X4627" t="str">
        <f>IF(ISBLANK(S4627),"Intersection","Non-Intersection")</f>
        <v>Non-Intersection</v>
      </c>
      <c r="Y4627" t="s">
        <v>5264</v>
      </c>
      <c r="Z4627" t="str">
        <f t="shared" si="1054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041"/>
        <v>41275</v>
      </c>
      <c r="D4628" s="4">
        <f t="shared" si="1042"/>
        <v>2.7397260273972603E-3</v>
      </c>
      <c r="E4628" s="3">
        <f t="shared" si="1043"/>
        <v>2013</v>
      </c>
      <c r="F4628" s="3">
        <f t="shared" si="1044"/>
        <v>1</v>
      </c>
      <c r="G4628" s="3">
        <f t="shared" si="1045"/>
        <v>2</v>
      </c>
      <c r="H4628" s="3">
        <f t="shared" si="1046"/>
        <v>14</v>
      </c>
      <c r="I4628" s="3">
        <f t="shared" si="1047"/>
        <v>29</v>
      </c>
      <c r="J4628" s="3">
        <f t="shared" si="1048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049"/>
        <v>YES</v>
      </c>
      <c r="Q4628" t="str">
        <f t="shared" si="1050"/>
        <v>NO</v>
      </c>
      <c r="R4628" t="str">
        <f t="shared" si="1051"/>
        <v>NO</v>
      </c>
      <c r="T4628" t="s">
        <v>342</v>
      </c>
      <c r="U4628" t="str">
        <f t="shared" si="1052"/>
        <v>Prospect St</v>
      </c>
      <c r="V4628" t="s">
        <v>133</v>
      </c>
      <c r="W4628" t="str">
        <f t="shared" si="1053"/>
        <v>Harvard St</v>
      </c>
      <c r="X4628" t="str">
        <f>IF(ISBLANK(S4628),"Intersection","Non-Intersection")</f>
        <v>Intersection</v>
      </c>
      <c r="Y4628" t="s">
        <v>884</v>
      </c>
      <c r="Z4628" t="str">
        <f t="shared" si="1054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041"/>
        <v>41275</v>
      </c>
      <c r="D4629" s="4">
        <f t="shared" si="1042"/>
        <v>2.7397260273972603E-3</v>
      </c>
      <c r="E4629" s="3">
        <f t="shared" si="1043"/>
        <v>2013</v>
      </c>
      <c r="F4629" s="3">
        <f t="shared" si="1044"/>
        <v>1</v>
      </c>
      <c r="G4629" s="3">
        <f t="shared" si="1045"/>
        <v>2</v>
      </c>
      <c r="H4629" s="3">
        <f t="shared" si="1046"/>
        <v>15</v>
      </c>
      <c r="I4629" s="3">
        <f t="shared" si="1047"/>
        <v>59</v>
      </c>
      <c r="J4629" s="3">
        <f t="shared" si="1048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049"/>
        <v>YES</v>
      </c>
      <c r="Q4629" t="str">
        <f t="shared" si="1050"/>
        <v>NO</v>
      </c>
      <c r="R4629" t="str">
        <f t="shared" si="1051"/>
        <v>NO</v>
      </c>
      <c r="T4629" t="s">
        <v>185</v>
      </c>
      <c r="U4629" t="str">
        <f t="shared" si="1052"/>
        <v>Garden St</v>
      </c>
      <c r="W4629" t="str">
        <f t="shared" si="1053"/>
        <v/>
      </c>
      <c r="X4629" t="str">
        <f>IF(ISBLANK(S4629),"Intersection","Non-Intersection")</f>
        <v>Intersection</v>
      </c>
      <c r="Y4629" t="s">
        <v>566</v>
      </c>
      <c r="Z4629" t="str">
        <f t="shared" si="1054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041"/>
        <v>41275</v>
      </c>
      <c r="D4630" s="4">
        <f t="shared" si="1042"/>
        <v>2.7397260273972603E-3</v>
      </c>
      <c r="E4630" s="3">
        <f t="shared" si="1043"/>
        <v>2013</v>
      </c>
      <c r="F4630" s="3">
        <f t="shared" si="1044"/>
        <v>1</v>
      </c>
      <c r="G4630" s="3">
        <f t="shared" si="1045"/>
        <v>2</v>
      </c>
      <c r="H4630" s="3">
        <f t="shared" si="1046"/>
        <v>16</v>
      </c>
      <c r="I4630" s="3">
        <f t="shared" si="1047"/>
        <v>30</v>
      </c>
      <c r="J4630" s="3">
        <f t="shared" si="1048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049"/>
        <v>YES</v>
      </c>
      <c r="Q4630" t="str">
        <f t="shared" si="1050"/>
        <v>NO</v>
      </c>
      <c r="R4630" t="str">
        <f t="shared" si="1051"/>
        <v>NO</v>
      </c>
      <c r="T4630" t="s">
        <v>185</v>
      </c>
      <c r="U4630" t="str">
        <f t="shared" si="1052"/>
        <v>Garden St</v>
      </c>
      <c r="V4630" t="s">
        <v>296</v>
      </c>
      <c r="W4630" t="str">
        <f t="shared" si="1053"/>
        <v>Mason St</v>
      </c>
      <c r="X4630" t="str">
        <f>IF(ISBLANK(S4630),"Intersection","Non-Intersection")</f>
        <v>Intersection</v>
      </c>
      <c r="Y4630" t="s">
        <v>594</v>
      </c>
      <c r="Z4630" t="str">
        <f t="shared" si="1054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041"/>
        <v>41275</v>
      </c>
      <c r="D4631" s="4">
        <f t="shared" si="1042"/>
        <v>2.7397260273972603E-3</v>
      </c>
      <c r="E4631" s="3">
        <f t="shared" si="1043"/>
        <v>2013</v>
      </c>
      <c r="F4631" s="3">
        <f t="shared" si="1044"/>
        <v>1</v>
      </c>
      <c r="G4631" s="3">
        <f t="shared" si="1045"/>
        <v>2</v>
      </c>
      <c r="H4631" s="3">
        <f t="shared" si="1046"/>
        <v>16</v>
      </c>
      <c r="I4631" s="3">
        <f t="shared" si="1047"/>
        <v>56</v>
      </c>
      <c r="J4631" s="3">
        <f t="shared" si="1048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049"/>
        <v>YES</v>
      </c>
      <c r="Q4631" t="str">
        <f t="shared" si="1050"/>
        <v>NO</v>
      </c>
      <c r="R4631" t="str">
        <f t="shared" si="1051"/>
        <v>NO</v>
      </c>
      <c r="T4631" t="s">
        <v>198</v>
      </c>
      <c r="U4631" t="str">
        <f t="shared" si="1052"/>
        <v>Mount Auburn St</v>
      </c>
      <c r="V4631" t="s">
        <v>518</v>
      </c>
      <c r="W4631" t="str">
        <f t="shared" si="1053"/>
        <v>Willard St</v>
      </c>
      <c r="X4631" t="str">
        <f>IF(ISBLANK(S4631),"Intersection","Non-Intersection")</f>
        <v>Intersection</v>
      </c>
      <c r="Y4631" t="s">
        <v>519</v>
      </c>
      <c r="Z4631" t="str">
        <f t="shared" si="1054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041"/>
        <v>41275</v>
      </c>
      <c r="D4632" s="4">
        <f t="shared" si="1042"/>
        <v>2.7397260273972603E-3</v>
      </c>
      <c r="E4632" s="3">
        <f t="shared" si="1043"/>
        <v>2013</v>
      </c>
      <c r="F4632" s="3">
        <f t="shared" si="1044"/>
        <v>1</v>
      </c>
      <c r="G4632" s="3">
        <f t="shared" si="1045"/>
        <v>2</v>
      </c>
      <c r="H4632" s="3">
        <f t="shared" si="1046"/>
        <v>18</v>
      </c>
      <c r="I4632" s="3">
        <f t="shared" si="1047"/>
        <v>45</v>
      </c>
      <c r="J4632" s="3">
        <f t="shared" si="1048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049"/>
        <v>YES</v>
      </c>
      <c r="Q4632" t="str">
        <f t="shared" si="1050"/>
        <v>NO</v>
      </c>
      <c r="R4632" t="str">
        <f t="shared" si="1051"/>
        <v>NO</v>
      </c>
      <c r="S4632">
        <v>701</v>
      </c>
      <c r="T4632" t="s">
        <v>186</v>
      </c>
      <c r="U4632" t="str">
        <f t="shared" si="1052"/>
        <v>Concord Ave</v>
      </c>
      <c r="W4632" t="str">
        <f t="shared" si="1053"/>
        <v/>
      </c>
      <c r="X4632" t="str">
        <f>IF(ISBLANK(S4632),"Intersection","Non-Intersection")</f>
        <v>Non-Intersection</v>
      </c>
      <c r="Y4632" t="s">
        <v>5265</v>
      </c>
      <c r="Z4632" t="str">
        <f t="shared" si="1054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041"/>
        <v>41275</v>
      </c>
      <c r="D4633" s="4">
        <f t="shared" si="1042"/>
        <v>2.7397260273972603E-3</v>
      </c>
      <c r="E4633" s="3">
        <f t="shared" si="1043"/>
        <v>2013</v>
      </c>
      <c r="F4633" s="3">
        <f t="shared" si="1044"/>
        <v>1</v>
      </c>
      <c r="G4633" s="3">
        <f t="shared" si="1045"/>
        <v>2</v>
      </c>
      <c r="H4633" s="3">
        <f t="shared" si="1046"/>
        <v>21</v>
      </c>
      <c r="I4633" s="3">
        <f t="shared" si="1047"/>
        <v>20</v>
      </c>
      <c r="J4633" s="3">
        <f t="shared" si="1048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049"/>
        <v>YES</v>
      </c>
      <c r="Q4633" t="str">
        <f t="shared" si="1050"/>
        <v>YES</v>
      </c>
      <c r="R4633" t="str">
        <f t="shared" si="1051"/>
        <v>NO</v>
      </c>
      <c r="T4633" t="s">
        <v>19</v>
      </c>
      <c r="U4633" t="str">
        <f t="shared" si="1052"/>
        <v>Cambridge St</v>
      </c>
      <c r="V4633" t="s">
        <v>101</v>
      </c>
      <c r="W4633" t="str">
        <f t="shared" si="1053"/>
        <v>Columbia St</v>
      </c>
      <c r="X4633" t="str">
        <f>IF(ISBLANK(S4633),"Intersection","Non-Intersection")</f>
        <v>Intersection</v>
      </c>
      <c r="Y4633" t="s">
        <v>438</v>
      </c>
      <c r="Z4633" t="str">
        <f t="shared" si="1054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041"/>
        <v>41275</v>
      </c>
      <c r="D4634" s="4">
        <f t="shared" si="1042"/>
        <v>5.4794520547945206E-3</v>
      </c>
      <c r="E4634" s="3">
        <f t="shared" si="1043"/>
        <v>2013</v>
      </c>
      <c r="F4634" s="3">
        <f t="shared" si="1044"/>
        <v>1</v>
      </c>
      <c r="G4634" s="3">
        <f t="shared" si="1045"/>
        <v>3</v>
      </c>
      <c r="H4634" s="3">
        <f t="shared" si="1046"/>
        <v>6</v>
      </c>
      <c r="I4634" s="3">
        <f t="shared" si="1047"/>
        <v>59</v>
      </c>
      <c r="J4634" s="3">
        <f t="shared" si="1048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049"/>
        <v>YES</v>
      </c>
      <c r="Q4634" t="str">
        <f t="shared" si="1050"/>
        <v>NO</v>
      </c>
      <c r="R4634" t="str">
        <f t="shared" si="1051"/>
        <v>NO</v>
      </c>
      <c r="T4634" t="s">
        <v>147</v>
      </c>
      <c r="U4634" t="str">
        <f t="shared" si="1052"/>
        <v>Sixth St</v>
      </c>
      <c r="V4634" t="s">
        <v>556</v>
      </c>
      <c r="W4634" t="str">
        <f t="shared" si="1053"/>
        <v>Bent St</v>
      </c>
      <c r="X4634" t="str">
        <f>IF(ISBLANK(S4634),"Intersection","Non-Intersection")</f>
        <v>Intersection</v>
      </c>
      <c r="Y4634" t="s">
        <v>557</v>
      </c>
      <c r="Z4634" t="str">
        <f t="shared" si="1054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041"/>
        <v>41275</v>
      </c>
      <c r="D4635" s="4">
        <f t="shared" si="1042"/>
        <v>5.4794520547945206E-3</v>
      </c>
      <c r="E4635" s="3">
        <f t="shared" si="1043"/>
        <v>2013</v>
      </c>
      <c r="F4635" s="3">
        <f t="shared" si="1044"/>
        <v>1</v>
      </c>
      <c r="G4635" s="3">
        <f t="shared" si="1045"/>
        <v>3</v>
      </c>
      <c r="H4635" s="3">
        <f t="shared" si="1046"/>
        <v>8</v>
      </c>
      <c r="I4635" s="3">
        <f t="shared" si="1047"/>
        <v>10</v>
      </c>
      <c r="J4635" s="3">
        <f t="shared" si="1048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049"/>
        <v>YES</v>
      </c>
      <c r="Q4635" t="str">
        <f t="shared" si="1050"/>
        <v>NO</v>
      </c>
      <c r="R4635" t="str">
        <f t="shared" si="1051"/>
        <v>NO</v>
      </c>
      <c r="T4635" t="s">
        <v>45</v>
      </c>
      <c r="U4635" t="str">
        <f t="shared" si="1052"/>
        <v>Sherman St</v>
      </c>
      <c r="V4635" t="s">
        <v>1145</v>
      </c>
      <c r="W4635" t="str">
        <f t="shared" si="1053"/>
        <v>Pemberton St</v>
      </c>
      <c r="X4635" t="str">
        <f>IF(ISBLANK(S4635),"Intersection","Non-Intersection")</f>
        <v>Intersection</v>
      </c>
      <c r="Y4635" t="s">
        <v>5267</v>
      </c>
      <c r="Z4635" t="str">
        <f t="shared" si="1054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041"/>
        <v>41275</v>
      </c>
      <c r="D4636" s="4">
        <f t="shared" si="1042"/>
        <v>5.4794520547945206E-3</v>
      </c>
      <c r="E4636" s="3">
        <f t="shared" si="1043"/>
        <v>2013</v>
      </c>
      <c r="F4636" s="3">
        <f t="shared" si="1044"/>
        <v>1</v>
      </c>
      <c r="G4636" s="3">
        <f t="shared" si="1045"/>
        <v>3</v>
      </c>
      <c r="H4636" s="3">
        <f t="shared" si="1046"/>
        <v>22</v>
      </c>
      <c r="I4636" s="3">
        <f t="shared" si="1047"/>
        <v>44</v>
      </c>
      <c r="J4636" s="3">
        <f t="shared" si="1048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049"/>
        <v>YES</v>
      </c>
      <c r="Q4636" t="str">
        <f t="shared" si="1050"/>
        <v>NO</v>
      </c>
      <c r="R4636" t="str">
        <f t="shared" si="1051"/>
        <v>NO</v>
      </c>
      <c r="T4636" t="s">
        <v>1582</v>
      </c>
      <c r="U4636" t="str">
        <f t="shared" si="1052"/>
        <v>Gold Star Rd</v>
      </c>
      <c r="W4636" t="str">
        <f t="shared" si="1053"/>
        <v/>
      </c>
      <c r="X4636" t="str">
        <f>IF(ISBLANK(S4636),"Intersection","Non-Intersection")</f>
        <v>Intersection</v>
      </c>
      <c r="Y4636" t="s">
        <v>1583</v>
      </c>
      <c r="Z4636" t="str">
        <f t="shared" si="1054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041"/>
        <v>41275</v>
      </c>
      <c r="D4637" s="4">
        <f t="shared" si="1042"/>
        <v>8.21917808219178E-3</v>
      </c>
      <c r="E4637" s="3">
        <f t="shared" si="1043"/>
        <v>2013</v>
      </c>
      <c r="F4637" s="3">
        <f t="shared" si="1044"/>
        <v>1</v>
      </c>
      <c r="G4637" s="3">
        <f t="shared" si="1045"/>
        <v>4</v>
      </c>
      <c r="H4637" s="3">
        <f t="shared" si="1046"/>
        <v>7</v>
      </c>
      <c r="I4637" s="3">
        <f t="shared" si="1047"/>
        <v>30</v>
      </c>
      <c r="J4637" s="3">
        <f t="shared" si="1048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049"/>
        <v>YES</v>
      </c>
      <c r="Q4637" t="str">
        <f t="shared" si="1050"/>
        <v>NO</v>
      </c>
      <c r="R4637" t="str">
        <f t="shared" si="1051"/>
        <v>NO</v>
      </c>
      <c r="T4637" t="s">
        <v>189</v>
      </c>
      <c r="U4637" t="str">
        <f t="shared" si="1052"/>
        <v>Windsor St</v>
      </c>
      <c r="V4637" t="s">
        <v>133</v>
      </c>
      <c r="W4637" t="str">
        <f t="shared" si="1053"/>
        <v>Harvard St</v>
      </c>
      <c r="X4637" t="str">
        <f>IF(ISBLANK(S4637),"Intersection","Non-Intersection")</f>
        <v>Intersection</v>
      </c>
      <c r="Y4637" t="s">
        <v>1715</v>
      </c>
      <c r="Z4637" t="str">
        <f t="shared" si="1054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041"/>
        <v>41275</v>
      </c>
      <c r="D4638" s="4">
        <f t="shared" si="1042"/>
        <v>8.21917808219178E-3</v>
      </c>
      <c r="E4638" s="3">
        <f t="shared" si="1043"/>
        <v>2013</v>
      </c>
      <c r="F4638" s="3">
        <f t="shared" si="1044"/>
        <v>1</v>
      </c>
      <c r="G4638" s="3">
        <f t="shared" si="1045"/>
        <v>4</v>
      </c>
      <c r="H4638" s="3">
        <f t="shared" si="1046"/>
        <v>11</v>
      </c>
      <c r="I4638" s="3">
        <f t="shared" si="1047"/>
        <v>29</v>
      </c>
      <c r="J4638" s="3">
        <f t="shared" si="1048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049"/>
        <v>YES</v>
      </c>
      <c r="Q4638" t="str">
        <f t="shared" si="1050"/>
        <v>NO</v>
      </c>
      <c r="R4638" t="str">
        <f t="shared" si="1051"/>
        <v>NO</v>
      </c>
      <c r="T4638" t="s">
        <v>105</v>
      </c>
      <c r="U4638" t="str">
        <f t="shared" si="1052"/>
        <v>Broadway</v>
      </c>
      <c r="V4638" t="s">
        <v>260</v>
      </c>
      <c r="W4638" t="str">
        <f t="shared" si="1053"/>
        <v>Third St</v>
      </c>
      <c r="X4638" t="str">
        <f>IF(ISBLANK(S4638),"Intersection","Non-Intersection")</f>
        <v>Intersection</v>
      </c>
      <c r="Y4638" t="s">
        <v>2506</v>
      </c>
      <c r="Z4638" t="str">
        <f t="shared" si="1054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041"/>
        <v>41275</v>
      </c>
      <c r="D4639" s="4">
        <f t="shared" si="1042"/>
        <v>8.21917808219178E-3</v>
      </c>
      <c r="E4639" s="3">
        <f t="shared" si="1043"/>
        <v>2013</v>
      </c>
      <c r="F4639" s="3">
        <f t="shared" si="1044"/>
        <v>1</v>
      </c>
      <c r="G4639" s="3">
        <f t="shared" si="1045"/>
        <v>4</v>
      </c>
      <c r="H4639" s="3">
        <f t="shared" si="1046"/>
        <v>12</v>
      </c>
      <c r="I4639" s="3">
        <f t="shared" si="1047"/>
        <v>23</v>
      </c>
      <c r="J4639" s="3">
        <f t="shared" si="1048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049"/>
        <v>YES</v>
      </c>
      <c r="Q4639" t="str">
        <f t="shared" si="1050"/>
        <v>NO</v>
      </c>
      <c r="R4639" t="str">
        <f t="shared" si="1051"/>
        <v>NO</v>
      </c>
      <c r="T4639" t="s">
        <v>3732</v>
      </c>
      <c r="U4639" t="str">
        <f t="shared" si="1052"/>
        <v>Purrington St</v>
      </c>
      <c r="V4639" t="s">
        <v>249</v>
      </c>
      <c r="W4639" t="str">
        <f t="shared" si="1053"/>
        <v>Landsdowne St</v>
      </c>
      <c r="X4639" t="str">
        <f>IF(ISBLANK(S4639),"Intersection","Non-Intersection")</f>
        <v>Intersection</v>
      </c>
      <c r="Y4639" t="s">
        <v>5269</v>
      </c>
      <c r="Z4639" t="str">
        <f t="shared" si="1054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041"/>
        <v>41275</v>
      </c>
      <c r="D4640" s="4">
        <f t="shared" si="1042"/>
        <v>8.21917808219178E-3</v>
      </c>
      <c r="E4640" s="3">
        <f t="shared" si="1043"/>
        <v>2013</v>
      </c>
      <c r="F4640" s="3">
        <f t="shared" si="1044"/>
        <v>1</v>
      </c>
      <c r="G4640" s="3">
        <f t="shared" si="1045"/>
        <v>4</v>
      </c>
      <c r="H4640" s="3">
        <f t="shared" si="1046"/>
        <v>19</v>
      </c>
      <c r="I4640" s="3">
        <f t="shared" si="1047"/>
        <v>30</v>
      </c>
      <c r="J4640" s="3">
        <f t="shared" si="1048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049"/>
        <v>YES</v>
      </c>
      <c r="Q4640" t="str">
        <f t="shared" si="1050"/>
        <v>NO</v>
      </c>
      <c r="R4640" t="str">
        <f t="shared" si="1051"/>
        <v>NO</v>
      </c>
      <c r="S4640">
        <v>99</v>
      </c>
      <c r="T4640" t="s">
        <v>2319</v>
      </c>
      <c r="U4640" t="str">
        <f t="shared" si="1052"/>
        <v>Moore St</v>
      </c>
      <c r="W4640" t="str">
        <f t="shared" si="1053"/>
        <v/>
      </c>
      <c r="X4640" t="str">
        <f>IF(ISBLANK(S4640),"Intersection","Non-Intersection")</f>
        <v>Non-Intersection</v>
      </c>
      <c r="Y4640" t="s">
        <v>5270</v>
      </c>
      <c r="Z4640" t="str">
        <f t="shared" si="1054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041"/>
        <v>41275</v>
      </c>
      <c r="D4641" s="4">
        <f t="shared" si="1042"/>
        <v>1.0958904109589041E-2</v>
      </c>
      <c r="E4641" s="3">
        <f t="shared" si="1043"/>
        <v>2013</v>
      </c>
      <c r="F4641" s="3">
        <f t="shared" si="1044"/>
        <v>1</v>
      </c>
      <c r="G4641" s="3">
        <f t="shared" si="1045"/>
        <v>5</v>
      </c>
      <c r="H4641" s="3">
        <f t="shared" si="1046"/>
        <v>9</v>
      </c>
      <c r="I4641" s="3">
        <f t="shared" si="1047"/>
        <v>49</v>
      </c>
      <c r="J4641" s="3">
        <f t="shared" si="1048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049"/>
        <v>YES</v>
      </c>
      <c r="Q4641" t="str">
        <f t="shared" si="1050"/>
        <v>NO</v>
      </c>
      <c r="R4641" t="str">
        <f t="shared" si="1051"/>
        <v>NO</v>
      </c>
      <c r="T4641" t="s">
        <v>5272</v>
      </c>
      <c r="U4641" t="str">
        <f t="shared" si="1052"/>
        <v>East St</v>
      </c>
      <c r="V4641" t="s">
        <v>53</v>
      </c>
      <c r="W4641" t="str">
        <f t="shared" si="1053"/>
        <v>Monsignor Obrien Hwy</v>
      </c>
      <c r="X4641" t="str">
        <f>IF(ISBLANK(S4641),"Intersection","Non-Intersection")</f>
        <v>Intersection</v>
      </c>
      <c r="Y4641" t="s">
        <v>5273</v>
      </c>
      <c r="Z4641" t="str">
        <f t="shared" si="1054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041"/>
        <v>41275</v>
      </c>
      <c r="D4642" s="4">
        <f t="shared" si="1042"/>
        <v>1.0958904109589041E-2</v>
      </c>
      <c r="E4642" s="3">
        <f t="shared" si="1043"/>
        <v>2013</v>
      </c>
      <c r="F4642" s="3">
        <f t="shared" si="1044"/>
        <v>1</v>
      </c>
      <c r="G4642" s="3">
        <f t="shared" si="1045"/>
        <v>5</v>
      </c>
      <c r="H4642" s="3">
        <f t="shared" si="1046"/>
        <v>23</v>
      </c>
      <c r="I4642" s="3">
        <f t="shared" si="1047"/>
        <v>15</v>
      </c>
      <c r="J4642" s="3">
        <f t="shared" si="1048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049"/>
        <v>YES</v>
      </c>
      <c r="Q4642" t="str">
        <f t="shared" si="1050"/>
        <v>NO</v>
      </c>
      <c r="R4642" t="str">
        <f t="shared" si="1051"/>
        <v>NO</v>
      </c>
      <c r="T4642" t="s">
        <v>316</v>
      </c>
      <c r="U4642" t="str">
        <f t="shared" si="1052"/>
        <v>Bishop Allen Dr</v>
      </c>
      <c r="V4642" t="s">
        <v>342</v>
      </c>
      <c r="W4642" t="str">
        <f t="shared" si="1053"/>
        <v>Prospect St</v>
      </c>
      <c r="X4642" t="str">
        <f>IF(ISBLANK(S4642),"Intersection","Non-Intersection")</f>
        <v>Intersection</v>
      </c>
      <c r="Y4642" t="s">
        <v>642</v>
      </c>
      <c r="Z4642" t="str">
        <f t="shared" si="1054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041"/>
        <v>41275</v>
      </c>
      <c r="D4643" s="4">
        <f t="shared" si="1042"/>
        <v>1.0958904109589041E-2</v>
      </c>
      <c r="E4643" s="3">
        <f t="shared" si="1043"/>
        <v>2013</v>
      </c>
      <c r="F4643" s="3">
        <f t="shared" si="1044"/>
        <v>1</v>
      </c>
      <c r="G4643" s="3">
        <f t="shared" si="1045"/>
        <v>5</v>
      </c>
      <c r="H4643" s="3">
        <f t="shared" si="1046"/>
        <v>11</v>
      </c>
      <c r="I4643" s="3">
        <f t="shared" si="1047"/>
        <v>0</v>
      </c>
      <c r="J4643" s="3">
        <f t="shared" si="1048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049"/>
        <v>YES</v>
      </c>
      <c r="Q4643" t="str">
        <f t="shared" si="1050"/>
        <v>NO</v>
      </c>
      <c r="R4643" t="str">
        <f t="shared" si="1051"/>
        <v>NO</v>
      </c>
      <c r="S4643">
        <v>812</v>
      </c>
      <c r="T4643" t="s">
        <v>203</v>
      </c>
      <c r="U4643" t="str">
        <f t="shared" si="1052"/>
        <v>Memorial Dr</v>
      </c>
      <c r="W4643" t="str">
        <f t="shared" si="1053"/>
        <v/>
      </c>
      <c r="X4643" t="str">
        <f>IF(ISBLANK(S4643),"Intersection","Non-Intersection")</f>
        <v>Non-Intersection</v>
      </c>
      <c r="Y4643" t="s">
        <v>1634</v>
      </c>
      <c r="Z4643" t="str">
        <f t="shared" si="1054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041"/>
        <v>41275</v>
      </c>
      <c r="D4644" s="4">
        <f t="shared" si="1042"/>
        <v>1.643835616438356E-2</v>
      </c>
      <c r="E4644" s="3">
        <f t="shared" si="1043"/>
        <v>2013</v>
      </c>
      <c r="F4644" s="3">
        <f t="shared" si="1044"/>
        <v>1</v>
      </c>
      <c r="G4644" s="3">
        <f t="shared" si="1045"/>
        <v>7</v>
      </c>
      <c r="H4644" s="3">
        <f t="shared" si="1046"/>
        <v>11</v>
      </c>
      <c r="I4644" s="3">
        <f t="shared" si="1047"/>
        <v>29</v>
      </c>
      <c r="J4644" s="3">
        <f t="shared" si="1048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049"/>
        <v>YES</v>
      </c>
      <c r="Q4644" t="str">
        <f t="shared" si="1050"/>
        <v>NO</v>
      </c>
      <c r="R4644" t="str">
        <f t="shared" si="1051"/>
        <v>NO</v>
      </c>
      <c r="T4644" t="s">
        <v>105</v>
      </c>
      <c r="U4644" t="str">
        <f t="shared" si="1052"/>
        <v>Broadway</v>
      </c>
      <c r="V4644" t="s">
        <v>498</v>
      </c>
      <c r="W4644" t="str">
        <f t="shared" si="1053"/>
        <v>Ellery St</v>
      </c>
      <c r="X4644" t="str">
        <f>IF(ISBLANK(S4644),"Intersection","Non-Intersection")</f>
        <v>Intersection</v>
      </c>
      <c r="Y4644" t="s">
        <v>499</v>
      </c>
      <c r="Z4644" t="str">
        <f t="shared" si="1054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041"/>
        <v>41275</v>
      </c>
      <c r="D4645" s="4">
        <f t="shared" si="1042"/>
        <v>1.643835616438356E-2</v>
      </c>
      <c r="E4645" s="3">
        <f t="shared" si="1043"/>
        <v>2013</v>
      </c>
      <c r="F4645" s="3">
        <f t="shared" si="1044"/>
        <v>1</v>
      </c>
      <c r="G4645" s="3">
        <f t="shared" si="1045"/>
        <v>7</v>
      </c>
      <c r="H4645" s="3">
        <f t="shared" si="1046"/>
        <v>11</v>
      </c>
      <c r="I4645" s="3">
        <f t="shared" si="1047"/>
        <v>29</v>
      </c>
      <c r="J4645" s="3">
        <f t="shared" si="1048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049"/>
        <v>YES</v>
      </c>
      <c r="Q4645" t="str">
        <f t="shared" si="1050"/>
        <v>NO</v>
      </c>
      <c r="R4645" t="str">
        <f t="shared" si="1051"/>
        <v>NO</v>
      </c>
      <c r="T4645" t="s">
        <v>19</v>
      </c>
      <c r="U4645" t="str">
        <f t="shared" si="1052"/>
        <v>Cambridge St</v>
      </c>
      <c r="V4645" t="s">
        <v>1174</v>
      </c>
      <c r="W4645" t="str">
        <f t="shared" si="1053"/>
        <v>Roberts Rd</v>
      </c>
      <c r="X4645" t="str">
        <f>IF(ISBLANK(S4645),"Intersection","Non-Intersection")</f>
        <v>Intersection</v>
      </c>
      <c r="Y4645" t="s">
        <v>1175</v>
      </c>
      <c r="Z4645" t="str">
        <f t="shared" si="1054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041"/>
        <v>41275</v>
      </c>
      <c r="D4646" s="4">
        <f t="shared" si="1042"/>
        <v>1.643835616438356E-2</v>
      </c>
      <c r="E4646" s="3">
        <f t="shared" si="1043"/>
        <v>2013</v>
      </c>
      <c r="F4646" s="3">
        <f t="shared" si="1044"/>
        <v>1</v>
      </c>
      <c r="G4646" s="3">
        <f t="shared" si="1045"/>
        <v>7</v>
      </c>
      <c r="H4646" s="3">
        <f t="shared" si="1046"/>
        <v>12</v>
      </c>
      <c r="I4646" s="3">
        <f t="shared" si="1047"/>
        <v>0</v>
      </c>
      <c r="J4646" s="3">
        <f t="shared" si="1048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049"/>
        <v>YES</v>
      </c>
      <c r="Q4646" t="str">
        <f t="shared" si="1050"/>
        <v>NO</v>
      </c>
      <c r="R4646" t="str">
        <f t="shared" si="1051"/>
        <v>NO</v>
      </c>
      <c r="S4646">
        <v>1868</v>
      </c>
      <c r="T4646" t="s">
        <v>14</v>
      </c>
      <c r="U4646" t="str">
        <f t="shared" si="1052"/>
        <v>Massachusetts Ave</v>
      </c>
      <c r="W4646" t="str">
        <f t="shared" si="1053"/>
        <v/>
      </c>
      <c r="X4646" t="str">
        <f>IF(ISBLANK(S4646),"Intersection","Non-Intersection")</f>
        <v>Non-Intersection</v>
      </c>
      <c r="Y4646" t="s">
        <v>1937</v>
      </c>
      <c r="Z4646" t="str">
        <f t="shared" si="1054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041"/>
        <v>41275</v>
      </c>
      <c r="D4647" s="4">
        <f t="shared" si="1042"/>
        <v>1.643835616438356E-2</v>
      </c>
      <c r="E4647" s="3">
        <f t="shared" si="1043"/>
        <v>2013</v>
      </c>
      <c r="F4647" s="3">
        <f t="shared" si="1044"/>
        <v>1</v>
      </c>
      <c r="G4647" s="3">
        <f t="shared" si="1045"/>
        <v>7</v>
      </c>
      <c r="H4647" s="3">
        <f t="shared" si="1046"/>
        <v>14</v>
      </c>
      <c r="I4647" s="3">
        <f t="shared" si="1047"/>
        <v>49</v>
      </c>
      <c r="J4647" s="3">
        <f t="shared" si="1048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049"/>
        <v>YES</v>
      </c>
      <c r="Q4647" t="str">
        <f t="shared" si="1050"/>
        <v>NO</v>
      </c>
      <c r="R4647" t="str">
        <f t="shared" si="1051"/>
        <v>YES</v>
      </c>
      <c r="T4647" t="s">
        <v>252</v>
      </c>
      <c r="U4647" t="str">
        <f t="shared" si="1052"/>
        <v>Walden St</v>
      </c>
      <c r="V4647" t="s">
        <v>155</v>
      </c>
      <c r="W4647" t="str">
        <f t="shared" si="1053"/>
        <v>Richdale Ave</v>
      </c>
      <c r="X4647" t="str">
        <f>IF(ISBLANK(S4647),"Intersection","Non-Intersection")</f>
        <v>Intersection</v>
      </c>
      <c r="Y4647" t="s">
        <v>1763</v>
      </c>
      <c r="Z4647" t="str">
        <f t="shared" si="1054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041"/>
        <v>41275</v>
      </c>
      <c r="D4648" s="4">
        <f t="shared" si="1042"/>
        <v>1.643835616438356E-2</v>
      </c>
      <c r="E4648" s="3">
        <f t="shared" si="1043"/>
        <v>2013</v>
      </c>
      <c r="F4648" s="3">
        <f t="shared" si="1044"/>
        <v>1</v>
      </c>
      <c r="G4648" s="3">
        <f t="shared" si="1045"/>
        <v>7</v>
      </c>
      <c r="H4648" s="3">
        <f t="shared" si="1046"/>
        <v>15</v>
      </c>
      <c r="I4648" s="3">
        <f t="shared" si="1047"/>
        <v>0</v>
      </c>
      <c r="J4648" s="3">
        <f t="shared" si="1048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049"/>
        <v>YES</v>
      </c>
      <c r="Q4648" t="str">
        <f t="shared" si="1050"/>
        <v>NO</v>
      </c>
      <c r="R4648" t="str">
        <f t="shared" si="1051"/>
        <v>NO</v>
      </c>
      <c r="T4648" t="s">
        <v>5275</v>
      </c>
      <c r="U4648" t="str">
        <f t="shared" si="1052"/>
        <v>Ivy St</v>
      </c>
      <c r="V4648" t="s">
        <v>185</v>
      </c>
      <c r="W4648" t="str">
        <f t="shared" si="1053"/>
        <v>Garden St</v>
      </c>
      <c r="X4648" t="str">
        <f>IF(ISBLANK(S4648),"Intersection","Non-Intersection")</f>
        <v>Intersection</v>
      </c>
      <c r="Y4648" t="s">
        <v>5276</v>
      </c>
      <c r="Z4648" t="str">
        <f t="shared" si="1054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041"/>
        <v>41275</v>
      </c>
      <c r="D4649" s="4">
        <f t="shared" si="1042"/>
        <v>1.643835616438356E-2</v>
      </c>
      <c r="E4649" s="3">
        <f t="shared" si="1043"/>
        <v>2013</v>
      </c>
      <c r="F4649" s="3">
        <f t="shared" si="1044"/>
        <v>1</v>
      </c>
      <c r="G4649" s="3">
        <f t="shared" si="1045"/>
        <v>7</v>
      </c>
      <c r="H4649" s="3">
        <f t="shared" si="1046"/>
        <v>19</v>
      </c>
      <c r="I4649" s="3">
        <f t="shared" si="1047"/>
        <v>51</v>
      </c>
      <c r="J4649" s="3">
        <f t="shared" si="1048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049"/>
        <v>YES</v>
      </c>
      <c r="Q4649" t="str">
        <f t="shared" si="1050"/>
        <v>NO</v>
      </c>
      <c r="R4649" t="str">
        <f t="shared" si="1051"/>
        <v>NO</v>
      </c>
      <c r="S4649">
        <v>142</v>
      </c>
      <c r="T4649" t="s">
        <v>342</v>
      </c>
      <c r="U4649" t="str">
        <f t="shared" si="1052"/>
        <v>Prospect St</v>
      </c>
      <c r="W4649" t="str">
        <f t="shared" si="1053"/>
        <v/>
      </c>
      <c r="X4649" t="str">
        <f>IF(ISBLANK(S4649),"Intersection","Non-Intersection")</f>
        <v>Non-Intersection</v>
      </c>
      <c r="Y4649" t="s">
        <v>4078</v>
      </c>
      <c r="Z4649" t="str">
        <f t="shared" si="1054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041"/>
        <v>41275</v>
      </c>
      <c r="D4650" s="4">
        <f t="shared" si="1042"/>
        <v>1.643835616438356E-2</v>
      </c>
      <c r="E4650" s="3">
        <f t="shared" si="1043"/>
        <v>2013</v>
      </c>
      <c r="F4650" s="3">
        <f t="shared" si="1044"/>
        <v>1</v>
      </c>
      <c r="G4650" s="3">
        <f t="shared" si="1045"/>
        <v>7</v>
      </c>
      <c r="H4650" s="3">
        <f t="shared" si="1046"/>
        <v>18</v>
      </c>
      <c r="I4650" s="3">
        <f t="shared" si="1047"/>
        <v>45</v>
      </c>
      <c r="J4650" s="3">
        <f t="shared" si="1048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049"/>
        <v>YES</v>
      </c>
      <c r="Q4650" t="str">
        <f t="shared" si="1050"/>
        <v>NO</v>
      </c>
      <c r="R4650" t="str">
        <f t="shared" si="1051"/>
        <v>NO</v>
      </c>
      <c r="T4650" t="s">
        <v>269</v>
      </c>
      <c r="U4650" t="str">
        <f t="shared" si="1052"/>
        <v>Porter Sq</v>
      </c>
      <c r="W4650" t="str">
        <f t="shared" si="1053"/>
        <v/>
      </c>
      <c r="X4650" t="str">
        <f>IF(ISBLANK(S4650),"Intersection","Non-Intersection")</f>
        <v>Intersection</v>
      </c>
      <c r="Y4650" t="s">
        <v>923</v>
      </c>
      <c r="Z4650" t="str">
        <f t="shared" si="1054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041"/>
        <v>41275</v>
      </c>
      <c r="D4651" s="4">
        <f t="shared" si="1042"/>
        <v>1.9178082191780823E-2</v>
      </c>
      <c r="E4651" s="3">
        <f t="shared" si="1043"/>
        <v>2013</v>
      </c>
      <c r="F4651" s="3">
        <f t="shared" si="1044"/>
        <v>1</v>
      </c>
      <c r="G4651" s="3">
        <f t="shared" si="1045"/>
        <v>8</v>
      </c>
      <c r="H4651" s="3">
        <f t="shared" si="1046"/>
        <v>10</v>
      </c>
      <c r="I4651" s="3">
        <f t="shared" si="1047"/>
        <v>54</v>
      </c>
      <c r="J4651" s="3">
        <f t="shared" si="1048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049"/>
        <v>YES</v>
      </c>
      <c r="Q4651" t="str">
        <f t="shared" si="1050"/>
        <v>NO</v>
      </c>
      <c r="R4651" t="str">
        <f t="shared" si="1051"/>
        <v>NO</v>
      </c>
      <c r="T4651" t="s">
        <v>19</v>
      </c>
      <c r="U4651" t="str">
        <f t="shared" si="1052"/>
        <v>Cambridge St</v>
      </c>
      <c r="V4651" t="s">
        <v>147</v>
      </c>
      <c r="W4651" t="str">
        <f t="shared" si="1053"/>
        <v>Sixth St</v>
      </c>
      <c r="X4651" t="str">
        <f>IF(ISBLANK(S4651),"Intersection","Non-Intersection")</f>
        <v>Intersection</v>
      </c>
      <c r="Y4651" t="s">
        <v>536</v>
      </c>
      <c r="Z4651" t="str">
        <f t="shared" si="1054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041"/>
        <v>41275</v>
      </c>
      <c r="D4652" s="4">
        <f t="shared" si="1042"/>
        <v>1.9178082191780823E-2</v>
      </c>
      <c r="E4652" s="3">
        <f t="shared" si="1043"/>
        <v>2013</v>
      </c>
      <c r="F4652" s="3">
        <f t="shared" si="1044"/>
        <v>1</v>
      </c>
      <c r="G4652" s="3">
        <f t="shared" si="1045"/>
        <v>8</v>
      </c>
      <c r="H4652" s="3">
        <f t="shared" si="1046"/>
        <v>3</v>
      </c>
      <c r="I4652" s="3">
        <f t="shared" si="1047"/>
        <v>59</v>
      </c>
      <c r="J4652" s="3">
        <f t="shared" si="1048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049"/>
        <v>YES</v>
      </c>
      <c r="Q4652" t="str">
        <f t="shared" si="1050"/>
        <v>NO</v>
      </c>
      <c r="R4652" t="str">
        <f t="shared" si="1051"/>
        <v>NO</v>
      </c>
      <c r="T4652" t="s">
        <v>177</v>
      </c>
      <c r="U4652" t="str">
        <f t="shared" si="1052"/>
        <v>Holworthy St</v>
      </c>
      <c r="W4652" t="str">
        <f t="shared" si="1053"/>
        <v/>
      </c>
      <c r="X4652" t="str">
        <f>IF(ISBLANK(S4652),"Intersection","Non-Intersection")</f>
        <v>Intersection</v>
      </c>
      <c r="Y4652" t="s">
        <v>5278</v>
      </c>
      <c r="Z4652" t="str">
        <f t="shared" si="1054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041"/>
        <v>41275</v>
      </c>
      <c r="D4653" s="4">
        <f t="shared" si="1042"/>
        <v>1.9178082191780823E-2</v>
      </c>
      <c r="E4653" s="3">
        <f t="shared" si="1043"/>
        <v>2013</v>
      </c>
      <c r="F4653" s="3">
        <f t="shared" si="1044"/>
        <v>1</v>
      </c>
      <c r="G4653" s="3">
        <f t="shared" si="1045"/>
        <v>8</v>
      </c>
      <c r="H4653" s="3">
        <f t="shared" si="1046"/>
        <v>13</v>
      </c>
      <c r="I4653" s="3">
        <f t="shared" si="1047"/>
        <v>12</v>
      </c>
      <c r="J4653" s="3">
        <f t="shared" si="1048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049"/>
        <v>YES</v>
      </c>
      <c r="Q4653" t="str">
        <f t="shared" si="1050"/>
        <v>NO</v>
      </c>
      <c r="R4653" t="str">
        <f t="shared" si="1051"/>
        <v>YES</v>
      </c>
      <c r="S4653">
        <v>200</v>
      </c>
      <c r="T4653" t="s">
        <v>170</v>
      </c>
      <c r="U4653" t="str">
        <f t="shared" si="1052"/>
        <v>Alewife Brook Pky</v>
      </c>
      <c r="W4653" t="str">
        <f t="shared" si="1053"/>
        <v/>
      </c>
      <c r="X4653" t="str">
        <f>IF(ISBLANK(S4653),"Intersection","Non-Intersection")</f>
        <v>Non-Intersection</v>
      </c>
      <c r="Y4653" t="s">
        <v>2274</v>
      </c>
      <c r="Z4653" t="str">
        <f t="shared" si="1054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041"/>
        <v>41275</v>
      </c>
      <c r="D4654" s="4">
        <f t="shared" si="1042"/>
        <v>2.1917808219178082E-2</v>
      </c>
      <c r="E4654" s="3">
        <f t="shared" si="1043"/>
        <v>2013</v>
      </c>
      <c r="F4654" s="3">
        <f t="shared" si="1044"/>
        <v>1</v>
      </c>
      <c r="G4654" s="3">
        <f t="shared" si="1045"/>
        <v>9</v>
      </c>
      <c r="H4654" s="3">
        <f t="shared" si="1046"/>
        <v>12</v>
      </c>
      <c r="I4654" s="3">
        <f t="shared" si="1047"/>
        <v>30</v>
      </c>
      <c r="J4654" s="3">
        <f t="shared" si="1048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049"/>
        <v>YES</v>
      </c>
      <c r="Q4654" t="str">
        <f t="shared" si="1050"/>
        <v>NO</v>
      </c>
      <c r="R4654" t="str">
        <f t="shared" si="1051"/>
        <v>NO</v>
      </c>
      <c r="T4654" t="s">
        <v>14</v>
      </c>
      <c r="U4654" t="str">
        <f t="shared" si="1052"/>
        <v>Massachusetts Ave</v>
      </c>
      <c r="V4654" t="s">
        <v>178</v>
      </c>
      <c r="W4654" t="str">
        <f t="shared" si="1053"/>
        <v>Pleasant St</v>
      </c>
      <c r="X4654" t="str">
        <f>IF(ISBLANK(S4654),"Intersection","Non-Intersection")</f>
        <v>Intersection</v>
      </c>
      <c r="Y4654" t="s">
        <v>1866</v>
      </c>
      <c r="Z4654" t="str">
        <f t="shared" si="1054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041"/>
        <v>41275</v>
      </c>
      <c r="D4655" s="4">
        <f t="shared" si="1042"/>
        <v>2.1917808219178082E-2</v>
      </c>
      <c r="E4655" s="3">
        <f t="shared" si="1043"/>
        <v>2013</v>
      </c>
      <c r="F4655" s="3">
        <f t="shared" si="1044"/>
        <v>1</v>
      </c>
      <c r="G4655" s="3">
        <f t="shared" si="1045"/>
        <v>9</v>
      </c>
      <c r="H4655" s="3">
        <f t="shared" si="1046"/>
        <v>13</v>
      </c>
      <c r="I4655" s="3">
        <f t="shared" si="1047"/>
        <v>30</v>
      </c>
      <c r="J4655" s="3">
        <f t="shared" si="1048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049"/>
        <v>YES</v>
      </c>
      <c r="Q4655" t="str">
        <f t="shared" si="1050"/>
        <v>NO</v>
      </c>
      <c r="R4655" t="str">
        <f t="shared" si="1051"/>
        <v>NO</v>
      </c>
      <c r="S4655">
        <v>16</v>
      </c>
      <c r="T4655" t="s">
        <v>4933</v>
      </c>
      <c r="U4655" t="str">
        <f t="shared" si="1052"/>
        <v>Griswold St</v>
      </c>
      <c r="W4655" t="str">
        <f t="shared" si="1053"/>
        <v/>
      </c>
      <c r="X4655" t="str">
        <f>IF(ISBLANK(S4655),"Intersection","Non-Intersection")</f>
        <v>Non-Intersection</v>
      </c>
      <c r="Y4655" t="s">
        <v>5279</v>
      </c>
      <c r="Z4655" t="str">
        <f t="shared" si="1054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041"/>
        <v>41275</v>
      </c>
      <c r="D4656" s="4">
        <f t="shared" si="1042"/>
        <v>2.1917808219178082E-2</v>
      </c>
      <c r="E4656" s="3">
        <f t="shared" si="1043"/>
        <v>2013</v>
      </c>
      <c r="F4656" s="3">
        <f t="shared" si="1044"/>
        <v>1</v>
      </c>
      <c r="G4656" s="3">
        <f t="shared" si="1045"/>
        <v>9</v>
      </c>
      <c r="H4656" s="3">
        <f t="shared" si="1046"/>
        <v>8</v>
      </c>
      <c r="I4656" s="3">
        <f t="shared" si="1047"/>
        <v>39</v>
      </c>
      <c r="J4656" s="3">
        <f t="shared" si="1048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049"/>
        <v>YES</v>
      </c>
      <c r="Q4656" t="str">
        <f t="shared" si="1050"/>
        <v>NO</v>
      </c>
      <c r="R4656" t="str">
        <f t="shared" si="1051"/>
        <v>NO</v>
      </c>
      <c r="S4656">
        <v>40</v>
      </c>
      <c r="T4656" t="s">
        <v>506</v>
      </c>
      <c r="U4656" t="str">
        <f t="shared" si="1052"/>
        <v>Bigelow St</v>
      </c>
      <c r="V4656" t="s">
        <v>133</v>
      </c>
      <c r="W4656" t="str">
        <f t="shared" si="1053"/>
        <v>Harvard St</v>
      </c>
      <c r="X4656" t="str">
        <f>IF(ISBLANK(S4656),"Intersection","Non-Intersection")</f>
        <v>Non-Intersection</v>
      </c>
      <c r="Y4656" t="s">
        <v>5281</v>
      </c>
      <c r="Z4656" t="str">
        <f t="shared" si="1054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041"/>
        <v>41275</v>
      </c>
      <c r="D4657" s="4">
        <f t="shared" si="1042"/>
        <v>2.1917808219178082E-2</v>
      </c>
      <c r="E4657" s="3">
        <f t="shared" si="1043"/>
        <v>2013</v>
      </c>
      <c r="F4657" s="3">
        <f t="shared" si="1044"/>
        <v>1</v>
      </c>
      <c r="G4657" s="3">
        <f t="shared" si="1045"/>
        <v>9</v>
      </c>
      <c r="H4657" s="3">
        <f t="shared" si="1046"/>
        <v>19</v>
      </c>
      <c r="I4657" s="3">
        <f t="shared" si="1047"/>
        <v>16</v>
      </c>
      <c r="J4657" s="3">
        <f t="shared" si="1048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049"/>
        <v>YES</v>
      </c>
      <c r="Q4657" t="str">
        <f t="shared" si="1050"/>
        <v>NO</v>
      </c>
      <c r="R4657" t="str">
        <f t="shared" si="1051"/>
        <v>NO</v>
      </c>
      <c r="T4657" t="s">
        <v>186</v>
      </c>
      <c r="U4657" t="str">
        <f t="shared" si="1052"/>
        <v>Concord Ave</v>
      </c>
      <c r="V4657" t="s">
        <v>2754</v>
      </c>
      <c r="W4657" t="str">
        <f t="shared" si="1053"/>
        <v>Fawcett St</v>
      </c>
      <c r="X4657" t="str">
        <f>IF(ISBLANK(S4657),"Intersection","Non-Intersection")</f>
        <v>Intersection</v>
      </c>
      <c r="Y4657" t="s">
        <v>2755</v>
      </c>
      <c r="Z4657" t="str">
        <f t="shared" si="1054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041"/>
        <v>41275</v>
      </c>
      <c r="D4658" s="4">
        <f t="shared" si="1042"/>
        <v>2.4657534246575342E-2</v>
      </c>
      <c r="E4658" s="3">
        <f t="shared" si="1043"/>
        <v>2013</v>
      </c>
      <c r="F4658" s="3">
        <f t="shared" si="1044"/>
        <v>1</v>
      </c>
      <c r="G4658" s="3">
        <f t="shared" si="1045"/>
        <v>10</v>
      </c>
      <c r="H4658" s="3">
        <f t="shared" si="1046"/>
        <v>9</v>
      </c>
      <c r="I4658" s="3">
        <f t="shared" si="1047"/>
        <v>49</v>
      </c>
      <c r="J4658" s="3">
        <f t="shared" si="1048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049"/>
        <v>YES</v>
      </c>
      <c r="Q4658" t="str">
        <f t="shared" si="1050"/>
        <v>NO</v>
      </c>
      <c r="R4658" t="str">
        <f t="shared" si="1051"/>
        <v>NO</v>
      </c>
      <c r="T4658" t="s">
        <v>260</v>
      </c>
      <c r="U4658" t="str">
        <f t="shared" si="1052"/>
        <v>Third St</v>
      </c>
      <c r="V4658" t="s">
        <v>146</v>
      </c>
      <c r="W4658" t="str">
        <f t="shared" si="1053"/>
        <v>Spring St</v>
      </c>
      <c r="X4658" t="str">
        <f>IF(ISBLANK(S4658),"Intersection","Non-Intersection")</f>
        <v>Intersection</v>
      </c>
      <c r="Y4658" t="s">
        <v>544</v>
      </c>
      <c r="Z4658" t="str">
        <f t="shared" si="1054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041"/>
        <v>41275</v>
      </c>
      <c r="D4659" s="4">
        <f t="shared" si="1042"/>
        <v>2.4657534246575342E-2</v>
      </c>
      <c r="E4659" s="3">
        <f t="shared" si="1043"/>
        <v>2013</v>
      </c>
      <c r="F4659" s="3">
        <f t="shared" si="1044"/>
        <v>1</v>
      </c>
      <c r="G4659" s="3">
        <f t="shared" si="1045"/>
        <v>10</v>
      </c>
      <c r="H4659" s="3">
        <f t="shared" si="1046"/>
        <v>14</v>
      </c>
      <c r="I4659" s="3">
        <f t="shared" si="1047"/>
        <v>25</v>
      </c>
      <c r="J4659" s="3">
        <f t="shared" si="1048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049"/>
        <v>YES</v>
      </c>
      <c r="Q4659" t="str">
        <f t="shared" si="1050"/>
        <v>NO</v>
      </c>
      <c r="R4659" t="str">
        <f t="shared" si="1051"/>
        <v>NO</v>
      </c>
      <c r="T4659" t="s">
        <v>19</v>
      </c>
      <c r="U4659" t="str">
        <f t="shared" si="1052"/>
        <v>Cambridge St</v>
      </c>
      <c r="V4659" t="s">
        <v>189</v>
      </c>
      <c r="W4659" t="str">
        <f t="shared" si="1053"/>
        <v>Windsor St</v>
      </c>
      <c r="X4659" t="str">
        <f>IF(ISBLANK(S4659),"Intersection","Non-Intersection")</f>
        <v>Intersection</v>
      </c>
      <c r="Y4659" t="s">
        <v>244</v>
      </c>
      <c r="Z4659" t="str">
        <f t="shared" si="1054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041"/>
        <v>41275</v>
      </c>
      <c r="D4660" s="4">
        <f t="shared" si="1042"/>
        <v>2.7397260273972601E-2</v>
      </c>
      <c r="E4660" s="3">
        <f t="shared" si="1043"/>
        <v>2013</v>
      </c>
      <c r="F4660" s="3">
        <f t="shared" si="1044"/>
        <v>1</v>
      </c>
      <c r="G4660" s="3">
        <f t="shared" si="1045"/>
        <v>11</v>
      </c>
      <c r="H4660" s="3">
        <f t="shared" si="1046"/>
        <v>9</v>
      </c>
      <c r="I4660" s="3">
        <f t="shared" si="1047"/>
        <v>10</v>
      </c>
      <c r="J4660" s="3">
        <f t="shared" si="1048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049"/>
        <v>YES</v>
      </c>
      <c r="Q4660" t="str">
        <f t="shared" si="1050"/>
        <v>NO</v>
      </c>
      <c r="R4660" t="str">
        <f t="shared" si="1051"/>
        <v>NO</v>
      </c>
      <c r="T4660" t="s">
        <v>316</v>
      </c>
      <c r="U4660" t="str">
        <f t="shared" si="1052"/>
        <v>Bishop Allen Dr</v>
      </c>
      <c r="V4660" t="s">
        <v>101</v>
      </c>
      <c r="W4660" t="str">
        <f t="shared" si="1053"/>
        <v>Columbia St</v>
      </c>
      <c r="X4660" t="str">
        <f>IF(ISBLANK(S4660),"Intersection","Non-Intersection")</f>
        <v>Intersection</v>
      </c>
      <c r="Y4660" t="s">
        <v>688</v>
      </c>
      <c r="Z4660" t="str">
        <f t="shared" si="1054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055">EOMONTH(B4661,MONTH(B4661)*-1)+1</f>
        <v>41275</v>
      </c>
      <c r="D4661" s="4">
        <f t="shared" ref="D4661:D4722" si="1056">YEARFRAC(C4661,B4661,1)</f>
        <v>3.0136986301369864E-2</v>
      </c>
      <c r="E4661" s="3">
        <f t="shared" ref="E4661:E4722" si="1057">YEAR(B4661)</f>
        <v>2013</v>
      </c>
      <c r="F4661" s="3">
        <f t="shared" ref="F4661:F4722" si="1058">MONTH(B4661)</f>
        <v>1</v>
      </c>
      <c r="G4661" s="3">
        <f t="shared" ref="G4661:G4722" si="1059">DAY(B4661)</f>
        <v>12</v>
      </c>
      <c r="H4661" s="3">
        <f t="shared" ref="H4661:H4722" si="1060">HOUR(B4661)</f>
        <v>2</v>
      </c>
      <c r="I4661" s="3">
        <f t="shared" ref="I4661:I4722" si="1061">MINUTE(B4661)</f>
        <v>0</v>
      </c>
      <c r="J4661" s="3">
        <f t="shared" ref="J4661:J4722" si="1062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063">IF(OR(N4661="Auto",O4661="Auto"),"YES",IF(OR(N4661="Taxi",O4661="Taxi"),"YES",IF(OR(N4661="Van",O4661="Van"),"YES",IF(OR(N4661="Truck",O4661="Truck"),"YES","NO"))))</f>
        <v>YES</v>
      </c>
      <c r="Q4661" t="str">
        <f t="shared" ref="Q4661:Q4722" si="1064">IF(OR(N4661="Bicycle",O4661="Bicycle"),"YES","NO")</f>
        <v>NO</v>
      </c>
      <c r="R4661" t="str">
        <f t="shared" ref="R4661:R4722" si="1065">IF(OR(N4661="Pedestrian",O4661="Pedestrian"),"YES","NO")</f>
        <v>NO</v>
      </c>
      <c r="T4661" t="s">
        <v>198</v>
      </c>
      <c r="U4661" t="str">
        <f t="shared" si="1052"/>
        <v>Mount Auburn St</v>
      </c>
      <c r="V4661" t="s">
        <v>710</v>
      </c>
      <c r="W4661" t="str">
        <f t="shared" si="1053"/>
        <v>Fresh Pond Pky</v>
      </c>
      <c r="X4661" t="str">
        <f>IF(ISBLANK(S4661),"Intersection","Non-Intersection")</f>
        <v>Intersection</v>
      </c>
      <c r="Y4661" t="s">
        <v>4048</v>
      </c>
      <c r="Z4661" t="str">
        <f t="shared" si="1054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055"/>
        <v>41275</v>
      </c>
      <c r="D4662" s="4">
        <f t="shared" si="1056"/>
        <v>3.0136986301369864E-2</v>
      </c>
      <c r="E4662" s="3">
        <f t="shared" si="1057"/>
        <v>2013</v>
      </c>
      <c r="F4662" s="3">
        <f t="shared" si="1058"/>
        <v>1</v>
      </c>
      <c r="G4662" s="3">
        <f t="shared" si="1059"/>
        <v>12</v>
      </c>
      <c r="H4662" s="3">
        <f t="shared" si="1060"/>
        <v>19</v>
      </c>
      <c r="I4662" s="3">
        <f t="shared" si="1061"/>
        <v>25</v>
      </c>
      <c r="J4662" s="3">
        <f t="shared" si="1062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063"/>
        <v>YES</v>
      </c>
      <c r="Q4662" t="str">
        <f t="shared" si="1064"/>
        <v>NO</v>
      </c>
      <c r="R4662" t="str">
        <f t="shared" si="1065"/>
        <v>YES</v>
      </c>
      <c r="T4662" t="s">
        <v>105</v>
      </c>
      <c r="U4662" t="str">
        <f t="shared" si="1052"/>
        <v>Broadway</v>
      </c>
      <c r="V4662" t="s">
        <v>288</v>
      </c>
      <c r="W4662" t="str">
        <f t="shared" si="1053"/>
        <v>Galileo Galilei Way</v>
      </c>
      <c r="X4662" t="str">
        <f>IF(ISBLANK(S4662),"Intersection","Non-Intersection")</f>
        <v>Intersection</v>
      </c>
      <c r="Y4662" t="s">
        <v>289</v>
      </c>
      <c r="Z4662" t="str">
        <f t="shared" si="1054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055"/>
        <v>41275</v>
      </c>
      <c r="D4663" s="4">
        <f t="shared" si="1056"/>
        <v>3.287671232876712E-2</v>
      </c>
      <c r="E4663" s="3">
        <f t="shared" si="1057"/>
        <v>2013</v>
      </c>
      <c r="F4663" s="3">
        <f t="shared" si="1058"/>
        <v>1</v>
      </c>
      <c r="G4663" s="3">
        <f t="shared" si="1059"/>
        <v>13</v>
      </c>
      <c r="H4663" s="3">
        <f t="shared" si="1060"/>
        <v>15</v>
      </c>
      <c r="I4663" s="3">
        <f t="shared" si="1061"/>
        <v>40</v>
      </c>
      <c r="J4663" s="3">
        <f t="shared" si="1062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063"/>
        <v>YES</v>
      </c>
      <c r="Q4663" t="str">
        <f t="shared" si="1064"/>
        <v>NO</v>
      </c>
      <c r="R4663" t="str">
        <f t="shared" si="1065"/>
        <v>NO</v>
      </c>
      <c r="T4663" t="s">
        <v>14</v>
      </c>
      <c r="U4663" t="str">
        <f t="shared" si="1052"/>
        <v>Massachusetts Ave</v>
      </c>
      <c r="V4663" t="s">
        <v>2694</v>
      </c>
      <c r="W4663" t="str">
        <f t="shared" si="1053"/>
        <v>Lancaster St</v>
      </c>
      <c r="X4663" t="str">
        <f>IF(ISBLANK(S4663),"Intersection","Non-Intersection")</f>
        <v>Intersection</v>
      </c>
      <c r="Y4663" t="s">
        <v>5283</v>
      </c>
      <c r="Z4663" t="str">
        <f t="shared" si="1054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055"/>
        <v>41275</v>
      </c>
      <c r="D4664" s="4">
        <f t="shared" si="1056"/>
        <v>3.5616438356164383E-2</v>
      </c>
      <c r="E4664" s="3">
        <f t="shared" si="1057"/>
        <v>2013</v>
      </c>
      <c r="F4664" s="3">
        <f t="shared" si="1058"/>
        <v>1</v>
      </c>
      <c r="G4664" s="3">
        <f t="shared" si="1059"/>
        <v>14</v>
      </c>
      <c r="H4664" s="3">
        <f t="shared" si="1060"/>
        <v>10</v>
      </c>
      <c r="I4664" s="3">
        <f t="shared" si="1061"/>
        <v>44</v>
      </c>
      <c r="J4664" s="3">
        <f t="shared" si="1062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063"/>
        <v>YES</v>
      </c>
      <c r="Q4664" t="str">
        <f t="shared" si="1064"/>
        <v>NO</v>
      </c>
      <c r="R4664" t="str">
        <f t="shared" si="1065"/>
        <v>NO</v>
      </c>
      <c r="S4664">
        <v>233</v>
      </c>
      <c r="T4664" t="s">
        <v>170</v>
      </c>
      <c r="U4664" t="str">
        <f t="shared" si="1052"/>
        <v>Alewife Brook Pky</v>
      </c>
      <c r="W4664" t="str">
        <f t="shared" si="1053"/>
        <v/>
      </c>
      <c r="X4664" t="str">
        <f>IF(ISBLANK(S4664),"Intersection","Non-Intersection")</f>
        <v>Non-Intersection</v>
      </c>
      <c r="Y4664" t="s">
        <v>5285</v>
      </c>
      <c r="Z4664" t="str">
        <f t="shared" si="1054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055"/>
        <v>41275</v>
      </c>
      <c r="D4665" s="4">
        <f t="shared" si="1056"/>
        <v>3.8356164383561646E-2</v>
      </c>
      <c r="E4665" s="3">
        <f t="shared" si="1057"/>
        <v>2013</v>
      </c>
      <c r="F4665" s="3">
        <f t="shared" si="1058"/>
        <v>1</v>
      </c>
      <c r="G4665" s="3">
        <f t="shared" si="1059"/>
        <v>15</v>
      </c>
      <c r="H4665" s="3">
        <f t="shared" si="1060"/>
        <v>22</v>
      </c>
      <c r="I4665" s="3">
        <f t="shared" si="1061"/>
        <v>30</v>
      </c>
      <c r="J4665" s="3">
        <f t="shared" si="1062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063"/>
        <v>YES</v>
      </c>
      <c r="Q4665" t="str">
        <f t="shared" si="1064"/>
        <v>NO</v>
      </c>
      <c r="R4665" t="str">
        <f t="shared" si="1065"/>
        <v>NO</v>
      </c>
      <c r="S4665">
        <v>54</v>
      </c>
      <c r="T4665" t="s">
        <v>1174</v>
      </c>
      <c r="U4665" t="str">
        <f t="shared" si="1052"/>
        <v>Roberts Rd</v>
      </c>
      <c r="W4665" t="str">
        <f t="shared" si="1053"/>
        <v/>
      </c>
      <c r="X4665" t="str">
        <f>IF(ISBLANK(S4665),"Intersection","Non-Intersection")</f>
        <v>Non-Intersection</v>
      </c>
      <c r="Y4665" t="s">
        <v>5287</v>
      </c>
      <c r="Z4665" t="str">
        <f t="shared" si="1054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055"/>
        <v>41275</v>
      </c>
      <c r="D4666" s="4">
        <f t="shared" si="1056"/>
        <v>3.8356164383561646E-2</v>
      </c>
      <c r="E4666" s="3">
        <f t="shared" si="1057"/>
        <v>2013</v>
      </c>
      <c r="F4666" s="3">
        <f t="shared" si="1058"/>
        <v>1</v>
      </c>
      <c r="G4666" s="3">
        <f t="shared" si="1059"/>
        <v>15</v>
      </c>
      <c r="H4666" s="3">
        <f t="shared" si="1060"/>
        <v>11</v>
      </c>
      <c r="I4666" s="3">
        <f t="shared" si="1061"/>
        <v>35</v>
      </c>
      <c r="J4666" s="3">
        <f t="shared" si="1062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063"/>
        <v>YES</v>
      </c>
      <c r="Q4666" t="str">
        <f t="shared" si="1064"/>
        <v>YES</v>
      </c>
      <c r="R4666" t="str">
        <f t="shared" si="1065"/>
        <v>NO</v>
      </c>
      <c r="S4666">
        <v>1334</v>
      </c>
      <c r="T4666" t="s">
        <v>19</v>
      </c>
      <c r="U4666" t="str">
        <f t="shared" si="1052"/>
        <v>Cambridge St</v>
      </c>
      <c r="W4666" t="str">
        <f t="shared" si="1053"/>
        <v/>
      </c>
      <c r="X4666" t="str">
        <f>IF(ISBLANK(S4666),"Intersection","Non-Intersection")</f>
        <v>Non-Intersection</v>
      </c>
      <c r="Y4666" t="s">
        <v>1105</v>
      </c>
      <c r="Z4666" t="str">
        <f t="shared" si="1054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055"/>
        <v>41275</v>
      </c>
      <c r="D4667" s="4">
        <f t="shared" si="1056"/>
        <v>3.8356164383561646E-2</v>
      </c>
      <c r="E4667" s="3">
        <f t="shared" si="1057"/>
        <v>2013</v>
      </c>
      <c r="F4667" s="3">
        <f t="shared" si="1058"/>
        <v>1</v>
      </c>
      <c r="G4667" s="3">
        <f t="shared" si="1059"/>
        <v>15</v>
      </c>
      <c r="H4667" s="3">
        <f t="shared" si="1060"/>
        <v>20</v>
      </c>
      <c r="I4667" s="3">
        <f t="shared" si="1061"/>
        <v>10</v>
      </c>
      <c r="J4667" s="3">
        <f t="shared" si="1062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063"/>
        <v>YES</v>
      </c>
      <c r="Q4667" t="str">
        <f t="shared" si="1064"/>
        <v>NO</v>
      </c>
      <c r="R4667" t="str">
        <f t="shared" si="1065"/>
        <v>NO</v>
      </c>
      <c r="T4667" t="s">
        <v>105</v>
      </c>
      <c r="U4667" t="str">
        <f t="shared" si="1052"/>
        <v>Broadway</v>
      </c>
      <c r="V4667" t="s">
        <v>342</v>
      </c>
      <c r="W4667" t="str">
        <f t="shared" si="1053"/>
        <v>Prospect St</v>
      </c>
      <c r="X4667" t="str">
        <f>IF(ISBLANK(S4667),"Intersection","Non-Intersection")</f>
        <v>Intersection</v>
      </c>
      <c r="Y4667" t="s">
        <v>343</v>
      </c>
      <c r="Z4667" t="str">
        <f t="shared" si="1054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055"/>
        <v>41275</v>
      </c>
      <c r="D4668" s="4">
        <f t="shared" si="1056"/>
        <v>3.8356164383561646E-2</v>
      </c>
      <c r="E4668" s="3">
        <f t="shared" si="1057"/>
        <v>2013</v>
      </c>
      <c r="F4668" s="3">
        <f t="shared" si="1058"/>
        <v>1</v>
      </c>
      <c r="G4668" s="3">
        <f t="shared" si="1059"/>
        <v>15</v>
      </c>
      <c r="H4668" s="3">
        <f t="shared" si="1060"/>
        <v>16</v>
      </c>
      <c r="I4668" s="3">
        <f t="shared" si="1061"/>
        <v>50</v>
      </c>
      <c r="J4668" s="3">
        <f t="shared" si="1062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063"/>
        <v>YES</v>
      </c>
      <c r="Q4668" t="str">
        <f t="shared" si="1064"/>
        <v>NO</v>
      </c>
      <c r="R4668" t="str">
        <f t="shared" si="1065"/>
        <v>NO</v>
      </c>
      <c r="T4668" t="s">
        <v>14</v>
      </c>
      <c r="U4668" t="str">
        <f t="shared" si="1052"/>
        <v>Massachusetts Ave</v>
      </c>
      <c r="V4668" t="s">
        <v>185</v>
      </c>
      <c r="W4668" t="str">
        <f t="shared" si="1053"/>
        <v>Garden St</v>
      </c>
      <c r="X4668" t="str">
        <f>IF(ISBLANK(S4668),"Intersection","Non-Intersection")</f>
        <v>Intersection</v>
      </c>
      <c r="Y4668" t="s">
        <v>1247</v>
      </c>
      <c r="Z4668" t="str">
        <f t="shared" si="1054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055"/>
        <v>41275</v>
      </c>
      <c r="D4669" s="4">
        <f t="shared" si="1056"/>
        <v>3.8356164383561646E-2</v>
      </c>
      <c r="E4669" s="3">
        <f t="shared" si="1057"/>
        <v>2013</v>
      </c>
      <c r="F4669" s="3">
        <f t="shared" si="1058"/>
        <v>1</v>
      </c>
      <c r="G4669" s="3">
        <f t="shared" si="1059"/>
        <v>15</v>
      </c>
      <c r="H4669" s="3">
        <f t="shared" si="1060"/>
        <v>12</v>
      </c>
      <c r="I4669" s="3">
        <f t="shared" si="1061"/>
        <v>10</v>
      </c>
      <c r="J4669" s="3">
        <f t="shared" si="1062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063"/>
        <v>YES</v>
      </c>
      <c r="Q4669" t="str">
        <f t="shared" si="1064"/>
        <v>NO</v>
      </c>
      <c r="R4669" t="str">
        <f t="shared" si="1065"/>
        <v>NO</v>
      </c>
      <c r="T4669" t="s">
        <v>14</v>
      </c>
      <c r="U4669" t="str">
        <f t="shared" si="1052"/>
        <v>Massachusetts Ave</v>
      </c>
      <c r="V4669" t="s">
        <v>15</v>
      </c>
      <c r="W4669" t="str">
        <f t="shared" si="1053"/>
        <v>Rindge Ave</v>
      </c>
      <c r="X4669" t="str">
        <f>IF(ISBLANK(S4669),"Intersection","Non-Intersection")</f>
        <v>Intersection</v>
      </c>
      <c r="Y4669" t="s">
        <v>16</v>
      </c>
      <c r="Z4669" t="str">
        <f t="shared" si="1054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055"/>
        <v>41275</v>
      </c>
      <c r="D4670" s="4">
        <f t="shared" si="1056"/>
        <v>3.8356164383561646E-2</v>
      </c>
      <c r="E4670" s="3">
        <f t="shared" si="1057"/>
        <v>2013</v>
      </c>
      <c r="F4670" s="3">
        <f t="shared" si="1058"/>
        <v>1</v>
      </c>
      <c r="G4670" s="3">
        <f t="shared" si="1059"/>
        <v>15</v>
      </c>
      <c r="H4670" s="3">
        <f t="shared" si="1060"/>
        <v>14</v>
      </c>
      <c r="I4670" s="3">
        <f t="shared" si="1061"/>
        <v>19</v>
      </c>
      <c r="J4670" s="3">
        <f t="shared" si="1062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063"/>
        <v>YES</v>
      </c>
      <c r="Q4670" t="str">
        <f t="shared" si="1064"/>
        <v>NO</v>
      </c>
      <c r="R4670" t="str">
        <f t="shared" si="1065"/>
        <v>NO</v>
      </c>
      <c r="T4670" t="s">
        <v>509</v>
      </c>
      <c r="U4670" t="str">
        <f t="shared" si="1052"/>
        <v>Green St</v>
      </c>
      <c r="V4670" t="s">
        <v>453</v>
      </c>
      <c r="W4670" t="str">
        <f t="shared" si="1053"/>
        <v>Brookline St</v>
      </c>
      <c r="X4670" t="str">
        <f>IF(ISBLANK(S4670),"Intersection","Non-Intersection")</f>
        <v>Intersection</v>
      </c>
      <c r="Y4670" t="s">
        <v>3462</v>
      </c>
      <c r="Z4670" t="str">
        <f t="shared" si="1054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055"/>
        <v>41275</v>
      </c>
      <c r="D4671" s="4">
        <f t="shared" si="1056"/>
        <v>4.1095890410958902E-2</v>
      </c>
      <c r="E4671" s="3">
        <f t="shared" si="1057"/>
        <v>2013</v>
      </c>
      <c r="F4671" s="3">
        <f t="shared" si="1058"/>
        <v>1</v>
      </c>
      <c r="G4671" s="3">
        <f t="shared" si="1059"/>
        <v>16</v>
      </c>
      <c r="H4671" s="3">
        <f t="shared" si="1060"/>
        <v>13</v>
      </c>
      <c r="I4671" s="3">
        <f t="shared" si="1061"/>
        <v>19</v>
      </c>
      <c r="J4671" s="3">
        <f t="shared" si="1062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063"/>
        <v>YES</v>
      </c>
      <c r="Q4671" t="str">
        <f t="shared" si="1064"/>
        <v>NO</v>
      </c>
      <c r="R4671" t="str">
        <f t="shared" si="1065"/>
        <v>NO</v>
      </c>
      <c r="S4671">
        <v>40</v>
      </c>
      <c r="T4671" t="s">
        <v>342</v>
      </c>
      <c r="U4671" t="str">
        <f t="shared" si="1052"/>
        <v>Prospect St</v>
      </c>
      <c r="W4671" t="str">
        <f t="shared" si="1053"/>
        <v/>
      </c>
      <c r="X4671" t="str">
        <f>IF(ISBLANK(S4671),"Intersection","Non-Intersection")</f>
        <v>Non-Intersection</v>
      </c>
      <c r="Y4671" t="s">
        <v>5289</v>
      </c>
      <c r="Z4671" t="str">
        <f t="shared" si="1054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055"/>
        <v>41275</v>
      </c>
      <c r="D4672" s="4">
        <f t="shared" si="1056"/>
        <v>4.1095890410958902E-2</v>
      </c>
      <c r="E4672" s="3">
        <f t="shared" si="1057"/>
        <v>2013</v>
      </c>
      <c r="F4672" s="3">
        <f t="shared" si="1058"/>
        <v>1</v>
      </c>
      <c r="G4672" s="3">
        <f t="shared" si="1059"/>
        <v>16</v>
      </c>
      <c r="H4672" s="3">
        <f t="shared" si="1060"/>
        <v>17</v>
      </c>
      <c r="I4672" s="3">
        <f t="shared" si="1061"/>
        <v>30</v>
      </c>
      <c r="J4672" s="3">
        <f t="shared" si="1062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063"/>
        <v>YES</v>
      </c>
      <c r="Q4672" t="str">
        <f t="shared" si="1064"/>
        <v>NO</v>
      </c>
      <c r="R4672" t="str">
        <f t="shared" si="1065"/>
        <v>NO</v>
      </c>
      <c r="T4672" t="s">
        <v>19</v>
      </c>
      <c r="U4672" t="str">
        <f t="shared" si="1052"/>
        <v>Cambridge St</v>
      </c>
      <c r="W4672" t="str">
        <f t="shared" si="1053"/>
        <v/>
      </c>
      <c r="X4672" t="str">
        <f>IF(ISBLANK(S4672),"Intersection","Non-Intersection")</f>
        <v>Intersection</v>
      </c>
      <c r="Y4672" t="s">
        <v>2237</v>
      </c>
      <c r="Z4672" t="str">
        <f t="shared" si="1054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055"/>
        <v>41275</v>
      </c>
      <c r="D4673" s="4">
        <f t="shared" si="1056"/>
        <v>4.1095890410958902E-2</v>
      </c>
      <c r="E4673" s="3">
        <f t="shared" si="1057"/>
        <v>2013</v>
      </c>
      <c r="F4673" s="3">
        <f t="shared" si="1058"/>
        <v>1</v>
      </c>
      <c r="G4673" s="3">
        <f t="shared" si="1059"/>
        <v>16</v>
      </c>
      <c r="H4673" s="3">
        <f t="shared" si="1060"/>
        <v>18</v>
      </c>
      <c r="I4673" s="3">
        <f t="shared" si="1061"/>
        <v>59</v>
      </c>
      <c r="J4673" s="3">
        <f t="shared" si="1062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063"/>
        <v>YES</v>
      </c>
      <c r="Q4673" t="str">
        <f t="shared" si="1064"/>
        <v>NO</v>
      </c>
      <c r="R4673" t="str">
        <f t="shared" si="1065"/>
        <v>NO</v>
      </c>
      <c r="T4673" t="s">
        <v>814</v>
      </c>
      <c r="U4673" t="str">
        <f t="shared" si="1052"/>
        <v>Marie Ave</v>
      </c>
      <c r="V4673" t="s">
        <v>410</v>
      </c>
      <c r="W4673" t="str">
        <f t="shared" si="1053"/>
        <v>Highland Ave</v>
      </c>
      <c r="X4673" t="str">
        <f>IF(ISBLANK(S4673),"Intersection","Non-Intersection")</f>
        <v>Intersection</v>
      </c>
      <c r="Y4673" t="s">
        <v>5291</v>
      </c>
      <c r="Z4673" t="str">
        <f t="shared" si="1054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055"/>
        <v>41275</v>
      </c>
      <c r="D4674" s="4">
        <f t="shared" si="1056"/>
        <v>4.3835616438356165E-2</v>
      </c>
      <c r="E4674" s="3">
        <f t="shared" si="1057"/>
        <v>2013</v>
      </c>
      <c r="F4674" s="3">
        <f t="shared" si="1058"/>
        <v>1</v>
      </c>
      <c r="G4674" s="3">
        <f t="shared" si="1059"/>
        <v>17</v>
      </c>
      <c r="H4674" s="3">
        <f t="shared" si="1060"/>
        <v>11</v>
      </c>
      <c r="I4674" s="3">
        <f t="shared" si="1061"/>
        <v>57</v>
      </c>
      <c r="J4674" s="3">
        <f t="shared" si="1062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063"/>
        <v>NO</v>
      </c>
      <c r="Q4674" t="str">
        <f t="shared" si="1064"/>
        <v>NO</v>
      </c>
      <c r="R4674" t="str">
        <f t="shared" si="1065"/>
        <v>YES</v>
      </c>
      <c r="S4674">
        <v>119</v>
      </c>
      <c r="T4674" t="s">
        <v>189</v>
      </c>
      <c r="U4674" t="str">
        <f t="shared" si="1052"/>
        <v>Windsor St</v>
      </c>
      <c r="W4674" t="str">
        <f t="shared" si="1053"/>
        <v/>
      </c>
      <c r="X4674" t="str">
        <f>IF(ISBLANK(S4674),"Intersection","Non-Intersection")</f>
        <v>Non-Intersection</v>
      </c>
      <c r="Y4674" t="s">
        <v>1030</v>
      </c>
      <c r="Z4674" t="str">
        <f t="shared" si="1054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055"/>
        <v>41275</v>
      </c>
      <c r="D4675" s="4">
        <f t="shared" si="1056"/>
        <v>4.3835616438356165E-2</v>
      </c>
      <c r="E4675" s="3">
        <f t="shared" si="1057"/>
        <v>2013</v>
      </c>
      <c r="F4675" s="3">
        <f t="shared" si="1058"/>
        <v>1</v>
      </c>
      <c r="G4675" s="3">
        <f t="shared" si="1059"/>
        <v>17</v>
      </c>
      <c r="H4675" s="3">
        <f t="shared" si="1060"/>
        <v>17</v>
      </c>
      <c r="I4675" s="3">
        <f t="shared" si="1061"/>
        <v>15</v>
      </c>
      <c r="J4675" s="3">
        <f t="shared" si="1062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063"/>
        <v>YES</v>
      </c>
      <c r="Q4675" t="str">
        <f t="shared" si="1064"/>
        <v>NO</v>
      </c>
      <c r="R4675" t="str">
        <f t="shared" si="1065"/>
        <v>NO</v>
      </c>
      <c r="T4675" t="s">
        <v>14</v>
      </c>
      <c r="U4675" t="str">
        <f t="shared" ref="U4675:U4738" si="1066">TRIM(PROPER(T4675))</f>
        <v>Massachusetts Ave</v>
      </c>
      <c r="V4675" t="s">
        <v>15</v>
      </c>
      <c r="W4675" t="str">
        <f t="shared" ref="W4675:W4738" si="1067">TRIM(PROPER(V4675))</f>
        <v>Rindge Ave</v>
      </c>
      <c r="X4675" t="str">
        <f>IF(ISBLANK(S4675),"Intersection","Non-Intersection")</f>
        <v>Intersection</v>
      </c>
      <c r="Y4675" t="s">
        <v>16</v>
      </c>
      <c r="Z4675" t="str">
        <f t="shared" ref="Z4675:Z4738" si="1068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055"/>
        <v>41275</v>
      </c>
      <c r="D4676" s="4">
        <f t="shared" si="1056"/>
        <v>4.6575342465753428E-2</v>
      </c>
      <c r="E4676" s="3">
        <f t="shared" si="1057"/>
        <v>2013</v>
      </c>
      <c r="F4676" s="3">
        <f t="shared" si="1058"/>
        <v>1</v>
      </c>
      <c r="G4676" s="3">
        <f t="shared" si="1059"/>
        <v>18</v>
      </c>
      <c r="H4676" s="3">
        <f t="shared" si="1060"/>
        <v>9</v>
      </c>
      <c r="I4676" s="3">
        <f t="shared" si="1061"/>
        <v>33</v>
      </c>
      <c r="J4676" s="3">
        <f t="shared" si="1062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063"/>
        <v>YES</v>
      </c>
      <c r="Q4676" t="str">
        <f t="shared" si="1064"/>
        <v>NO</v>
      </c>
      <c r="R4676" t="str">
        <f t="shared" si="1065"/>
        <v>NO</v>
      </c>
      <c r="T4676" t="s">
        <v>760</v>
      </c>
      <c r="U4676" t="str">
        <f t="shared" si="1066"/>
        <v>Fulkerson St</v>
      </c>
      <c r="V4676" t="s">
        <v>209</v>
      </c>
      <c r="W4676" t="str">
        <f t="shared" si="1067"/>
        <v>Binney St</v>
      </c>
      <c r="X4676" t="str">
        <f>IF(ISBLANK(S4676),"Intersection","Non-Intersection")</f>
        <v>Intersection</v>
      </c>
      <c r="Y4676" t="s">
        <v>761</v>
      </c>
      <c r="Z4676" t="str">
        <f t="shared" si="1068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055"/>
        <v>41275</v>
      </c>
      <c r="D4677" s="4">
        <f t="shared" si="1056"/>
        <v>4.6575342465753428E-2</v>
      </c>
      <c r="E4677" s="3">
        <f t="shared" si="1057"/>
        <v>2013</v>
      </c>
      <c r="F4677" s="3">
        <f t="shared" si="1058"/>
        <v>1</v>
      </c>
      <c r="G4677" s="3">
        <f t="shared" si="1059"/>
        <v>18</v>
      </c>
      <c r="H4677" s="3">
        <f t="shared" si="1060"/>
        <v>12</v>
      </c>
      <c r="I4677" s="3">
        <f t="shared" si="1061"/>
        <v>40</v>
      </c>
      <c r="J4677" s="3">
        <f t="shared" si="1062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063"/>
        <v>YES</v>
      </c>
      <c r="Q4677" t="str">
        <f t="shared" si="1064"/>
        <v>NO</v>
      </c>
      <c r="R4677" t="str">
        <f t="shared" si="1065"/>
        <v>YES</v>
      </c>
      <c r="T4677" t="s">
        <v>342</v>
      </c>
      <c r="U4677" t="str">
        <f t="shared" si="1066"/>
        <v>Prospect St</v>
      </c>
      <c r="V4677" t="s">
        <v>316</v>
      </c>
      <c r="W4677" t="str">
        <f t="shared" si="1067"/>
        <v>Bishop Allen Dr</v>
      </c>
      <c r="X4677" t="str">
        <f>IF(ISBLANK(S4677),"Intersection","Non-Intersection")</f>
        <v>Intersection</v>
      </c>
      <c r="Y4677" t="s">
        <v>2529</v>
      </c>
      <c r="Z4677" t="str">
        <f t="shared" si="1068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055"/>
        <v>41275</v>
      </c>
      <c r="D4678" s="4">
        <f t="shared" si="1056"/>
        <v>4.6575342465753428E-2</v>
      </c>
      <c r="E4678" s="3">
        <f t="shared" si="1057"/>
        <v>2013</v>
      </c>
      <c r="F4678" s="3">
        <f t="shared" si="1058"/>
        <v>1</v>
      </c>
      <c r="G4678" s="3">
        <f t="shared" si="1059"/>
        <v>18</v>
      </c>
      <c r="H4678" s="3">
        <f t="shared" si="1060"/>
        <v>18</v>
      </c>
      <c r="I4678" s="3">
        <f t="shared" si="1061"/>
        <v>2</v>
      </c>
      <c r="J4678" s="3">
        <f t="shared" si="1062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063"/>
        <v>YES</v>
      </c>
      <c r="Q4678" t="str">
        <f t="shared" si="1064"/>
        <v>NO</v>
      </c>
      <c r="R4678" t="str">
        <f t="shared" si="1065"/>
        <v>NO</v>
      </c>
      <c r="T4678" t="s">
        <v>209</v>
      </c>
      <c r="U4678" t="str">
        <f t="shared" si="1066"/>
        <v>Binney St</v>
      </c>
      <c r="V4678" t="s">
        <v>260</v>
      </c>
      <c r="W4678" t="str">
        <f t="shared" si="1067"/>
        <v>Third St</v>
      </c>
      <c r="X4678" t="str">
        <f>IF(ISBLANK(S4678),"Intersection","Non-Intersection")</f>
        <v>Intersection</v>
      </c>
      <c r="Y4678" t="s">
        <v>531</v>
      </c>
      <c r="Z4678" t="str">
        <f t="shared" si="1068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055"/>
        <v>41275</v>
      </c>
      <c r="D4679" s="4">
        <f t="shared" si="1056"/>
        <v>4.6575342465753428E-2</v>
      </c>
      <c r="E4679" s="3">
        <f t="shared" si="1057"/>
        <v>2013</v>
      </c>
      <c r="F4679" s="3">
        <f t="shared" si="1058"/>
        <v>1</v>
      </c>
      <c r="G4679" s="3">
        <f t="shared" si="1059"/>
        <v>18</v>
      </c>
      <c r="H4679" s="3">
        <f t="shared" si="1060"/>
        <v>19</v>
      </c>
      <c r="I4679" s="3">
        <f t="shared" si="1061"/>
        <v>30</v>
      </c>
      <c r="J4679" s="3">
        <f t="shared" si="1062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063"/>
        <v>YES</v>
      </c>
      <c r="Q4679" t="str">
        <f t="shared" si="1064"/>
        <v>NO</v>
      </c>
      <c r="R4679" t="str">
        <f t="shared" si="1065"/>
        <v>NO</v>
      </c>
      <c r="S4679">
        <v>131</v>
      </c>
      <c r="T4679" t="s">
        <v>45</v>
      </c>
      <c r="U4679" t="str">
        <f t="shared" si="1066"/>
        <v>Sherman St</v>
      </c>
      <c r="W4679" t="str">
        <f t="shared" si="1067"/>
        <v/>
      </c>
      <c r="X4679" t="str">
        <f>IF(ISBLANK(S4679),"Intersection","Non-Intersection")</f>
        <v>Non-Intersection</v>
      </c>
      <c r="Y4679" t="s">
        <v>5292</v>
      </c>
      <c r="Z4679" t="str">
        <f t="shared" si="1068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055"/>
        <v>41275</v>
      </c>
      <c r="D4680" s="4">
        <f t="shared" si="1056"/>
        <v>4.9315068493150684E-2</v>
      </c>
      <c r="E4680" s="3">
        <f t="shared" si="1057"/>
        <v>2013</v>
      </c>
      <c r="F4680" s="3">
        <f t="shared" si="1058"/>
        <v>1</v>
      </c>
      <c r="G4680" s="3">
        <f t="shared" si="1059"/>
        <v>19</v>
      </c>
      <c r="H4680" s="3">
        <f t="shared" si="1060"/>
        <v>2</v>
      </c>
      <c r="I4680" s="3">
        <f t="shared" si="1061"/>
        <v>13</v>
      </c>
      <c r="J4680" s="3">
        <f t="shared" si="1062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063"/>
        <v>YES</v>
      </c>
      <c r="Q4680" t="str">
        <f t="shared" si="1064"/>
        <v>NO</v>
      </c>
      <c r="R4680" t="str">
        <f t="shared" si="1065"/>
        <v>NO</v>
      </c>
      <c r="T4680" t="s">
        <v>203</v>
      </c>
      <c r="U4680" t="str">
        <f t="shared" si="1066"/>
        <v>Memorial Dr</v>
      </c>
      <c r="V4680" t="s">
        <v>41</v>
      </c>
      <c r="W4680" t="str">
        <f t="shared" si="1067"/>
        <v>River St</v>
      </c>
      <c r="X4680" t="str">
        <f>IF(ISBLANK(S4680),"Intersection","Non-Intersection")</f>
        <v>Intersection</v>
      </c>
      <c r="Y4680" t="s">
        <v>5294</v>
      </c>
      <c r="Z4680" t="str">
        <f t="shared" si="1068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055"/>
        <v>41275</v>
      </c>
      <c r="D4681" s="4">
        <f t="shared" si="1056"/>
        <v>4.9315068493150684E-2</v>
      </c>
      <c r="E4681" s="3">
        <f t="shared" si="1057"/>
        <v>2013</v>
      </c>
      <c r="F4681" s="3">
        <f t="shared" si="1058"/>
        <v>1</v>
      </c>
      <c r="G4681" s="3">
        <f t="shared" si="1059"/>
        <v>19</v>
      </c>
      <c r="H4681" s="3">
        <f t="shared" si="1060"/>
        <v>14</v>
      </c>
      <c r="I4681" s="3">
        <f t="shared" si="1061"/>
        <v>0</v>
      </c>
      <c r="J4681" s="3">
        <f t="shared" si="1062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063"/>
        <v>YES</v>
      </c>
      <c r="Q4681" t="str">
        <f t="shared" si="1064"/>
        <v>NO</v>
      </c>
      <c r="R4681" t="str">
        <f t="shared" si="1065"/>
        <v>NO</v>
      </c>
      <c r="S4681">
        <v>1</v>
      </c>
      <c r="T4681" t="s">
        <v>268</v>
      </c>
      <c r="U4681" t="str">
        <f t="shared" si="1066"/>
        <v>White St</v>
      </c>
      <c r="W4681" t="str">
        <f t="shared" si="1067"/>
        <v/>
      </c>
      <c r="X4681" t="str">
        <f>IF(ISBLANK(S4681),"Intersection","Non-Intersection")</f>
        <v>Non-Intersection</v>
      </c>
      <c r="Y4681" t="s">
        <v>272</v>
      </c>
      <c r="Z4681" t="str">
        <f t="shared" si="1068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055"/>
        <v>41275</v>
      </c>
      <c r="D4682" s="4">
        <f t="shared" si="1056"/>
        <v>5.2054794520547946E-2</v>
      </c>
      <c r="E4682" s="3">
        <f t="shared" si="1057"/>
        <v>2013</v>
      </c>
      <c r="F4682" s="3">
        <f t="shared" si="1058"/>
        <v>1</v>
      </c>
      <c r="G4682" s="3">
        <f t="shared" si="1059"/>
        <v>20</v>
      </c>
      <c r="H4682" s="3">
        <f t="shared" si="1060"/>
        <v>21</v>
      </c>
      <c r="I4682" s="3">
        <f t="shared" si="1061"/>
        <v>59</v>
      </c>
      <c r="J4682" s="3">
        <f t="shared" si="1062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063"/>
        <v>YES</v>
      </c>
      <c r="Q4682" t="str">
        <f t="shared" si="1064"/>
        <v>NO</v>
      </c>
      <c r="R4682" t="str">
        <f t="shared" si="1065"/>
        <v>NO</v>
      </c>
      <c r="S4682">
        <v>9</v>
      </c>
      <c r="T4682" t="s">
        <v>985</v>
      </c>
      <c r="U4682" t="str">
        <f t="shared" si="1066"/>
        <v>Plymouth St</v>
      </c>
      <c r="W4682" t="str">
        <f t="shared" si="1067"/>
        <v/>
      </c>
      <c r="X4682" t="str">
        <f>IF(ISBLANK(S4682),"Intersection","Non-Intersection")</f>
        <v>Non-Intersection</v>
      </c>
      <c r="Y4682" t="s">
        <v>3135</v>
      </c>
      <c r="Z4682" t="str">
        <f t="shared" si="1068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055"/>
        <v>41275</v>
      </c>
      <c r="D4683" s="4">
        <f t="shared" si="1056"/>
        <v>5.4794520547945202E-2</v>
      </c>
      <c r="E4683" s="3">
        <f t="shared" si="1057"/>
        <v>2013</v>
      </c>
      <c r="F4683" s="3">
        <f t="shared" si="1058"/>
        <v>1</v>
      </c>
      <c r="G4683" s="3">
        <f t="shared" si="1059"/>
        <v>21</v>
      </c>
      <c r="H4683" s="3">
        <f t="shared" si="1060"/>
        <v>9</v>
      </c>
      <c r="I4683" s="3">
        <f t="shared" si="1061"/>
        <v>14</v>
      </c>
      <c r="J4683" s="3">
        <f t="shared" si="1062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063"/>
        <v>YES</v>
      </c>
      <c r="Q4683" t="str">
        <f t="shared" si="1064"/>
        <v>NO</v>
      </c>
      <c r="R4683" t="str">
        <f t="shared" si="1065"/>
        <v>NO</v>
      </c>
      <c r="S4683">
        <v>57</v>
      </c>
      <c r="T4683" t="s">
        <v>5295</v>
      </c>
      <c r="U4683" t="str">
        <f t="shared" si="1066"/>
        <v>Grozier Rd</v>
      </c>
      <c r="W4683" t="str">
        <f t="shared" si="1067"/>
        <v/>
      </c>
      <c r="X4683" t="str">
        <f>IF(ISBLANK(S4683),"Intersection","Non-Intersection")</f>
        <v>Non-Intersection</v>
      </c>
      <c r="Y4683" t="s">
        <v>5296</v>
      </c>
      <c r="Z4683" t="str">
        <f t="shared" si="1068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055"/>
        <v>41275</v>
      </c>
      <c r="D4684" s="4">
        <f t="shared" si="1056"/>
        <v>5.4794520547945202E-2</v>
      </c>
      <c r="E4684" s="3">
        <f t="shared" si="1057"/>
        <v>2013</v>
      </c>
      <c r="F4684" s="3">
        <f t="shared" si="1058"/>
        <v>1</v>
      </c>
      <c r="G4684" s="3">
        <f t="shared" si="1059"/>
        <v>21</v>
      </c>
      <c r="H4684" s="3">
        <f t="shared" si="1060"/>
        <v>20</v>
      </c>
      <c r="I4684" s="3">
        <f t="shared" si="1061"/>
        <v>17</v>
      </c>
      <c r="J4684" s="3">
        <f t="shared" si="1062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063"/>
        <v>YES</v>
      </c>
      <c r="Q4684" t="str">
        <f t="shared" si="1064"/>
        <v>NO</v>
      </c>
      <c r="R4684" t="str">
        <f t="shared" si="1065"/>
        <v>NO</v>
      </c>
      <c r="T4684" t="s">
        <v>41</v>
      </c>
      <c r="U4684" t="str">
        <f t="shared" si="1066"/>
        <v>River St</v>
      </c>
      <c r="V4684" t="s">
        <v>14</v>
      </c>
      <c r="W4684" t="str">
        <f t="shared" si="1067"/>
        <v>Massachusetts Ave</v>
      </c>
      <c r="X4684" t="str">
        <f>IF(ISBLANK(S4684),"Intersection","Non-Intersection")</f>
        <v>Intersection</v>
      </c>
      <c r="Y4684" t="s">
        <v>3619</v>
      </c>
      <c r="Z4684" t="str">
        <f t="shared" si="1068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055"/>
        <v>41275</v>
      </c>
      <c r="D4685" s="4">
        <f t="shared" si="1056"/>
        <v>5.4794520547945202E-2</v>
      </c>
      <c r="E4685" s="3">
        <f t="shared" si="1057"/>
        <v>2013</v>
      </c>
      <c r="F4685" s="3">
        <f t="shared" si="1058"/>
        <v>1</v>
      </c>
      <c r="G4685" s="3">
        <f t="shared" si="1059"/>
        <v>21</v>
      </c>
      <c r="H4685" s="3">
        <f t="shared" si="1060"/>
        <v>20</v>
      </c>
      <c r="I4685" s="3">
        <f t="shared" si="1061"/>
        <v>0</v>
      </c>
      <c r="J4685" s="3">
        <f t="shared" si="1062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063"/>
        <v>YES</v>
      </c>
      <c r="Q4685" t="str">
        <f t="shared" si="1064"/>
        <v>NO</v>
      </c>
      <c r="R4685" t="str">
        <f t="shared" si="1065"/>
        <v>NO</v>
      </c>
      <c r="T4685" t="s">
        <v>796</v>
      </c>
      <c r="U4685" t="str">
        <f t="shared" si="1066"/>
        <v>Portland St</v>
      </c>
      <c r="V4685" t="s">
        <v>32</v>
      </c>
      <c r="W4685" t="str">
        <f t="shared" si="1067"/>
        <v>Main St</v>
      </c>
      <c r="X4685" t="str">
        <f>IF(ISBLANK(S4685),"Intersection","Non-Intersection")</f>
        <v>Intersection</v>
      </c>
      <c r="Y4685" t="s">
        <v>812</v>
      </c>
      <c r="Z4685" t="str">
        <f t="shared" si="1068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055"/>
        <v>41275</v>
      </c>
      <c r="D4686" s="4">
        <f t="shared" si="1056"/>
        <v>5.7534246575342465E-2</v>
      </c>
      <c r="E4686" s="3">
        <f t="shared" si="1057"/>
        <v>2013</v>
      </c>
      <c r="F4686" s="3">
        <f t="shared" si="1058"/>
        <v>1</v>
      </c>
      <c r="G4686" s="3">
        <f t="shared" si="1059"/>
        <v>22</v>
      </c>
      <c r="H4686" s="3">
        <f t="shared" si="1060"/>
        <v>14</v>
      </c>
      <c r="I4686" s="3">
        <f t="shared" si="1061"/>
        <v>15</v>
      </c>
      <c r="J4686" s="3">
        <f t="shared" si="1062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063"/>
        <v>YES</v>
      </c>
      <c r="Q4686" t="str">
        <f t="shared" si="1064"/>
        <v>NO</v>
      </c>
      <c r="R4686" t="str">
        <f t="shared" si="1065"/>
        <v>NO</v>
      </c>
      <c r="T4686" t="s">
        <v>14</v>
      </c>
      <c r="U4686" t="str">
        <f t="shared" si="1066"/>
        <v>Massachusetts Ave</v>
      </c>
      <c r="V4686" t="s">
        <v>119</v>
      </c>
      <c r="W4686" t="str">
        <f t="shared" si="1067"/>
        <v>Albany St</v>
      </c>
      <c r="X4686" t="str">
        <f>IF(ISBLANK(S4686),"Intersection","Non-Intersection")</f>
        <v>Intersection</v>
      </c>
      <c r="Y4686" t="s">
        <v>247</v>
      </c>
      <c r="Z4686" t="str">
        <f t="shared" si="1068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055"/>
        <v>41275</v>
      </c>
      <c r="D4687" s="4">
        <f t="shared" si="1056"/>
        <v>6.0273972602739728E-2</v>
      </c>
      <c r="E4687" s="3">
        <f t="shared" si="1057"/>
        <v>2013</v>
      </c>
      <c r="F4687" s="3">
        <f t="shared" si="1058"/>
        <v>1</v>
      </c>
      <c r="G4687" s="3">
        <f t="shared" si="1059"/>
        <v>23</v>
      </c>
      <c r="H4687" s="3">
        <f t="shared" si="1060"/>
        <v>8</v>
      </c>
      <c r="I4687" s="3">
        <f t="shared" si="1061"/>
        <v>19</v>
      </c>
      <c r="J4687" s="3">
        <f t="shared" si="1062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063"/>
        <v>YES</v>
      </c>
      <c r="Q4687" t="str">
        <f t="shared" si="1064"/>
        <v>NO</v>
      </c>
      <c r="R4687" t="str">
        <f t="shared" si="1065"/>
        <v>NO</v>
      </c>
      <c r="S4687">
        <v>362</v>
      </c>
      <c r="T4687" t="s">
        <v>15</v>
      </c>
      <c r="U4687" t="str">
        <f t="shared" si="1066"/>
        <v>Rindge Ave</v>
      </c>
      <c r="W4687" t="str">
        <f t="shared" si="1067"/>
        <v/>
      </c>
      <c r="X4687" t="str">
        <f>IF(ISBLANK(S4687),"Intersection","Non-Intersection")</f>
        <v>Non-Intersection</v>
      </c>
      <c r="Y4687" t="s">
        <v>3320</v>
      </c>
      <c r="Z4687" t="str">
        <f t="shared" si="1068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055"/>
        <v>41275</v>
      </c>
      <c r="D4688" s="4">
        <f t="shared" si="1056"/>
        <v>6.0273972602739728E-2</v>
      </c>
      <c r="E4688" s="3">
        <f t="shared" si="1057"/>
        <v>2013</v>
      </c>
      <c r="F4688" s="3">
        <f t="shared" si="1058"/>
        <v>1</v>
      </c>
      <c r="G4688" s="3">
        <f t="shared" si="1059"/>
        <v>23</v>
      </c>
      <c r="H4688" s="3">
        <f t="shared" si="1060"/>
        <v>10</v>
      </c>
      <c r="I4688" s="3">
        <f t="shared" si="1061"/>
        <v>25</v>
      </c>
      <c r="J4688" s="3">
        <f t="shared" si="1062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063"/>
        <v>YES</v>
      </c>
      <c r="Q4688" t="str">
        <f t="shared" si="1064"/>
        <v>NO</v>
      </c>
      <c r="R4688" t="str">
        <f t="shared" si="1065"/>
        <v>NO</v>
      </c>
      <c r="T4688" t="s">
        <v>14</v>
      </c>
      <c r="U4688" t="str">
        <f t="shared" si="1066"/>
        <v>Massachusetts Ave</v>
      </c>
      <c r="V4688" t="s">
        <v>498</v>
      </c>
      <c r="W4688" t="str">
        <f t="shared" si="1067"/>
        <v>Ellery St</v>
      </c>
      <c r="X4688" t="str">
        <f>IF(ISBLANK(S4688),"Intersection","Non-Intersection")</f>
        <v>Intersection</v>
      </c>
      <c r="Y4688" t="s">
        <v>2747</v>
      </c>
      <c r="Z4688" t="str">
        <f t="shared" si="1068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055"/>
        <v>41275</v>
      </c>
      <c r="D4689" s="4">
        <f t="shared" si="1056"/>
        <v>6.0273972602739728E-2</v>
      </c>
      <c r="E4689" s="3">
        <f t="shared" si="1057"/>
        <v>2013</v>
      </c>
      <c r="F4689" s="3">
        <f t="shared" si="1058"/>
        <v>1</v>
      </c>
      <c r="G4689" s="3">
        <f t="shared" si="1059"/>
        <v>23</v>
      </c>
      <c r="H4689" s="3">
        <f t="shared" si="1060"/>
        <v>9</v>
      </c>
      <c r="I4689" s="3">
        <f t="shared" si="1061"/>
        <v>59</v>
      </c>
      <c r="J4689" s="3">
        <f t="shared" si="1062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063"/>
        <v>YES</v>
      </c>
      <c r="Q4689" t="str">
        <f t="shared" si="1064"/>
        <v>NO</v>
      </c>
      <c r="R4689" t="str">
        <f t="shared" si="1065"/>
        <v>NO</v>
      </c>
      <c r="T4689" t="s">
        <v>20</v>
      </c>
      <c r="U4689" t="str">
        <f t="shared" si="1066"/>
        <v>Sciarappa St</v>
      </c>
      <c r="W4689" t="str">
        <f t="shared" si="1067"/>
        <v/>
      </c>
      <c r="X4689" t="str">
        <f>IF(ISBLANK(S4689),"Intersection","Non-Intersection")</f>
        <v>Intersection</v>
      </c>
      <c r="Y4689" t="s">
        <v>5298</v>
      </c>
      <c r="Z4689" t="str">
        <f t="shared" si="1068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055"/>
        <v>41275</v>
      </c>
      <c r="D4690" s="4">
        <f t="shared" si="1056"/>
        <v>6.0273972602739728E-2</v>
      </c>
      <c r="E4690" s="3">
        <f t="shared" si="1057"/>
        <v>2013</v>
      </c>
      <c r="F4690" s="3">
        <f t="shared" si="1058"/>
        <v>1</v>
      </c>
      <c r="G4690" s="3">
        <f t="shared" si="1059"/>
        <v>23</v>
      </c>
      <c r="H4690" s="3">
        <f t="shared" si="1060"/>
        <v>17</v>
      </c>
      <c r="I4690" s="3">
        <f t="shared" si="1061"/>
        <v>48</v>
      </c>
      <c r="J4690" s="3">
        <f t="shared" si="1062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063"/>
        <v>YES</v>
      </c>
      <c r="Q4690" t="str">
        <f t="shared" si="1064"/>
        <v>NO</v>
      </c>
      <c r="R4690" t="str">
        <f t="shared" si="1065"/>
        <v>NO</v>
      </c>
      <c r="T4690" t="s">
        <v>14</v>
      </c>
      <c r="U4690" t="str">
        <f t="shared" si="1066"/>
        <v>Massachusetts Ave</v>
      </c>
      <c r="V4690" t="s">
        <v>506</v>
      </c>
      <c r="W4690" t="str">
        <f t="shared" si="1067"/>
        <v>Bigelow St</v>
      </c>
      <c r="X4690" t="str">
        <f>IF(ISBLANK(S4690),"Intersection","Non-Intersection")</f>
        <v>Intersection</v>
      </c>
      <c r="Y4690" t="s">
        <v>2362</v>
      </c>
      <c r="Z4690" t="str">
        <f t="shared" si="1068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055"/>
        <v>41275</v>
      </c>
      <c r="D4691" s="4">
        <f t="shared" si="1056"/>
        <v>6.3013698630136991E-2</v>
      </c>
      <c r="E4691" s="3">
        <f t="shared" si="1057"/>
        <v>2013</v>
      </c>
      <c r="F4691" s="3">
        <f t="shared" si="1058"/>
        <v>1</v>
      </c>
      <c r="G4691" s="3">
        <f t="shared" si="1059"/>
        <v>24</v>
      </c>
      <c r="H4691" s="3">
        <f t="shared" si="1060"/>
        <v>11</v>
      </c>
      <c r="I4691" s="3">
        <f t="shared" si="1061"/>
        <v>0</v>
      </c>
      <c r="J4691" s="3">
        <f t="shared" si="1062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063"/>
        <v>YES</v>
      </c>
      <c r="Q4691" t="str">
        <f t="shared" si="1064"/>
        <v>NO</v>
      </c>
      <c r="R4691" t="str">
        <f t="shared" si="1065"/>
        <v>NO</v>
      </c>
      <c r="T4691" t="s">
        <v>142</v>
      </c>
      <c r="U4691" t="str">
        <f t="shared" si="1066"/>
        <v>Huron Ave</v>
      </c>
      <c r="V4691" t="s">
        <v>409</v>
      </c>
      <c r="W4691" t="str">
        <f t="shared" si="1067"/>
        <v>Appleton St</v>
      </c>
      <c r="X4691" t="str">
        <f>IF(ISBLANK(S4691),"Intersection","Non-Intersection")</f>
        <v>Intersection</v>
      </c>
      <c r="Y4691" t="s">
        <v>1329</v>
      </c>
      <c r="Z4691" t="str">
        <f t="shared" si="1068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055"/>
        <v>41275</v>
      </c>
      <c r="D4692" s="4">
        <f t="shared" si="1056"/>
        <v>6.3013698630136991E-2</v>
      </c>
      <c r="E4692" s="3">
        <f t="shared" si="1057"/>
        <v>2013</v>
      </c>
      <c r="F4692" s="3">
        <f t="shared" si="1058"/>
        <v>1</v>
      </c>
      <c r="G4692" s="3">
        <f t="shared" si="1059"/>
        <v>24</v>
      </c>
      <c r="H4692" s="3">
        <f t="shared" si="1060"/>
        <v>12</v>
      </c>
      <c r="I4692" s="3">
        <f t="shared" si="1061"/>
        <v>14</v>
      </c>
      <c r="J4692" s="3">
        <f t="shared" si="1062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063"/>
        <v>YES</v>
      </c>
      <c r="Q4692" t="str">
        <f t="shared" si="1064"/>
        <v>NO</v>
      </c>
      <c r="R4692" t="str">
        <f t="shared" si="1065"/>
        <v>NO</v>
      </c>
      <c r="S4692">
        <v>364</v>
      </c>
      <c r="T4692" t="s">
        <v>142</v>
      </c>
      <c r="U4692" t="str">
        <f t="shared" si="1066"/>
        <v>Huron Ave</v>
      </c>
      <c r="W4692" t="str">
        <f t="shared" si="1067"/>
        <v/>
      </c>
      <c r="X4692" t="str">
        <f>IF(ISBLANK(S4692),"Intersection","Non-Intersection")</f>
        <v>Non-Intersection</v>
      </c>
      <c r="Y4692" t="s">
        <v>5299</v>
      </c>
      <c r="Z4692" t="str">
        <f t="shared" si="1068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055"/>
        <v>41275</v>
      </c>
      <c r="D4693" s="4">
        <f t="shared" si="1056"/>
        <v>6.3013698630136991E-2</v>
      </c>
      <c r="E4693" s="3">
        <f t="shared" si="1057"/>
        <v>2013</v>
      </c>
      <c r="F4693" s="3">
        <f t="shared" si="1058"/>
        <v>1</v>
      </c>
      <c r="G4693" s="3">
        <f t="shared" si="1059"/>
        <v>24</v>
      </c>
      <c r="H4693" s="3">
        <f t="shared" si="1060"/>
        <v>18</v>
      </c>
      <c r="I4693" s="3">
        <f t="shared" si="1061"/>
        <v>4</v>
      </c>
      <c r="J4693" s="3">
        <f t="shared" si="1062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063"/>
        <v>YES</v>
      </c>
      <c r="Q4693" t="str">
        <f t="shared" si="1064"/>
        <v>NO</v>
      </c>
      <c r="R4693" t="str">
        <f t="shared" si="1065"/>
        <v>NO</v>
      </c>
      <c r="T4693" t="s">
        <v>216</v>
      </c>
      <c r="U4693" t="str">
        <f t="shared" si="1066"/>
        <v>Washington Ave</v>
      </c>
      <c r="V4693" t="s">
        <v>101</v>
      </c>
      <c r="W4693" t="str">
        <f t="shared" si="1067"/>
        <v>Columbia St</v>
      </c>
      <c r="X4693" t="str">
        <f>IF(ISBLANK(S4693),"Intersection","Non-Intersection")</f>
        <v>Intersection</v>
      </c>
      <c r="Y4693" t="s">
        <v>5301</v>
      </c>
      <c r="Z4693" t="str">
        <f t="shared" si="1068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055"/>
        <v>41275</v>
      </c>
      <c r="D4694" s="4">
        <f t="shared" si="1056"/>
        <v>6.575342465753424E-2</v>
      </c>
      <c r="E4694" s="3">
        <f t="shared" si="1057"/>
        <v>2013</v>
      </c>
      <c r="F4694" s="3">
        <f t="shared" si="1058"/>
        <v>1</v>
      </c>
      <c r="G4694" s="3">
        <f t="shared" si="1059"/>
        <v>25</v>
      </c>
      <c r="H4694" s="3">
        <f t="shared" si="1060"/>
        <v>1</v>
      </c>
      <c r="I4694" s="3">
        <f t="shared" si="1061"/>
        <v>37</v>
      </c>
      <c r="J4694" s="3">
        <f t="shared" si="1062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063"/>
        <v>YES</v>
      </c>
      <c r="Q4694" t="str">
        <f t="shared" si="1064"/>
        <v>NO</v>
      </c>
      <c r="R4694" t="str">
        <f t="shared" si="1065"/>
        <v>NO</v>
      </c>
      <c r="T4694" t="s">
        <v>199</v>
      </c>
      <c r="U4694" t="str">
        <f t="shared" si="1066"/>
        <v>Brattle St</v>
      </c>
      <c r="V4694" t="s">
        <v>2683</v>
      </c>
      <c r="W4694" t="str">
        <f t="shared" si="1067"/>
        <v>Channing St</v>
      </c>
      <c r="X4694" t="str">
        <f>IF(ISBLANK(S4694),"Intersection","Non-Intersection")</f>
        <v>Intersection</v>
      </c>
      <c r="Y4694" t="s">
        <v>5303</v>
      </c>
      <c r="Z4694" t="str">
        <f t="shared" si="1068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055"/>
        <v>41275</v>
      </c>
      <c r="D4695" s="4">
        <f t="shared" si="1056"/>
        <v>6.575342465753424E-2</v>
      </c>
      <c r="E4695" s="3">
        <f t="shared" si="1057"/>
        <v>2013</v>
      </c>
      <c r="F4695" s="3">
        <f t="shared" si="1058"/>
        <v>1</v>
      </c>
      <c r="G4695" s="3">
        <f t="shared" si="1059"/>
        <v>25</v>
      </c>
      <c r="H4695" s="3">
        <f t="shared" si="1060"/>
        <v>8</v>
      </c>
      <c r="I4695" s="3">
        <f t="shared" si="1061"/>
        <v>45</v>
      </c>
      <c r="J4695" s="3">
        <f t="shared" si="1062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063"/>
        <v>YES</v>
      </c>
      <c r="Q4695" t="str">
        <f t="shared" si="1064"/>
        <v>NO</v>
      </c>
      <c r="R4695" t="str">
        <f t="shared" si="1065"/>
        <v>NO</v>
      </c>
      <c r="T4695" t="s">
        <v>1006</v>
      </c>
      <c r="U4695" t="str">
        <f t="shared" si="1066"/>
        <v>Irving St</v>
      </c>
      <c r="V4695" t="s">
        <v>3588</v>
      </c>
      <c r="W4695" t="str">
        <f t="shared" si="1067"/>
        <v>Kirkland Rd</v>
      </c>
      <c r="X4695" t="str">
        <f>IF(ISBLANK(S4695),"Intersection","Non-Intersection")</f>
        <v>Intersection</v>
      </c>
      <c r="Y4695" t="s">
        <v>5305</v>
      </c>
      <c r="Z4695" t="str">
        <f t="shared" si="1068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055"/>
        <v>41275</v>
      </c>
      <c r="D4696" s="4">
        <f t="shared" si="1056"/>
        <v>6.575342465753424E-2</v>
      </c>
      <c r="E4696" s="3">
        <f t="shared" si="1057"/>
        <v>2013</v>
      </c>
      <c r="F4696" s="3">
        <f t="shared" si="1058"/>
        <v>1</v>
      </c>
      <c r="G4696" s="3">
        <f t="shared" si="1059"/>
        <v>25</v>
      </c>
      <c r="H4696" s="3">
        <f t="shared" si="1060"/>
        <v>9</v>
      </c>
      <c r="I4696" s="3">
        <f t="shared" si="1061"/>
        <v>30</v>
      </c>
      <c r="J4696" s="3">
        <f t="shared" si="1062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063"/>
        <v>YES</v>
      </c>
      <c r="Q4696" t="str">
        <f t="shared" si="1064"/>
        <v>NO</v>
      </c>
      <c r="R4696" t="str">
        <f t="shared" si="1065"/>
        <v>NO</v>
      </c>
      <c r="S4696">
        <v>11</v>
      </c>
      <c r="T4696" t="s">
        <v>335</v>
      </c>
      <c r="U4696" t="str">
        <f t="shared" si="1066"/>
        <v>Ware St</v>
      </c>
      <c r="W4696" t="str">
        <f t="shared" si="1067"/>
        <v/>
      </c>
      <c r="X4696" t="str">
        <f>IF(ISBLANK(S4696),"Intersection","Non-Intersection")</f>
        <v>Non-Intersection</v>
      </c>
      <c r="Y4696" t="s">
        <v>5307</v>
      </c>
      <c r="Z4696" t="str">
        <f t="shared" si="1068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055"/>
        <v>41275</v>
      </c>
      <c r="D4697" s="4">
        <f t="shared" si="1056"/>
        <v>6.575342465753424E-2</v>
      </c>
      <c r="E4697" s="3">
        <f t="shared" si="1057"/>
        <v>2013</v>
      </c>
      <c r="F4697" s="3">
        <f t="shared" si="1058"/>
        <v>1</v>
      </c>
      <c r="G4697" s="3">
        <f t="shared" si="1059"/>
        <v>25</v>
      </c>
      <c r="H4697" s="3">
        <f t="shared" si="1060"/>
        <v>12</v>
      </c>
      <c r="I4697" s="3">
        <f t="shared" si="1061"/>
        <v>14</v>
      </c>
      <c r="J4697" s="3">
        <f t="shared" si="1062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063"/>
        <v>YES</v>
      </c>
      <c r="Q4697" t="str">
        <f t="shared" si="1064"/>
        <v>NO</v>
      </c>
      <c r="R4697" t="str">
        <f t="shared" si="1065"/>
        <v>NO</v>
      </c>
      <c r="S4697">
        <v>333</v>
      </c>
      <c r="T4697" t="s">
        <v>587</v>
      </c>
      <c r="U4697" t="str">
        <f t="shared" si="1066"/>
        <v>Webster Ave</v>
      </c>
      <c r="W4697" t="str">
        <f t="shared" si="1067"/>
        <v/>
      </c>
      <c r="X4697" t="str">
        <f>IF(ISBLANK(S4697),"Intersection","Non-Intersection")</f>
        <v>Non-Intersection</v>
      </c>
      <c r="Y4697" t="s">
        <v>3028</v>
      </c>
      <c r="Z4697" t="str">
        <f t="shared" si="1068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055"/>
        <v>41275</v>
      </c>
      <c r="D4698" s="4">
        <f t="shared" si="1056"/>
        <v>6.575342465753424E-2</v>
      </c>
      <c r="E4698" s="3">
        <f t="shared" si="1057"/>
        <v>2013</v>
      </c>
      <c r="F4698" s="3">
        <f t="shared" si="1058"/>
        <v>1</v>
      </c>
      <c r="G4698" s="3">
        <f t="shared" si="1059"/>
        <v>25</v>
      </c>
      <c r="H4698" s="3">
        <f t="shared" si="1060"/>
        <v>15</v>
      </c>
      <c r="I4698" s="3">
        <f t="shared" si="1061"/>
        <v>0</v>
      </c>
      <c r="J4698" s="3">
        <f t="shared" si="1062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063"/>
        <v>YES</v>
      </c>
      <c r="Q4698" t="str">
        <f t="shared" si="1064"/>
        <v>NO</v>
      </c>
      <c r="R4698" t="str">
        <f t="shared" si="1065"/>
        <v>YES</v>
      </c>
      <c r="T4698" t="s">
        <v>14</v>
      </c>
      <c r="U4698" t="str">
        <f t="shared" si="1066"/>
        <v>Massachusetts Ave</v>
      </c>
      <c r="V4698" t="s">
        <v>472</v>
      </c>
      <c r="W4698" t="str">
        <f t="shared" si="1067"/>
        <v>Day St</v>
      </c>
      <c r="X4698" t="str">
        <f>IF(ISBLANK(S4698),"Intersection","Non-Intersection")</f>
        <v>Intersection</v>
      </c>
      <c r="Y4698" t="s">
        <v>473</v>
      </c>
      <c r="Z4698" t="str">
        <f t="shared" si="1068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055"/>
        <v>41275</v>
      </c>
      <c r="D4699" s="4">
        <f t="shared" si="1056"/>
        <v>6.575342465753424E-2</v>
      </c>
      <c r="E4699" s="3">
        <f t="shared" si="1057"/>
        <v>2013</v>
      </c>
      <c r="F4699" s="3">
        <f t="shared" si="1058"/>
        <v>1</v>
      </c>
      <c r="G4699" s="3">
        <f t="shared" si="1059"/>
        <v>25</v>
      </c>
      <c r="H4699" s="3">
        <f t="shared" si="1060"/>
        <v>15</v>
      </c>
      <c r="I4699" s="3">
        <f t="shared" si="1061"/>
        <v>59</v>
      </c>
      <c r="J4699" s="3">
        <f t="shared" si="1062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063"/>
        <v>YES</v>
      </c>
      <c r="Q4699" t="str">
        <f t="shared" si="1064"/>
        <v>NO</v>
      </c>
      <c r="R4699" t="str">
        <f t="shared" si="1065"/>
        <v>NO</v>
      </c>
      <c r="T4699" t="s">
        <v>380</v>
      </c>
      <c r="U4699" t="str">
        <f t="shared" si="1066"/>
        <v>Charles St</v>
      </c>
      <c r="V4699" t="s">
        <v>61</v>
      </c>
      <c r="W4699" t="str">
        <f t="shared" si="1067"/>
        <v>First St</v>
      </c>
      <c r="X4699" t="str">
        <f>IF(ISBLANK(S4699),"Intersection","Non-Intersection")</f>
        <v>Intersection</v>
      </c>
      <c r="Y4699" t="s">
        <v>1656</v>
      </c>
      <c r="Z4699" t="str">
        <f t="shared" si="1068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055"/>
        <v>41275</v>
      </c>
      <c r="D4700" s="4">
        <f t="shared" si="1056"/>
        <v>6.575342465753424E-2</v>
      </c>
      <c r="E4700" s="3">
        <f t="shared" si="1057"/>
        <v>2013</v>
      </c>
      <c r="F4700" s="3">
        <f t="shared" si="1058"/>
        <v>1</v>
      </c>
      <c r="G4700" s="3">
        <f t="shared" si="1059"/>
        <v>25</v>
      </c>
      <c r="H4700" s="3">
        <f t="shared" si="1060"/>
        <v>16</v>
      </c>
      <c r="I4700" s="3">
        <f t="shared" si="1061"/>
        <v>38</v>
      </c>
      <c r="J4700" s="3">
        <f t="shared" si="1062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063"/>
        <v>YES</v>
      </c>
      <c r="Q4700" t="str">
        <f t="shared" si="1064"/>
        <v>NO</v>
      </c>
      <c r="R4700" t="str">
        <f t="shared" si="1065"/>
        <v>NO</v>
      </c>
      <c r="T4700" t="s">
        <v>326</v>
      </c>
      <c r="U4700" t="str">
        <f t="shared" si="1066"/>
        <v>Jfk St</v>
      </c>
      <c r="V4700" t="s">
        <v>199</v>
      </c>
      <c r="W4700" t="str">
        <f t="shared" si="1067"/>
        <v>Brattle St</v>
      </c>
      <c r="X4700" t="str">
        <f>IF(ISBLANK(S4700),"Intersection","Non-Intersection")</f>
        <v>Intersection</v>
      </c>
      <c r="Y4700" t="s">
        <v>681</v>
      </c>
      <c r="Z4700" t="str">
        <f t="shared" si="1068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055"/>
        <v>41275</v>
      </c>
      <c r="D4701" s="4">
        <f t="shared" si="1056"/>
        <v>6.575342465753424E-2</v>
      </c>
      <c r="E4701" s="3">
        <f t="shared" si="1057"/>
        <v>2013</v>
      </c>
      <c r="F4701" s="3">
        <f t="shared" si="1058"/>
        <v>1</v>
      </c>
      <c r="G4701" s="3">
        <f t="shared" si="1059"/>
        <v>25</v>
      </c>
      <c r="H4701" s="3">
        <f t="shared" si="1060"/>
        <v>17</v>
      </c>
      <c r="I4701" s="3">
        <f t="shared" si="1061"/>
        <v>42</v>
      </c>
      <c r="J4701" s="3">
        <f t="shared" si="1062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063"/>
        <v>YES</v>
      </c>
      <c r="Q4701" t="str">
        <f t="shared" si="1064"/>
        <v>NO</v>
      </c>
      <c r="R4701" t="str">
        <f t="shared" si="1065"/>
        <v>NO</v>
      </c>
      <c r="T4701" t="s">
        <v>803</v>
      </c>
      <c r="U4701" t="str">
        <f t="shared" si="1066"/>
        <v>Line St</v>
      </c>
      <c r="W4701" t="str">
        <f t="shared" si="1067"/>
        <v/>
      </c>
      <c r="X4701" t="str">
        <f>IF(ISBLANK(S4701),"Intersection","Non-Intersection")</f>
        <v>Intersection</v>
      </c>
      <c r="Y4701" t="s">
        <v>804</v>
      </c>
      <c r="Z4701" t="str">
        <f t="shared" si="1068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055"/>
        <v>41275</v>
      </c>
      <c r="D4702" s="4">
        <f t="shared" si="1056"/>
        <v>6.575342465753424E-2</v>
      </c>
      <c r="E4702" s="3">
        <f t="shared" si="1057"/>
        <v>2013</v>
      </c>
      <c r="F4702" s="3">
        <f t="shared" si="1058"/>
        <v>1</v>
      </c>
      <c r="G4702" s="3">
        <f t="shared" si="1059"/>
        <v>25</v>
      </c>
      <c r="H4702" s="3">
        <f t="shared" si="1060"/>
        <v>20</v>
      </c>
      <c r="I4702" s="3">
        <f t="shared" si="1061"/>
        <v>0</v>
      </c>
      <c r="J4702" s="3">
        <f t="shared" si="1062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063"/>
        <v>YES</v>
      </c>
      <c r="Q4702" t="str">
        <f t="shared" si="1064"/>
        <v>NO</v>
      </c>
      <c r="R4702" t="str">
        <f t="shared" si="1065"/>
        <v>NO</v>
      </c>
      <c r="S4702">
        <v>22</v>
      </c>
      <c r="T4702" t="s">
        <v>2903</v>
      </c>
      <c r="U4702" t="str">
        <f t="shared" si="1066"/>
        <v>Rockwell St</v>
      </c>
      <c r="W4702" t="str">
        <f t="shared" si="1067"/>
        <v/>
      </c>
      <c r="X4702" t="str">
        <f>IF(ISBLANK(S4702),"Intersection","Non-Intersection")</f>
        <v>Non-Intersection</v>
      </c>
      <c r="Y4702" t="s">
        <v>5309</v>
      </c>
      <c r="Z4702" t="str">
        <f t="shared" si="1068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055"/>
        <v>41275</v>
      </c>
      <c r="D4703" s="4">
        <f t="shared" si="1056"/>
        <v>6.575342465753424E-2</v>
      </c>
      <c r="E4703" s="3">
        <f t="shared" si="1057"/>
        <v>2013</v>
      </c>
      <c r="F4703" s="3">
        <f t="shared" si="1058"/>
        <v>1</v>
      </c>
      <c r="G4703" s="3">
        <f t="shared" si="1059"/>
        <v>25</v>
      </c>
      <c r="H4703" s="3">
        <f t="shared" si="1060"/>
        <v>23</v>
      </c>
      <c r="I4703" s="3">
        <f t="shared" si="1061"/>
        <v>49</v>
      </c>
      <c r="J4703" s="3">
        <f t="shared" si="1062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063"/>
        <v>YES</v>
      </c>
      <c r="Q4703" t="str">
        <f t="shared" si="1064"/>
        <v>NO</v>
      </c>
      <c r="R4703" t="str">
        <f t="shared" si="1065"/>
        <v>NO</v>
      </c>
      <c r="T4703" t="s">
        <v>14</v>
      </c>
      <c r="U4703" t="str">
        <f t="shared" si="1066"/>
        <v>Massachusetts Ave</v>
      </c>
      <c r="V4703" t="s">
        <v>57</v>
      </c>
      <c r="W4703" t="str">
        <f t="shared" si="1067"/>
        <v>Everett St</v>
      </c>
      <c r="X4703" t="str">
        <f>IF(ISBLANK(S4703),"Intersection","Non-Intersection")</f>
        <v>Intersection</v>
      </c>
      <c r="Y4703" t="s">
        <v>58</v>
      </c>
      <c r="Z4703" t="str">
        <f t="shared" si="1068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055"/>
        <v>41275</v>
      </c>
      <c r="D4704" s="4">
        <f t="shared" si="1056"/>
        <v>6.575342465753424E-2</v>
      </c>
      <c r="E4704" s="3">
        <f t="shared" si="1057"/>
        <v>2013</v>
      </c>
      <c r="F4704" s="3">
        <f t="shared" si="1058"/>
        <v>1</v>
      </c>
      <c r="G4704" s="3">
        <f t="shared" si="1059"/>
        <v>25</v>
      </c>
      <c r="H4704" s="3">
        <f t="shared" si="1060"/>
        <v>17</v>
      </c>
      <c r="I4704" s="3">
        <f t="shared" si="1061"/>
        <v>15</v>
      </c>
      <c r="J4704" s="3">
        <f t="shared" si="1062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063"/>
        <v>YES</v>
      </c>
      <c r="Q4704" t="str">
        <f t="shared" si="1064"/>
        <v>NO</v>
      </c>
      <c r="R4704" t="str">
        <f t="shared" si="1065"/>
        <v>NO</v>
      </c>
      <c r="S4704">
        <v>96</v>
      </c>
      <c r="T4704" t="s">
        <v>611</v>
      </c>
      <c r="U4704" t="str">
        <f t="shared" si="1066"/>
        <v>Berkshire St</v>
      </c>
      <c r="W4704" t="str">
        <f t="shared" si="1067"/>
        <v/>
      </c>
      <c r="X4704" t="str">
        <f>IF(ISBLANK(S4704),"Intersection","Non-Intersection")</f>
        <v>Non-Intersection</v>
      </c>
      <c r="Y4704" t="s">
        <v>5311</v>
      </c>
      <c r="Z4704" t="str">
        <f t="shared" si="1068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055"/>
        <v>41275</v>
      </c>
      <c r="D4705" s="4">
        <f t="shared" si="1056"/>
        <v>6.8493150684931503E-2</v>
      </c>
      <c r="E4705" s="3">
        <f t="shared" si="1057"/>
        <v>2013</v>
      </c>
      <c r="F4705" s="3">
        <f t="shared" si="1058"/>
        <v>1</v>
      </c>
      <c r="G4705" s="3">
        <f t="shared" si="1059"/>
        <v>26</v>
      </c>
      <c r="H4705" s="3">
        <f t="shared" si="1060"/>
        <v>6</v>
      </c>
      <c r="I4705" s="3">
        <f t="shared" si="1061"/>
        <v>30</v>
      </c>
      <c r="J4705" s="3">
        <f t="shared" si="1062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063"/>
        <v>YES</v>
      </c>
      <c r="Q4705" t="str">
        <f t="shared" si="1064"/>
        <v>NO</v>
      </c>
      <c r="R4705" t="str">
        <f t="shared" si="1065"/>
        <v>NO</v>
      </c>
      <c r="T4705" t="s">
        <v>464</v>
      </c>
      <c r="U4705" t="str">
        <f t="shared" si="1066"/>
        <v>Aberdeen Way</v>
      </c>
      <c r="V4705" t="s">
        <v>198</v>
      </c>
      <c r="W4705" t="str">
        <f t="shared" si="1067"/>
        <v>Mount Auburn St</v>
      </c>
      <c r="X4705" t="str">
        <f>IF(ISBLANK(S4705),"Intersection","Non-Intersection")</f>
        <v>Intersection</v>
      </c>
      <c r="Y4705" t="s">
        <v>3159</v>
      </c>
      <c r="Z4705" t="str">
        <f t="shared" si="1068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055"/>
        <v>41275</v>
      </c>
      <c r="D4706" s="4">
        <f t="shared" si="1056"/>
        <v>6.8493150684931503E-2</v>
      </c>
      <c r="E4706" s="3">
        <f t="shared" si="1057"/>
        <v>2013</v>
      </c>
      <c r="F4706" s="3">
        <f t="shared" si="1058"/>
        <v>1</v>
      </c>
      <c r="G4706" s="3">
        <f t="shared" si="1059"/>
        <v>26</v>
      </c>
      <c r="H4706" s="3">
        <f t="shared" si="1060"/>
        <v>17</v>
      </c>
      <c r="I4706" s="3">
        <f t="shared" si="1061"/>
        <v>32</v>
      </c>
      <c r="J4706" s="3">
        <f t="shared" si="1062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063"/>
        <v>YES</v>
      </c>
      <c r="Q4706" t="str">
        <f t="shared" si="1064"/>
        <v>NO</v>
      </c>
      <c r="R4706" t="str">
        <f t="shared" si="1065"/>
        <v>NO</v>
      </c>
      <c r="T4706" t="s">
        <v>796</v>
      </c>
      <c r="U4706" t="str">
        <f t="shared" si="1066"/>
        <v>Portland St</v>
      </c>
      <c r="V4706" t="s">
        <v>74</v>
      </c>
      <c r="W4706" t="str">
        <f t="shared" si="1067"/>
        <v>Hampshire St</v>
      </c>
      <c r="X4706" t="str">
        <f>IF(ISBLANK(S4706),"Intersection","Non-Intersection")</f>
        <v>Intersection</v>
      </c>
      <c r="Y4706" t="s">
        <v>4394</v>
      </c>
      <c r="Z4706" t="str">
        <f t="shared" si="1068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055"/>
        <v>41275</v>
      </c>
      <c r="D4707" s="4">
        <f t="shared" si="1056"/>
        <v>6.8493150684931503E-2</v>
      </c>
      <c r="E4707" s="3">
        <f t="shared" si="1057"/>
        <v>2013</v>
      </c>
      <c r="F4707" s="3">
        <f t="shared" si="1058"/>
        <v>1</v>
      </c>
      <c r="G4707" s="3">
        <f t="shared" si="1059"/>
        <v>26</v>
      </c>
      <c r="H4707" s="3">
        <f t="shared" si="1060"/>
        <v>11</v>
      </c>
      <c r="I4707" s="3">
        <f t="shared" si="1061"/>
        <v>0</v>
      </c>
      <c r="J4707" s="3">
        <f t="shared" si="1062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063"/>
        <v>YES</v>
      </c>
      <c r="Q4707" t="str">
        <f t="shared" si="1064"/>
        <v>NO</v>
      </c>
      <c r="R4707" t="str">
        <f t="shared" si="1065"/>
        <v>NO</v>
      </c>
      <c r="S4707">
        <v>10</v>
      </c>
      <c r="T4707" t="s">
        <v>3564</v>
      </c>
      <c r="U4707" t="str">
        <f t="shared" si="1066"/>
        <v>Arlington St</v>
      </c>
      <c r="W4707" t="str">
        <f t="shared" si="1067"/>
        <v/>
      </c>
      <c r="X4707" t="str">
        <f>IF(ISBLANK(S4707),"Intersection","Non-Intersection")</f>
        <v>Non-Intersection</v>
      </c>
      <c r="Y4707" t="s">
        <v>5313</v>
      </c>
      <c r="Z4707" t="str">
        <f t="shared" si="1068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055"/>
        <v>41275</v>
      </c>
      <c r="D4708" s="4">
        <f t="shared" si="1056"/>
        <v>7.1232876712328766E-2</v>
      </c>
      <c r="E4708" s="3">
        <f t="shared" si="1057"/>
        <v>2013</v>
      </c>
      <c r="F4708" s="3">
        <f t="shared" si="1058"/>
        <v>1</v>
      </c>
      <c r="G4708" s="3">
        <f t="shared" si="1059"/>
        <v>27</v>
      </c>
      <c r="H4708" s="3">
        <f t="shared" si="1060"/>
        <v>1</v>
      </c>
      <c r="I4708" s="3">
        <f t="shared" si="1061"/>
        <v>44</v>
      </c>
      <c r="J4708" s="3">
        <f t="shared" si="1062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063"/>
        <v>YES</v>
      </c>
      <c r="Q4708" t="str">
        <f t="shared" si="1064"/>
        <v>NO</v>
      </c>
      <c r="R4708" t="str">
        <f t="shared" si="1065"/>
        <v>YES</v>
      </c>
      <c r="T4708" t="s">
        <v>14</v>
      </c>
      <c r="U4708" t="str">
        <f t="shared" si="1066"/>
        <v>Massachusetts Ave</v>
      </c>
      <c r="V4708" t="s">
        <v>420</v>
      </c>
      <c r="W4708" t="str">
        <f t="shared" si="1067"/>
        <v>Douglass St</v>
      </c>
      <c r="X4708" t="str">
        <f>IF(ISBLANK(S4708),"Intersection","Non-Intersection")</f>
        <v>Intersection</v>
      </c>
      <c r="Y4708" t="s">
        <v>421</v>
      </c>
      <c r="Z4708" t="str">
        <f t="shared" si="1068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055"/>
        <v>41275</v>
      </c>
      <c r="D4709" s="4">
        <f t="shared" si="1056"/>
        <v>7.3972602739726029E-2</v>
      </c>
      <c r="E4709" s="3">
        <f t="shared" si="1057"/>
        <v>2013</v>
      </c>
      <c r="F4709" s="3">
        <f t="shared" si="1058"/>
        <v>1</v>
      </c>
      <c r="G4709" s="3">
        <f t="shared" si="1059"/>
        <v>28</v>
      </c>
      <c r="H4709" s="3">
        <f t="shared" si="1060"/>
        <v>15</v>
      </c>
      <c r="I4709" s="3">
        <f t="shared" si="1061"/>
        <v>11</v>
      </c>
      <c r="J4709" s="3">
        <f t="shared" si="1062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063"/>
        <v>YES</v>
      </c>
      <c r="Q4709" t="str">
        <f t="shared" si="1064"/>
        <v>NO</v>
      </c>
      <c r="R4709" t="str">
        <f t="shared" si="1065"/>
        <v>NO</v>
      </c>
      <c r="T4709" t="s">
        <v>74</v>
      </c>
      <c r="U4709" t="str">
        <f t="shared" si="1066"/>
        <v>Hampshire St</v>
      </c>
      <c r="V4709" t="s">
        <v>2344</v>
      </c>
      <c r="W4709" t="str">
        <f t="shared" si="1067"/>
        <v>Bristol St</v>
      </c>
      <c r="X4709" t="str">
        <f>IF(ISBLANK(S4709),"Intersection","Non-Intersection")</f>
        <v>Intersection</v>
      </c>
      <c r="Y4709" t="s">
        <v>2982</v>
      </c>
      <c r="Z4709" t="str">
        <f t="shared" si="1068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055"/>
        <v>41275</v>
      </c>
      <c r="D4710" s="4">
        <f t="shared" si="1056"/>
        <v>7.3972602739726029E-2</v>
      </c>
      <c r="E4710" s="3">
        <f t="shared" si="1057"/>
        <v>2013</v>
      </c>
      <c r="F4710" s="3">
        <f t="shared" si="1058"/>
        <v>1</v>
      </c>
      <c r="G4710" s="3">
        <f t="shared" si="1059"/>
        <v>28</v>
      </c>
      <c r="H4710" s="3">
        <f t="shared" si="1060"/>
        <v>16</v>
      </c>
      <c r="I4710" s="3">
        <f t="shared" si="1061"/>
        <v>50</v>
      </c>
      <c r="J4710" s="3">
        <f t="shared" si="1062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063"/>
        <v>YES</v>
      </c>
      <c r="Q4710" t="str">
        <f t="shared" si="1064"/>
        <v>NO</v>
      </c>
      <c r="R4710" t="str">
        <f t="shared" si="1065"/>
        <v>NO</v>
      </c>
      <c r="S4710">
        <v>21</v>
      </c>
      <c r="T4710" t="s">
        <v>252</v>
      </c>
      <c r="U4710" t="str">
        <f t="shared" si="1066"/>
        <v>Walden St</v>
      </c>
      <c r="W4710" t="str">
        <f t="shared" si="1067"/>
        <v/>
      </c>
      <c r="X4710" t="str">
        <f>IF(ISBLANK(S4710),"Intersection","Non-Intersection")</f>
        <v>Non-Intersection</v>
      </c>
      <c r="Y4710" t="s">
        <v>5072</v>
      </c>
      <c r="Z4710" t="str">
        <f t="shared" si="1068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055"/>
        <v>41275</v>
      </c>
      <c r="D4711" s="4">
        <f t="shared" si="1056"/>
        <v>7.3972602739726029E-2</v>
      </c>
      <c r="E4711" s="3">
        <f t="shared" si="1057"/>
        <v>2013</v>
      </c>
      <c r="F4711" s="3">
        <f t="shared" si="1058"/>
        <v>1</v>
      </c>
      <c r="G4711" s="3">
        <f t="shared" si="1059"/>
        <v>28</v>
      </c>
      <c r="H4711" s="3">
        <f t="shared" si="1060"/>
        <v>11</v>
      </c>
      <c r="I4711" s="3">
        <f t="shared" si="1061"/>
        <v>29</v>
      </c>
      <c r="J4711" s="3">
        <f t="shared" si="1062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063"/>
        <v>NO</v>
      </c>
      <c r="Q4711" t="str">
        <f t="shared" si="1064"/>
        <v>NO</v>
      </c>
      <c r="R4711" t="str">
        <f t="shared" si="1065"/>
        <v>NO</v>
      </c>
      <c r="T4711" t="s">
        <v>28</v>
      </c>
      <c r="U4711" t="str">
        <f t="shared" si="1066"/>
        <v>Howard St</v>
      </c>
      <c r="V4711" t="s">
        <v>1024</v>
      </c>
      <c r="W4711" t="str">
        <f t="shared" si="1067"/>
        <v>Kinnaird St</v>
      </c>
      <c r="X4711" t="str">
        <f>IF(ISBLANK(S4711),"Intersection","Non-Intersection")</f>
        <v>Intersection</v>
      </c>
      <c r="Y4711" t="s">
        <v>1441</v>
      </c>
      <c r="Z4711" t="str">
        <f t="shared" si="1068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055"/>
        <v>41275</v>
      </c>
      <c r="D4712" s="4">
        <f t="shared" si="1056"/>
        <v>7.3972602739726029E-2</v>
      </c>
      <c r="E4712" s="3">
        <f t="shared" si="1057"/>
        <v>2013</v>
      </c>
      <c r="F4712" s="3">
        <f t="shared" si="1058"/>
        <v>1</v>
      </c>
      <c r="G4712" s="3">
        <f t="shared" si="1059"/>
        <v>28</v>
      </c>
      <c r="H4712" s="3">
        <f t="shared" si="1060"/>
        <v>11</v>
      </c>
      <c r="I4712" s="3">
        <f t="shared" si="1061"/>
        <v>29</v>
      </c>
      <c r="J4712" s="3">
        <f t="shared" si="1062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063"/>
        <v>YES</v>
      </c>
      <c r="Q4712" t="str">
        <f t="shared" si="1064"/>
        <v>YES</v>
      </c>
      <c r="R4712" t="str">
        <f t="shared" si="1065"/>
        <v>NO</v>
      </c>
      <c r="T4712" t="s">
        <v>105</v>
      </c>
      <c r="U4712" t="str">
        <f t="shared" si="1066"/>
        <v>Broadway</v>
      </c>
      <c r="V4712" t="s">
        <v>3017</v>
      </c>
      <c r="W4712" t="str">
        <f t="shared" si="1067"/>
        <v>Ellery Pl</v>
      </c>
      <c r="X4712" t="str">
        <f>IF(ISBLANK(S4712),"Intersection","Non-Intersection")</f>
        <v>Intersection</v>
      </c>
      <c r="Y4712" t="s">
        <v>5315</v>
      </c>
      <c r="Z4712" t="str">
        <f t="shared" si="1068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055"/>
        <v>41275</v>
      </c>
      <c r="D4713" s="4">
        <f t="shared" si="1056"/>
        <v>7.3972602739726029E-2</v>
      </c>
      <c r="E4713" s="3">
        <f t="shared" si="1057"/>
        <v>2013</v>
      </c>
      <c r="F4713" s="3">
        <f t="shared" si="1058"/>
        <v>1</v>
      </c>
      <c r="G4713" s="3">
        <f t="shared" si="1059"/>
        <v>28</v>
      </c>
      <c r="H4713" s="3">
        <f t="shared" si="1060"/>
        <v>17</v>
      </c>
      <c r="I4713" s="3">
        <f t="shared" si="1061"/>
        <v>52</v>
      </c>
      <c r="J4713" s="3">
        <f t="shared" si="1062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063"/>
        <v>YES</v>
      </c>
      <c r="Q4713" t="str">
        <f t="shared" si="1064"/>
        <v>NO</v>
      </c>
      <c r="R4713" t="str">
        <f t="shared" si="1065"/>
        <v>NO</v>
      </c>
      <c r="S4713">
        <v>364</v>
      </c>
      <c r="T4713" t="s">
        <v>15</v>
      </c>
      <c r="U4713" t="str">
        <f t="shared" si="1066"/>
        <v>Rindge Ave</v>
      </c>
      <c r="W4713" t="str">
        <f t="shared" si="1067"/>
        <v/>
      </c>
      <c r="X4713" t="str">
        <f>IF(ISBLANK(S4713),"Intersection","Non-Intersection")</f>
        <v>Non-Intersection</v>
      </c>
      <c r="Y4713" t="s">
        <v>542</v>
      </c>
      <c r="Z4713" t="str">
        <f t="shared" si="1068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055"/>
        <v>41275</v>
      </c>
      <c r="D4714" s="4">
        <f t="shared" si="1056"/>
        <v>7.6712328767123292E-2</v>
      </c>
      <c r="E4714" s="3">
        <f t="shared" si="1057"/>
        <v>2013</v>
      </c>
      <c r="F4714" s="3">
        <f t="shared" si="1058"/>
        <v>1</v>
      </c>
      <c r="G4714" s="3">
        <f t="shared" si="1059"/>
        <v>29</v>
      </c>
      <c r="H4714" s="3">
        <f t="shared" si="1060"/>
        <v>12</v>
      </c>
      <c r="I4714" s="3">
        <f t="shared" si="1061"/>
        <v>14</v>
      </c>
      <c r="J4714" s="3">
        <f t="shared" si="1062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063"/>
        <v>YES</v>
      </c>
      <c r="Q4714" t="str">
        <f t="shared" si="1064"/>
        <v>NO</v>
      </c>
      <c r="R4714" t="str">
        <f t="shared" si="1065"/>
        <v>NO</v>
      </c>
      <c r="T4714" t="s">
        <v>587</v>
      </c>
      <c r="U4714" t="str">
        <f t="shared" si="1066"/>
        <v>Webster Ave</v>
      </c>
      <c r="V4714" t="s">
        <v>985</v>
      </c>
      <c r="W4714" t="str">
        <f t="shared" si="1067"/>
        <v>Plymouth St</v>
      </c>
      <c r="X4714" t="str">
        <f>IF(ISBLANK(S4714),"Intersection","Non-Intersection")</f>
        <v>Intersection</v>
      </c>
      <c r="Y4714" t="s">
        <v>5316</v>
      </c>
      <c r="Z4714" t="str">
        <f t="shared" si="1068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055"/>
        <v>41275</v>
      </c>
      <c r="D4715" s="4">
        <f t="shared" si="1056"/>
        <v>7.6712328767123292E-2</v>
      </c>
      <c r="E4715" s="3">
        <f t="shared" si="1057"/>
        <v>2013</v>
      </c>
      <c r="F4715" s="3">
        <f t="shared" si="1058"/>
        <v>1</v>
      </c>
      <c r="G4715" s="3">
        <f t="shared" si="1059"/>
        <v>29</v>
      </c>
      <c r="H4715" s="3">
        <f t="shared" si="1060"/>
        <v>17</v>
      </c>
      <c r="I4715" s="3">
        <f t="shared" si="1061"/>
        <v>35</v>
      </c>
      <c r="J4715" s="3">
        <f t="shared" si="1062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063"/>
        <v>YES</v>
      </c>
      <c r="Q4715" t="str">
        <f t="shared" si="1064"/>
        <v>NO</v>
      </c>
      <c r="R4715" t="str">
        <f t="shared" si="1065"/>
        <v>YES</v>
      </c>
      <c r="T4715" t="s">
        <v>1520</v>
      </c>
      <c r="U4715" t="str">
        <f t="shared" si="1066"/>
        <v>Fayette St</v>
      </c>
      <c r="W4715" t="str">
        <f t="shared" si="1067"/>
        <v/>
      </c>
      <c r="X4715" t="str">
        <f>IF(ISBLANK(S4715),"Intersection","Non-Intersection")</f>
        <v>Intersection</v>
      </c>
      <c r="Y4715" t="s">
        <v>5317</v>
      </c>
      <c r="Z4715" t="str">
        <f t="shared" si="1068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055"/>
        <v>41275</v>
      </c>
      <c r="D4716" s="4">
        <f t="shared" si="1056"/>
        <v>7.9452054794520555E-2</v>
      </c>
      <c r="E4716" s="3">
        <f t="shared" si="1057"/>
        <v>2013</v>
      </c>
      <c r="F4716" s="3">
        <f t="shared" si="1058"/>
        <v>1</v>
      </c>
      <c r="G4716" s="3">
        <f t="shared" si="1059"/>
        <v>30</v>
      </c>
      <c r="H4716" s="3">
        <f t="shared" si="1060"/>
        <v>18</v>
      </c>
      <c r="I4716" s="3">
        <f t="shared" si="1061"/>
        <v>45</v>
      </c>
      <c r="J4716" s="3">
        <f t="shared" si="1062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063"/>
        <v>YES</v>
      </c>
      <c r="Q4716" t="str">
        <f t="shared" si="1064"/>
        <v>NO</v>
      </c>
      <c r="R4716" t="str">
        <f t="shared" si="1065"/>
        <v>YES</v>
      </c>
      <c r="T4716" t="s">
        <v>185</v>
      </c>
      <c r="U4716" t="str">
        <f t="shared" si="1066"/>
        <v>Garden St</v>
      </c>
      <c r="V4716" t="s">
        <v>449</v>
      </c>
      <c r="W4716" t="str">
        <f t="shared" si="1067"/>
        <v>Appian Way</v>
      </c>
      <c r="X4716" t="str">
        <f>IF(ISBLANK(S4716),"Intersection","Non-Intersection")</f>
        <v>Intersection</v>
      </c>
      <c r="Y4716" t="s">
        <v>729</v>
      </c>
      <c r="Z4716" t="str">
        <f t="shared" si="1068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055"/>
        <v>41275</v>
      </c>
      <c r="D4717" s="4">
        <f t="shared" si="1056"/>
        <v>7.9452054794520555E-2</v>
      </c>
      <c r="E4717" s="3">
        <f t="shared" si="1057"/>
        <v>2013</v>
      </c>
      <c r="F4717" s="3">
        <f t="shared" si="1058"/>
        <v>1</v>
      </c>
      <c r="G4717" s="3">
        <f t="shared" si="1059"/>
        <v>30</v>
      </c>
      <c r="H4717" s="3">
        <f t="shared" si="1060"/>
        <v>10</v>
      </c>
      <c r="I4717" s="3">
        <f t="shared" si="1061"/>
        <v>35</v>
      </c>
      <c r="J4717" s="3">
        <f t="shared" si="1062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063"/>
        <v>YES</v>
      </c>
      <c r="Q4717" t="str">
        <f t="shared" si="1064"/>
        <v>NO</v>
      </c>
      <c r="R4717" t="str">
        <f t="shared" si="1065"/>
        <v>NO</v>
      </c>
      <c r="T4717" t="s">
        <v>170</v>
      </c>
      <c r="U4717" t="str">
        <f t="shared" si="1066"/>
        <v>Alewife Brook Pky</v>
      </c>
      <c r="V4717" t="s">
        <v>186</v>
      </c>
      <c r="W4717" t="str">
        <f t="shared" si="1067"/>
        <v>Concord Ave</v>
      </c>
      <c r="X4717" t="str">
        <f>IF(ISBLANK(S4717),"Intersection","Non-Intersection")</f>
        <v>Intersection</v>
      </c>
      <c r="Y4717" t="s">
        <v>5318</v>
      </c>
      <c r="Z4717" t="str">
        <f t="shared" si="1068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055"/>
        <v>41275</v>
      </c>
      <c r="D4718" s="4">
        <f t="shared" si="1056"/>
        <v>7.9452054794520555E-2</v>
      </c>
      <c r="E4718" s="3">
        <f t="shared" si="1057"/>
        <v>2013</v>
      </c>
      <c r="F4718" s="3">
        <f t="shared" si="1058"/>
        <v>1</v>
      </c>
      <c r="G4718" s="3">
        <f t="shared" si="1059"/>
        <v>30</v>
      </c>
      <c r="H4718" s="3">
        <f t="shared" si="1060"/>
        <v>10</v>
      </c>
      <c r="I4718" s="3">
        <f t="shared" si="1061"/>
        <v>50</v>
      </c>
      <c r="J4718" s="3">
        <f t="shared" si="1062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063"/>
        <v>YES</v>
      </c>
      <c r="Q4718" t="str">
        <f t="shared" si="1064"/>
        <v>NO</v>
      </c>
      <c r="R4718" t="str">
        <f t="shared" si="1065"/>
        <v>NO</v>
      </c>
      <c r="S4718">
        <v>730</v>
      </c>
      <c r="T4718" t="s">
        <v>203</v>
      </c>
      <c r="U4718" t="str">
        <f t="shared" si="1066"/>
        <v>Memorial Dr</v>
      </c>
      <c r="W4718" t="str">
        <f t="shared" si="1067"/>
        <v/>
      </c>
      <c r="X4718" t="str">
        <f>IF(ISBLANK(S4718),"Intersection","Non-Intersection")</f>
        <v>Non-Intersection</v>
      </c>
      <c r="Y4718" t="s">
        <v>236</v>
      </c>
      <c r="Z4718" t="str">
        <f t="shared" si="1068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055"/>
        <v>41275</v>
      </c>
      <c r="D4719" s="4">
        <f t="shared" si="1056"/>
        <v>7.9452054794520555E-2</v>
      </c>
      <c r="E4719" s="3">
        <f t="shared" si="1057"/>
        <v>2013</v>
      </c>
      <c r="F4719" s="3">
        <f t="shared" si="1058"/>
        <v>1</v>
      </c>
      <c r="G4719" s="3">
        <f t="shared" si="1059"/>
        <v>30</v>
      </c>
      <c r="H4719" s="3">
        <f t="shared" si="1060"/>
        <v>17</v>
      </c>
      <c r="I4719" s="3">
        <f t="shared" si="1061"/>
        <v>45</v>
      </c>
      <c r="J4719" s="3">
        <f t="shared" si="1062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063"/>
        <v>YES</v>
      </c>
      <c r="Q4719" t="str">
        <f t="shared" si="1064"/>
        <v>NO</v>
      </c>
      <c r="R4719" t="str">
        <f t="shared" si="1065"/>
        <v>NO</v>
      </c>
      <c r="T4719" t="s">
        <v>14</v>
      </c>
      <c r="U4719" t="str">
        <f t="shared" si="1066"/>
        <v>Massachusetts Ave</v>
      </c>
      <c r="V4719" t="s">
        <v>195</v>
      </c>
      <c r="W4719" t="str">
        <f t="shared" si="1067"/>
        <v>Sidney St</v>
      </c>
      <c r="X4719" t="str">
        <f>IF(ISBLANK(S4719),"Intersection","Non-Intersection")</f>
        <v>Intersection</v>
      </c>
      <c r="Y4719" t="s">
        <v>196</v>
      </c>
      <c r="Z4719" t="str">
        <f t="shared" si="1068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055"/>
        <v>41275</v>
      </c>
      <c r="D4720" s="4">
        <f t="shared" si="1056"/>
        <v>7.9452054794520555E-2</v>
      </c>
      <c r="E4720" s="3">
        <f t="shared" si="1057"/>
        <v>2013</v>
      </c>
      <c r="F4720" s="3">
        <f t="shared" si="1058"/>
        <v>1</v>
      </c>
      <c r="G4720" s="3">
        <f t="shared" si="1059"/>
        <v>30</v>
      </c>
      <c r="H4720" s="3">
        <f t="shared" si="1060"/>
        <v>19</v>
      </c>
      <c r="I4720" s="3">
        <f t="shared" si="1061"/>
        <v>31</v>
      </c>
      <c r="J4720" s="3">
        <f t="shared" si="1062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063"/>
        <v>YES</v>
      </c>
      <c r="Q4720" t="str">
        <f t="shared" si="1064"/>
        <v>NO</v>
      </c>
      <c r="R4720" t="str">
        <f t="shared" si="1065"/>
        <v>NO</v>
      </c>
      <c r="T4720" t="s">
        <v>37</v>
      </c>
      <c r="U4720" t="str">
        <f t="shared" si="1066"/>
        <v>Magazine St</v>
      </c>
      <c r="V4720" t="s">
        <v>116</v>
      </c>
      <c r="W4720" t="str">
        <f t="shared" si="1067"/>
        <v>Chestnut St</v>
      </c>
      <c r="X4720" t="str">
        <f>IF(ISBLANK(S4720),"Intersection","Non-Intersection")</f>
        <v>Intersection</v>
      </c>
      <c r="Y4720" t="s">
        <v>1246</v>
      </c>
      <c r="Z4720" t="str">
        <f t="shared" si="1068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055"/>
        <v>41275</v>
      </c>
      <c r="D4721" s="4">
        <f t="shared" si="1056"/>
        <v>7.9452054794520555E-2</v>
      </c>
      <c r="E4721" s="3">
        <f t="shared" si="1057"/>
        <v>2013</v>
      </c>
      <c r="F4721" s="3">
        <f t="shared" si="1058"/>
        <v>1</v>
      </c>
      <c r="G4721" s="3">
        <f t="shared" si="1059"/>
        <v>30</v>
      </c>
      <c r="H4721" s="3">
        <f t="shared" si="1060"/>
        <v>22</v>
      </c>
      <c r="I4721" s="3">
        <f t="shared" si="1061"/>
        <v>19</v>
      </c>
      <c r="J4721" s="3">
        <f t="shared" si="1062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063"/>
        <v>YES</v>
      </c>
      <c r="Q4721" t="str">
        <f t="shared" si="1064"/>
        <v>YES</v>
      </c>
      <c r="R4721" t="str">
        <f t="shared" si="1065"/>
        <v>NO</v>
      </c>
      <c r="T4721" t="s">
        <v>19</v>
      </c>
      <c r="U4721" t="str">
        <f t="shared" si="1066"/>
        <v>Cambridge St</v>
      </c>
      <c r="V4721" t="s">
        <v>75</v>
      </c>
      <c r="W4721" t="str">
        <f t="shared" si="1067"/>
        <v>Elm St</v>
      </c>
      <c r="X4721" t="str">
        <f>IF(ISBLANK(S4721),"Intersection","Non-Intersection")</f>
        <v>Intersection</v>
      </c>
      <c r="Y4721" t="s">
        <v>321</v>
      </c>
      <c r="Z4721" t="str">
        <f t="shared" si="1068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055"/>
        <v>41275</v>
      </c>
      <c r="D4722" s="4">
        <f t="shared" si="1056"/>
        <v>8.2191780821917804E-2</v>
      </c>
      <c r="E4722" s="3">
        <f t="shared" si="1057"/>
        <v>2013</v>
      </c>
      <c r="F4722" s="3">
        <f t="shared" si="1058"/>
        <v>1</v>
      </c>
      <c r="G4722" s="3">
        <f t="shared" si="1059"/>
        <v>31</v>
      </c>
      <c r="H4722" s="3">
        <f t="shared" si="1060"/>
        <v>6</v>
      </c>
      <c r="I4722" s="3">
        <f t="shared" si="1061"/>
        <v>53</v>
      </c>
      <c r="J4722" s="3">
        <f t="shared" si="1062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063"/>
        <v>YES</v>
      </c>
      <c r="Q4722" t="str">
        <f t="shared" si="1064"/>
        <v>NO</v>
      </c>
      <c r="R4722" t="str">
        <f t="shared" si="1065"/>
        <v>YES</v>
      </c>
      <c r="S4722">
        <v>266</v>
      </c>
      <c r="T4722" t="s">
        <v>14</v>
      </c>
      <c r="U4722" t="str">
        <f t="shared" si="1066"/>
        <v>Massachusetts Ave</v>
      </c>
      <c r="W4722" t="str">
        <f t="shared" si="1067"/>
        <v/>
      </c>
      <c r="X4722" t="str">
        <f>IF(ISBLANK(S4722),"Intersection","Non-Intersection")</f>
        <v>Non-Intersection</v>
      </c>
      <c r="Y4722" t="s">
        <v>2853</v>
      </c>
      <c r="Z4722" t="str">
        <f t="shared" si="1068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069">EOMONTH(B4723,MONTH(B4723)*-1)+1</f>
        <v>41275</v>
      </c>
      <c r="D4723" s="4">
        <f t="shared" ref="D4723:D4781" si="1070">YEARFRAC(C4723,B4723,1)</f>
        <v>8.2191780821917804E-2</v>
      </c>
      <c r="E4723" s="3">
        <f t="shared" ref="E4723:E4781" si="1071">YEAR(B4723)</f>
        <v>2013</v>
      </c>
      <c r="F4723" s="3">
        <f t="shared" ref="F4723:F4781" si="1072">MONTH(B4723)</f>
        <v>1</v>
      </c>
      <c r="G4723" s="3">
        <f t="shared" ref="G4723:G4781" si="1073">DAY(B4723)</f>
        <v>31</v>
      </c>
      <c r="H4723" s="3">
        <f t="shared" ref="H4723:H4781" si="1074">HOUR(B4723)</f>
        <v>1</v>
      </c>
      <c r="I4723" s="3">
        <f t="shared" ref="I4723:I4781" si="1075">MINUTE(B4723)</f>
        <v>50</v>
      </c>
      <c r="J4723" s="3">
        <f t="shared" ref="J4723:J4781" si="1076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077">IF(OR(N4723="Auto",O4723="Auto"),"YES",IF(OR(N4723="Taxi",O4723="Taxi"),"YES",IF(OR(N4723="Van",O4723="Van"),"YES",IF(OR(N4723="Truck",O4723="Truck"),"YES","NO"))))</f>
        <v>YES</v>
      </c>
      <c r="Q4723" t="str">
        <f t="shared" ref="Q4723:Q4781" si="1078">IF(OR(N4723="Bicycle",O4723="Bicycle"),"YES","NO")</f>
        <v>NO</v>
      </c>
      <c r="R4723" t="str">
        <f t="shared" ref="R4723:R4781" si="1079">IF(OR(N4723="Pedestrian",O4723="Pedestrian"),"YES","NO")</f>
        <v>YES</v>
      </c>
      <c r="T4723" t="s">
        <v>14</v>
      </c>
      <c r="U4723" t="str">
        <f t="shared" si="1066"/>
        <v>Massachusetts Ave</v>
      </c>
      <c r="V4723" t="s">
        <v>1438</v>
      </c>
      <c r="W4723" t="str">
        <f t="shared" si="1067"/>
        <v>Dunster St</v>
      </c>
      <c r="X4723" t="str">
        <f>IF(ISBLANK(S4723),"Intersection","Non-Intersection")</f>
        <v>Intersection</v>
      </c>
      <c r="Y4723" t="s">
        <v>2030</v>
      </c>
      <c r="Z4723" t="str">
        <f t="shared" si="1068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069"/>
        <v>41275</v>
      </c>
      <c r="D4724" s="4">
        <f t="shared" si="1070"/>
        <v>8.2191780821917804E-2</v>
      </c>
      <c r="E4724" s="3">
        <f t="shared" si="1071"/>
        <v>2013</v>
      </c>
      <c r="F4724" s="3">
        <f t="shared" si="1072"/>
        <v>1</v>
      </c>
      <c r="G4724" s="3">
        <f t="shared" si="1073"/>
        <v>31</v>
      </c>
      <c r="H4724" s="3">
        <f t="shared" si="1074"/>
        <v>7</v>
      </c>
      <c r="I4724" s="3">
        <f t="shared" si="1075"/>
        <v>15</v>
      </c>
      <c r="J4724" s="3">
        <f t="shared" si="1076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077"/>
        <v>YES</v>
      </c>
      <c r="Q4724" t="str">
        <f t="shared" si="1078"/>
        <v>NO</v>
      </c>
      <c r="R4724" t="str">
        <f t="shared" si="1079"/>
        <v>YES</v>
      </c>
      <c r="S4724">
        <v>14</v>
      </c>
      <c r="T4724" t="s">
        <v>19</v>
      </c>
      <c r="U4724" t="str">
        <f t="shared" si="1066"/>
        <v>Cambridge St</v>
      </c>
      <c r="V4724" t="s">
        <v>209</v>
      </c>
      <c r="W4724" t="str">
        <f t="shared" si="1067"/>
        <v>Binney St</v>
      </c>
      <c r="X4724" t="str">
        <f>IF(ISBLANK(S4724),"Intersection","Non-Intersection")</f>
        <v>Non-Intersection</v>
      </c>
      <c r="Y4724" t="s">
        <v>5320</v>
      </c>
      <c r="Z4724" t="str">
        <f t="shared" si="1068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069"/>
        <v>41275</v>
      </c>
      <c r="D4725" s="4">
        <f t="shared" si="1070"/>
        <v>8.2191780821917804E-2</v>
      </c>
      <c r="E4725" s="3">
        <f t="shared" si="1071"/>
        <v>2013</v>
      </c>
      <c r="F4725" s="3">
        <f t="shared" si="1072"/>
        <v>1</v>
      </c>
      <c r="G4725" s="3">
        <f t="shared" si="1073"/>
        <v>31</v>
      </c>
      <c r="H4725" s="3">
        <f t="shared" si="1074"/>
        <v>11</v>
      </c>
      <c r="I4725" s="3">
        <f t="shared" si="1075"/>
        <v>29</v>
      </c>
      <c r="J4725" s="3">
        <f t="shared" si="1076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077"/>
        <v>YES</v>
      </c>
      <c r="Q4725" t="str">
        <f t="shared" si="1078"/>
        <v>NO</v>
      </c>
      <c r="R4725" t="str">
        <f t="shared" si="1079"/>
        <v>NO</v>
      </c>
      <c r="T4725" t="s">
        <v>4918</v>
      </c>
      <c r="U4725" t="str">
        <f t="shared" si="1066"/>
        <v>Holden St</v>
      </c>
      <c r="W4725" t="str">
        <f t="shared" si="1067"/>
        <v/>
      </c>
      <c r="X4725" t="str">
        <f>IF(ISBLANK(S4725),"Intersection","Non-Intersection")</f>
        <v>Intersection</v>
      </c>
      <c r="Y4725" t="s">
        <v>5321</v>
      </c>
      <c r="Z4725" t="str">
        <f t="shared" si="1068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069"/>
        <v>41275</v>
      </c>
      <c r="D4726" s="4">
        <f t="shared" si="1070"/>
        <v>8.2191780821917804E-2</v>
      </c>
      <c r="E4726" s="3">
        <f t="shared" si="1071"/>
        <v>2013</v>
      </c>
      <c r="F4726" s="3">
        <f t="shared" si="1072"/>
        <v>1</v>
      </c>
      <c r="G4726" s="3">
        <f t="shared" si="1073"/>
        <v>31</v>
      </c>
      <c r="H4726" s="3">
        <f t="shared" si="1074"/>
        <v>13</v>
      </c>
      <c r="I4726" s="3">
        <f t="shared" si="1075"/>
        <v>15</v>
      </c>
      <c r="J4726" s="3">
        <f t="shared" si="1076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077"/>
        <v>YES</v>
      </c>
      <c r="Q4726" t="str">
        <f t="shared" si="1078"/>
        <v>NO</v>
      </c>
      <c r="R4726" t="str">
        <f t="shared" si="1079"/>
        <v>NO</v>
      </c>
      <c r="T4726" t="s">
        <v>316</v>
      </c>
      <c r="U4726" t="str">
        <f t="shared" si="1066"/>
        <v>Bishop Allen Dr</v>
      </c>
      <c r="V4726" t="s">
        <v>104</v>
      </c>
      <c r="W4726" t="str">
        <f t="shared" si="1067"/>
        <v>Inman St</v>
      </c>
      <c r="X4726" t="str">
        <f>IF(ISBLANK(S4726),"Intersection","Non-Intersection")</f>
        <v>Intersection</v>
      </c>
      <c r="Y4726" t="s">
        <v>2839</v>
      </c>
      <c r="Z4726" t="str">
        <f t="shared" si="1068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069"/>
        <v>41275</v>
      </c>
      <c r="D4727" s="4">
        <f t="shared" si="1070"/>
        <v>8.2191780821917804E-2</v>
      </c>
      <c r="E4727" s="3">
        <f t="shared" si="1071"/>
        <v>2013</v>
      </c>
      <c r="F4727" s="3">
        <f t="shared" si="1072"/>
        <v>1</v>
      </c>
      <c r="G4727" s="3">
        <f t="shared" si="1073"/>
        <v>31</v>
      </c>
      <c r="H4727" s="3">
        <f t="shared" si="1074"/>
        <v>14</v>
      </c>
      <c r="I4727" s="3">
        <f t="shared" si="1075"/>
        <v>0</v>
      </c>
      <c r="J4727" s="3">
        <f t="shared" si="1076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077"/>
        <v>YES</v>
      </c>
      <c r="Q4727" t="str">
        <f t="shared" si="1078"/>
        <v>NO</v>
      </c>
      <c r="R4727" t="str">
        <f t="shared" si="1079"/>
        <v>YES</v>
      </c>
      <c r="T4727" t="s">
        <v>288</v>
      </c>
      <c r="U4727" t="str">
        <f t="shared" si="1066"/>
        <v>Galileo Galilei Way</v>
      </c>
      <c r="V4727" t="s">
        <v>105</v>
      </c>
      <c r="W4727" t="str">
        <f t="shared" si="1067"/>
        <v>Broadway</v>
      </c>
      <c r="X4727" t="str">
        <f>IF(ISBLANK(S4727),"Intersection","Non-Intersection")</f>
        <v>Intersection</v>
      </c>
      <c r="Y4727" t="s">
        <v>307</v>
      </c>
      <c r="Z4727" t="str">
        <f t="shared" si="1068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069"/>
        <v>41275</v>
      </c>
      <c r="D4728" s="4">
        <f t="shared" si="1070"/>
        <v>8.2191780821917804E-2</v>
      </c>
      <c r="E4728" s="3">
        <f t="shared" si="1071"/>
        <v>2013</v>
      </c>
      <c r="F4728" s="3">
        <f t="shared" si="1072"/>
        <v>1</v>
      </c>
      <c r="G4728" s="3">
        <f t="shared" si="1073"/>
        <v>31</v>
      </c>
      <c r="H4728" s="3">
        <f t="shared" si="1074"/>
        <v>22</v>
      </c>
      <c r="I4728" s="3">
        <f t="shared" si="1075"/>
        <v>27</v>
      </c>
      <c r="J4728" s="3">
        <f t="shared" si="1076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077"/>
        <v>YES</v>
      </c>
      <c r="Q4728" t="str">
        <f t="shared" si="1078"/>
        <v>NO</v>
      </c>
      <c r="R4728" t="str">
        <f t="shared" si="1079"/>
        <v>YES</v>
      </c>
      <c r="T4728" t="s">
        <v>1177</v>
      </c>
      <c r="U4728" t="str">
        <f t="shared" si="1066"/>
        <v>Plympton St</v>
      </c>
      <c r="V4728" t="s">
        <v>3829</v>
      </c>
      <c r="W4728" t="str">
        <f t="shared" si="1067"/>
        <v>Mill St</v>
      </c>
      <c r="X4728" t="str">
        <f>IF(ISBLANK(S4728),"Intersection","Non-Intersection")</f>
        <v>Intersection</v>
      </c>
      <c r="Y4728" t="s">
        <v>3830</v>
      </c>
      <c r="Z4728" t="str">
        <f t="shared" si="1068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069"/>
        <v>41275</v>
      </c>
      <c r="D4729" s="4">
        <f t="shared" si="1070"/>
        <v>8.4931506849315067E-2</v>
      </c>
      <c r="E4729" s="3">
        <f t="shared" si="1071"/>
        <v>2013</v>
      </c>
      <c r="F4729" s="3">
        <f t="shared" si="1072"/>
        <v>2</v>
      </c>
      <c r="G4729" s="3">
        <f t="shared" si="1073"/>
        <v>1</v>
      </c>
      <c r="H4729" s="3">
        <f t="shared" si="1074"/>
        <v>9</v>
      </c>
      <c r="I4729" s="3">
        <f t="shared" si="1075"/>
        <v>0</v>
      </c>
      <c r="J4729" s="3">
        <f t="shared" si="1076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077"/>
        <v>YES</v>
      </c>
      <c r="Q4729" t="str">
        <f t="shared" si="1078"/>
        <v>NO</v>
      </c>
      <c r="R4729" t="str">
        <f t="shared" si="1079"/>
        <v>YES</v>
      </c>
      <c r="T4729" t="s">
        <v>453</v>
      </c>
      <c r="U4729" t="str">
        <f t="shared" si="1066"/>
        <v>Brookline St</v>
      </c>
      <c r="V4729" t="s">
        <v>835</v>
      </c>
      <c r="W4729" t="str">
        <f t="shared" si="1067"/>
        <v>Erie St</v>
      </c>
      <c r="X4729" t="str">
        <f>IF(ISBLANK(S4729),"Intersection","Non-Intersection")</f>
        <v>Intersection</v>
      </c>
      <c r="Y4729" t="s">
        <v>5322</v>
      </c>
      <c r="Z4729" t="str">
        <f t="shared" si="1068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069"/>
        <v>41275</v>
      </c>
      <c r="D4730" s="4">
        <f t="shared" si="1070"/>
        <v>8.4931506849315067E-2</v>
      </c>
      <c r="E4730" s="3">
        <f t="shared" si="1071"/>
        <v>2013</v>
      </c>
      <c r="F4730" s="3">
        <f t="shared" si="1072"/>
        <v>2</v>
      </c>
      <c r="G4730" s="3">
        <f t="shared" si="1073"/>
        <v>1</v>
      </c>
      <c r="H4730" s="3">
        <f t="shared" si="1074"/>
        <v>17</v>
      </c>
      <c r="I4730" s="3">
        <f t="shared" si="1075"/>
        <v>0</v>
      </c>
      <c r="J4730" s="3">
        <f t="shared" si="1076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077"/>
        <v>YES</v>
      </c>
      <c r="Q4730" t="str">
        <f t="shared" si="1078"/>
        <v>NO</v>
      </c>
      <c r="R4730" t="str">
        <f t="shared" si="1079"/>
        <v>NO</v>
      </c>
      <c r="S4730">
        <v>24</v>
      </c>
      <c r="T4730" t="s">
        <v>1149</v>
      </c>
      <c r="U4730" t="str">
        <f t="shared" si="1066"/>
        <v>Jefferson St</v>
      </c>
      <c r="W4730" t="str">
        <f t="shared" si="1067"/>
        <v/>
      </c>
      <c r="X4730" t="str">
        <f>IF(ISBLANK(S4730),"Intersection","Non-Intersection")</f>
        <v>Non-Intersection</v>
      </c>
      <c r="Y4730" t="s">
        <v>5324</v>
      </c>
      <c r="Z4730" t="str">
        <f t="shared" si="1068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069"/>
        <v>41275</v>
      </c>
      <c r="D4731" s="4">
        <f t="shared" si="1070"/>
        <v>8.4931506849315067E-2</v>
      </c>
      <c r="E4731" s="3">
        <f t="shared" si="1071"/>
        <v>2013</v>
      </c>
      <c r="F4731" s="3">
        <f t="shared" si="1072"/>
        <v>2</v>
      </c>
      <c r="G4731" s="3">
        <f t="shared" si="1073"/>
        <v>1</v>
      </c>
      <c r="H4731" s="3">
        <f t="shared" si="1074"/>
        <v>18</v>
      </c>
      <c r="I4731" s="3">
        <f t="shared" si="1075"/>
        <v>29</v>
      </c>
      <c r="J4731" s="3">
        <f t="shared" si="1076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077"/>
        <v>YES</v>
      </c>
      <c r="Q4731" t="str">
        <f t="shared" si="1078"/>
        <v>YES</v>
      </c>
      <c r="R4731" t="str">
        <f t="shared" si="1079"/>
        <v>NO</v>
      </c>
      <c r="S4731">
        <v>215</v>
      </c>
      <c r="T4731" t="s">
        <v>74</v>
      </c>
      <c r="U4731" t="str">
        <f t="shared" si="1066"/>
        <v>Hampshire St</v>
      </c>
      <c r="W4731" t="str">
        <f t="shared" si="1067"/>
        <v/>
      </c>
      <c r="X4731" t="str">
        <f>IF(ISBLANK(S4731),"Intersection","Non-Intersection")</f>
        <v>Non-Intersection</v>
      </c>
      <c r="Y4731" t="s">
        <v>5326</v>
      </c>
      <c r="Z4731" t="str">
        <f t="shared" si="1068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069"/>
        <v>41275</v>
      </c>
      <c r="D4732" s="4">
        <f t="shared" si="1070"/>
        <v>8.4931506849315067E-2</v>
      </c>
      <c r="E4732" s="3">
        <f t="shared" si="1071"/>
        <v>2013</v>
      </c>
      <c r="F4732" s="3">
        <f t="shared" si="1072"/>
        <v>2</v>
      </c>
      <c r="G4732" s="3">
        <f t="shared" si="1073"/>
        <v>1</v>
      </c>
      <c r="H4732" s="3">
        <f t="shared" si="1074"/>
        <v>18</v>
      </c>
      <c r="I4732" s="3">
        <f t="shared" si="1075"/>
        <v>20</v>
      </c>
      <c r="J4732" s="3">
        <f t="shared" si="1076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077"/>
        <v>YES</v>
      </c>
      <c r="Q4732" t="str">
        <f t="shared" si="1078"/>
        <v>NO</v>
      </c>
      <c r="R4732" t="str">
        <f t="shared" si="1079"/>
        <v>NO</v>
      </c>
      <c r="T4732" t="s">
        <v>1615</v>
      </c>
      <c r="U4732" t="str">
        <f t="shared" si="1066"/>
        <v>Kendall Sq</v>
      </c>
      <c r="V4732" t="s">
        <v>209</v>
      </c>
      <c r="W4732" t="str">
        <f t="shared" si="1067"/>
        <v>Binney St</v>
      </c>
      <c r="X4732" t="str">
        <f>IF(ISBLANK(S4732),"Intersection","Non-Intersection")</f>
        <v>Intersection</v>
      </c>
      <c r="Y4732" t="s">
        <v>5328</v>
      </c>
      <c r="Z4732" t="str">
        <f t="shared" si="1068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069"/>
        <v>41275</v>
      </c>
      <c r="D4733" s="4">
        <f t="shared" si="1070"/>
        <v>8.4931506849315067E-2</v>
      </c>
      <c r="E4733" s="3">
        <f t="shared" si="1071"/>
        <v>2013</v>
      </c>
      <c r="F4733" s="3">
        <f t="shared" si="1072"/>
        <v>2</v>
      </c>
      <c r="G4733" s="3">
        <f t="shared" si="1073"/>
        <v>1</v>
      </c>
      <c r="H4733" s="3">
        <f t="shared" si="1074"/>
        <v>22</v>
      </c>
      <c r="I4733" s="3">
        <f t="shared" si="1075"/>
        <v>30</v>
      </c>
      <c r="J4733" s="3">
        <f t="shared" si="1076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077"/>
        <v>YES</v>
      </c>
      <c r="Q4733" t="str">
        <f t="shared" si="1078"/>
        <v>NO</v>
      </c>
      <c r="R4733" t="str">
        <f t="shared" si="1079"/>
        <v>NO</v>
      </c>
      <c r="T4733" t="s">
        <v>14</v>
      </c>
      <c r="U4733" t="str">
        <f t="shared" si="1066"/>
        <v>Massachusetts Ave</v>
      </c>
      <c r="V4733" t="s">
        <v>178</v>
      </c>
      <c r="W4733" t="str">
        <f t="shared" si="1067"/>
        <v>Pleasant St</v>
      </c>
      <c r="X4733" t="str">
        <f>IF(ISBLANK(S4733),"Intersection","Non-Intersection")</f>
        <v>Intersection</v>
      </c>
      <c r="Y4733" t="s">
        <v>1866</v>
      </c>
      <c r="Z4733" t="str">
        <f t="shared" si="1068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069"/>
        <v>41275</v>
      </c>
      <c r="D4734" s="4">
        <f t="shared" si="1070"/>
        <v>8.4931506849315067E-2</v>
      </c>
      <c r="E4734" s="3">
        <f t="shared" si="1071"/>
        <v>2013</v>
      </c>
      <c r="F4734" s="3">
        <f t="shared" si="1072"/>
        <v>2</v>
      </c>
      <c r="G4734" s="3">
        <f t="shared" si="1073"/>
        <v>1</v>
      </c>
      <c r="H4734" s="3">
        <f t="shared" si="1074"/>
        <v>9</v>
      </c>
      <c r="I4734" s="3">
        <f t="shared" si="1075"/>
        <v>40</v>
      </c>
      <c r="J4734" s="3">
        <f t="shared" si="1076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077"/>
        <v>YES</v>
      </c>
      <c r="Q4734" t="str">
        <f t="shared" si="1078"/>
        <v>NO</v>
      </c>
      <c r="R4734" t="str">
        <f t="shared" si="1079"/>
        <v>NO</v>
      </c>
      <c r="S4734">
        <v>6</v>
      </c>
      <c r="T4734" t="s">
        <v>162</v>
      </c>
      <c r="U4734" t="str">
        <f t="shared" si="1066"/>
        <v>Bennett St</v>
      </c>
      <c r="W4734" t="str">
        <f t="shared" si="1067"/>
        <v/>
      </c>
      <c r="X4734" t="str">
        <f>IF(ISBLANK(S4734),"Intersection","Non-Intersection")</f>
        <v>Non-Intersection</v>
      </c>
      <c r="Y4734" t="s">
        <v>5329</v>
      </c>
      <c r="Z4734" t="str">
        <f t="shared" si="1068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069"/>
        <v>41275</v>
      </c>
      <c r="D4735" s="4">
        <f t="shared" si="1070"/>
        <v>8.7671232876712329E-2</v>
      </c>
      <c r="E4735" s="3">
        <f t="shared" si="1071"/>
        <v>2013</v>
      </c>
      <c r="F4735" s="3">
        <f t="shared" si="1072"/>
        <v>2</v>
      </c>
      <c r="G4735" s="3">
        <f t="shared" si="1073"/>
        <v>2</v>
      </c>
      <c r="H4735" s="3">
        <f t="shared" si="1074"/>
        <v>11</v>
      </c>
      <c r="I4735" s="3">
        <f t="shared" si="1075"/>
        <v>0</v>
      </c>
      <c r="J4735" s="3">
        <f t="shared" si="1076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077"/>
        <v>YES</v>
      </c>
      <c r="Q4735" t="str">
        <f t="shared" si="1078"/>
        <v>NO</v>
      </c>
      <c r="R4735" t="str">
        <f t="shared" si="1079"/>
        <v>NO</v>
      </c>
      <c r="S4735">
        <v>496</v>
      </c>
      <c r="T4735" t="s">
        <v>14</v>
      </c>
      <c r="U4735" t="str">
        <f t="shared" si="1066"/>
        <v>Massachusetts Ave</v>
      </c>
      <c r="W4735" t="str">
        <f t="shared" si="1067"/>
        <v/>
      </c>
      <c r="X4735" t="str">
        <f>IF(ISBLANK(S4735),"Intersection","Non-Intersection")</f>
        <v>Non-Intersection</v>
      </c>
      <c r="Y4735" t="s">
        <v>5331</v>
      </c>
      <c r="Z4735" t="str">
        <f t="shared" si="1068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069"/>
        <v>41275</v>
      </c>
      <c r="D4736" s="4">
        <f t="shared" si="1070"/>
        <v>8.7671232876712329E-2</v>
      </c>
      <c r="E4736" s="3">
        <f t="shared" si="1071"/>
        <v>2013</v>
      </c>
      <c r="F4736" s="3">
        <f t="shared" si="1072"/>
        <v>2</v>
      </c>
      <c r="G4736" s="3">
        <f t="shared" si="1073"/>
        <v>2</v>
      </c>
      <c r="H4736" s="3">
        <f t="shared" si="1074"/>
        <v>8</v>
      </c>
      <c r="I4736" s="3">
        <f t="shared" si="1075"/>
        <v>51</v>
      </c>
      <c r="J4736" s="3">
        <f t="shared" si="1076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077"/>
        <v>YES</v>
      </c>
      <c r="Q4736" t="str">
        <f t="shared" si="1078"/>
        <v>NO</v>
      </c>
      <c r="R4736" t="str">
        <f t="shared" si="1079"/>
        <v>NO</v>
      </c>
      <c r="S4736">
        <v>2175</v>
      </c>
      <c r="T4736" t="s">
        <v>14</v>
      </c>
      <c r="U4736" t="str">
        <f t="shared" si="1066"/>
        <v>Massachusetts Ave</v>
      </c>
      <c r="W4736" t="str">
        <f t="shared" si="1067"/>
        <v/>
      </c>
      <c r="X4736" t="str">
        <f>IF(ISBLANK(S4736),"Intersection","Non-Intersection")</f>
        <v>Non-Intersection</v>
      </c>
      <c r="Y4736" t="s">
        <v>5333</v>
      </c>
      <c r="Z4736" t="str">
        <f t="shared" si="1068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069"/>
        <v>41275</v>
      </c>
      <c r="D4737" s="4">
        <f t="shared" si="1070"/>
        <v>9.0410958904109592E-2</v>
      </c>
      <c r="E4737" s="3">
        <f t="shared" si="1071"/>
        <v>2013</v>
      </c>
      <c r="F4737" s="3">
        <f t="shared" si="1072"/>
        <v>2</v>
      </c>
      <c r="G4737" s="3">
        <f t="shared" si="1073"/>
        <v>3</v>
      </c>
      <c r="H4737" s="3">
        <f t="shared" si="1074"/>
        <v>6</v>
      </c>
      <c r="I4737" s="3">
        <f t="shared" si="1075"/>
        <v>59</v>
      </c>
      <c r="J4737" s="3">
        <f t="shared" si="1076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077"/>
        <v>YES</v>
      </c>
      <c r="Q4737" t="str">
        <f t="shared" si="1078"/>
        <v>NO</v>
      </c>
      <c r="R4737" t="str">
        <f t="shared" si="1079"/>
        <v>NO</v>
      </c>
      <c r="S4737">
        <v>131</v>
      </c>
      <c r="T4737" t="s">
        <v>216</v>
      </c>
      <c r="U4737" t="str">
        <f t="shared" si="1066"/>
        <v>Washington Ave</v>
      </c>
      <c r="W4737" t="str">
        <f t="shared" si="1067"/>
        <v/>
      </c>
      <c r="X4737" t="str">
        <f>IF(ISBLANK(S4737),"Intersection","Non-Intersection")</f>
        <v>Non-Intersection</v>
      </c>
      <c r="Y4737" t="s">
        <v>5091</v>
      </c>
      <c r="Z4737" t="str">
        <f t="shared" si="1068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069"/>
        <v>41275</v>
      </c>
      <c r="D4738" s="4">
        <f t="shared" si="1070"/>
        <v>9.0410958904109592E-2</v>
      </c>
      <c r="E4738" s="3">
        <f t="shared" si="1071"/>
        <v>2013</v>
      </c>
      <c r="F4738" s="3">
        <f t="shared" si="1072"/>
        <v>2</v>
      </c>
      <c r="G4738" s="3">
        <f t="shared" si="1073"/>
        <v>3</v>
      </c>
      <c r="H4738" s="3">
        <f t="shared" si="1074"/>
        <v>14</v>
      </c>
      <c r="I4738" s="3">
        <f t="shared" si="1075"/>
        <v>49</v>
      </c>
      <c r="J4738" s="3">
        <f t="shared" si="1076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077"/>
        <v>YES</v>
      </c>
      <c r="Q4738" t="str">
        <f t="shared" si="1078"/>
        <v>NO</v>
      </c>
      <c r="R4738" t="str">
        <f t="shared" si="1079"/>
        <v>NO</v>
      </c>
      <c r="S4738">
        <v>2</v>
      </c>
      <c r="T4738" t="s">
        <v>185</v>
      </c>
      <c r="U4738" t="str">
        <f t="shared" si="1066"/>
        <v>Garden St</v>
      </c>
      <c r="W4738" t="str">
        <f t="shared" si="1067"/>
        <v/>
      </c>
      <c r="X4738" t="str">
        <f>IF(ISBLANK(S4738),"Intersection","Non-Intersection")</f>
        <v>Non-Intersection</v>
      </c>
      <c r="Y4738" t="s">
        <v>581</v>
      </c>
      <c r="Z4738" t="str">
        <f t="shared" si="1068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069"/>
        <v>41275</v>
      </c>
      <c r="D4739" s="4">
        <f t="shared" si="1070"/>
        <v>9.0410958904109592E-2</v>
      </c>
      <c r="E4739" s="3">
        <f t="shared" si="1071"/>
        <v>2013</v>
      </c>
      <c r="F4739" s="3">
        <f t="shared" si="1072"/>
        <v>2</v>
      </c>
      <c r="G4739" s="3">
        <f t="shared" si="1073"/>
        <v>3</v>
      </c>
      <c r="H4739" s="3">
        <f t="shared" si="1074"/>
        <v>15</v>
      </c>
      <c r="I4739" s="3">
        <f t="shared" si="1075"/>
        <v>59</v>
      </c>
      <c r="J4739" s="3">
        <f t="shared" si="1076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077"/>
        <v>YES</v>
      </c>
      <c r="Q4739" t="str">
        <f t="shared" si="1078"/>
        <v>NO</v>
      </c>
      <c r="R4739" t="str">
        <f t="shared" si="1079"/>
        <v>NO</v>
      </c>
      <c r="S4739">
        <v>362</v>
      </c>
      <c r="T4739" t="s">
        <v>15</v>
      </c>
      <c r="U4739" t="str">
        <f t="shared" ref="U4739:U4802" si="1080">TRIM(PROPER(T4739))</f>
        <v>Rindge Ave</v>
      </c>
      <c r="W4739" t="str">
        <f t="shared" ref="W4739:W4802" si="1081">TRIM(PROPER(V4739))</f>
        <v/>
      </c>
      <c r="X4739" t="str">
        <f>IF(ISBLANK(S4739),"Intersection","Non-Intersection")</f>
        <v>Non-Intersection</v>
      </c>
      <c r="Y4739" t="s">
        <v>3320</v>
      </c>
      <c r="Z4739" t="str">
        <f t="shared" ref="Z4739:Z4802" si="1082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069"/>
        <v>41275</v>
      </c>
      <c r="D4740" s="4">
        <f t="shared" si="1070"/>
        <v>9.0410958904109592E-2</v>
      </c>
      <c r="E4740" s="3">
        <f t="shared" si="1071"/>
        <v>2013</v>
      </c>
      <c r="F4740" s="3">
        <f t="shared" si="1072"/>
        <v>2</v>
      </c>
      <c r="G4740" s="3">
        <f t="shared" si="1073"/>
        <v>3</v>
      </c>
      <c r="H4740" s="3">
        <f t="shared" si="1074"/>
        <v>12</v>
      </c>
      <c r="I4740" s="3">
        <f t="shared" si="1075"/>
        <v>0</v>
      </c>
      <c r="J4740" s="3">
        <f t="shared" si="1076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077"/>
        <v>YES</v>
      </c>
      <c r="Q4740" t="str">
        <f t="shared" si="1078"/>
        <v>NO</v>
      </c>
      <c r="R4740" t="str">
        <f t="shared" si="1079"/>
        <v>NO</v>
      </c>
      <c r="S4740">
        <v>42</v>
      </c>
      <c r="T4740" t="s">
        <v>667</v>
      </c>
      <c r="U4740" t="str">
        <f t="shared" si="1080"/>
        <v>Tremont St</v>
      </c>
      <c r="W4740" t="str">
        <f t="shared" si="1081"/>
        <v/>
      </c>
      <c r="X4740" t="str">
        <f>IF(ISBLANK(S4740),"Intersection","Non-Intersection")</f>
        <v>Non-Intersection</v>
      </c>
      <c r="Y4740" t="s">
        <v>5335</v>
      </c>
      <c r="Z4740" t="str">
        <f t="shared" si="1082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069"/>
        <v>41275</v>
      </c>
      <c r="D4741" s="4">
        <f t="shared" si="1070"/>
        <v>9.0410958904109592E-2</v>
      </c>
      <c r="E4741" s="3">
        <f t="shared" si="1071"/>
        <v>2013</v>
      </c>
      <c r="F4741" s="3">
        <f t="shared" si="1072"/>
        <v>2</v>
      </c>
      <c r="G4741" s="3">
        <f t="shared" si="1073"/>
        <v>3</v>
      </c>
      <c r="H4741" s="3">
        <f t="shared" si="1074"/>
        <v>17</v>
      </c>
      <c r="I4741" s="3">
        <f t="shared" si="1075"/>
        <v>29</v>
      </c>
      <c r="J4741" s="3">
        <f t="shared" si="1076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077"/>
        <v>YES</v>
      </c>
      <c r="Q4741" t="str">
        <f t="shared" si="1078"/>
        <v>NO</v>
      </c>
      <c r="R4741" t="str">
        <f t="shared" si="1079"/>
        <v>YES</v>
      </c>
      <c r="T4741" t="s">
        <v>166</v>
      </c>
      <c r="U4741" t="str">
        <f t="shared" si="1080"/>
        <v>Oxford Ave</v>
      </c>
      <c r="V4741" t="s">
        <v>167</v>
      </c>
      <c r="W4741" t="str">
        <f t="shared" si="1081"/>
        <v>Wendell St</v>
      </c>
      <c r="X4741" t="str">
        <f>IF(ISBLANK(S4741),"Intersection","Non-Intersection")</f>
        <v>Intersection</v>
      </c>
      <c r="Y4741" t="s">
        <v>168</v>
      </c>
      <c r="Z4741" t="str">
        <f t="shared" si="1082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069"/>
        <v>41275</v>
      </c>
      <c r="D4742" s="4">
        <f t="shared" si="1070"/>
        <v>9.0410958904109592E-2</v>
      </c>
      <c r="E4742" s="3">
        <f t="shared" si="1071"/>
        <v>2013</v>
      </c>
      <c r="F4742" s="3">
        <f t="shared" si="1072"/>
        <v>2</v>
      </c>
      <c r="G4742" s="3">
        <f t="shared" si="1073"/>
        <v>3</v>
      </c>
      <c r="H4742" s="3">
        <f t="shared" si="1074"/>
        <v>15</v>
      </c>
      <c r="I4742" s="3">
        <f t="shared" si="1075"/>
        <v>33</v>
      </c>
      <c r="J4742" s="3">
        <f t="shared" si="1076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077"/>
        <v>YES</v>
      </c>
      <c r="Q4742" t="str">
        <f t="shared" si="1078"/>
        <v>NO</v>
      </c>
      <c r="R4742" t="str">
        <f t="shared" si="1079"/>
        <v>NO</v>
      </c>
      <c r="T4742" t="s">
        <v>104</v>
      </c>
      <c r="U4742" t="str">
        <f t="shared" si="1080"/>
        <v>Inman St</v>
      </c>
      <c r="V4742" t="s">
        <v>105</v>
      </c>
      <c r="W4742" t="str">
        <f t="shared" si="1081"/>
        <v>Broadway</v>
      </c>
      <c r="X4742" t="str">
        <f>IF(ISBLANK(S4742),"Intersection","Non-Intersection")</f>
        <v>Intersection</v>
      </c>
      <c r="Y4742" t="s">
        <v>5337</v>
      </c>
      <c r="Z4742" t="str">
        <f t="shared" si="1082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069"/>
        <v>41275</v>
      </c>
      <c r="D4743" s="4">
        <f t="shared" si="1070"/>
        <v>9.0410958904109592E-2</v>
      </c>
      <c r="E4743" s="3">
        <f t="shared" si="1071"/>
        <v>2013</v>
      </c>
      <c r="F4743" s="3">
        <f t="shared" si="1072"/>
        <v>2</v>
      </c>
      <c r="G4743" s="3">
        <f t="shared" si="1073"/>
        <v>3</v>
      </c>
      <c r="H4743" s="3">
        <f t="shared" si="1074"/>
        <v>2</v>
      </c>
      <c r="I4743" s="3">
        <f t="shared" si="1075"/>
        <v>17</v>
      </c>
      <c r="J4743" s="3">
        <f t="shared" si="1076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077"/>
        <v>YES</v>
      </c>
      <c r="Q4743" t="str">
        <f t="shared" si="1078"/>
        <v>NO</v>
      </c>
      <c r="R4743" t="str">
        <f t="shared" si="1079"/>
        <v>NO</v>
      </c>
      <c r="T4743" t="s">
        <v>199</v>
      </c>
      <c r="U4743" t="str">
        <f t="shared" si="1080"/>
        <v>Brattle St</v>
      </c>
      <c r="V4743" t="s">
        <v>1960</v>
      </c>
      <c r="W4743" t="str">
        <f t="shared" si="1081"/>
        <v>Farwell Pl</v>
      </c>
      <c r="X4743" t="str">
        <f>IF(ISBLANK(S4743),"Intersection","Non-Intersection")</f>
        <v>Intersection</v>
      </c>
      <c r="Y4743" t="s">
        <v>1961</v>
      </c>
      <c r="Z4743" t="str">
        <f t="shared" si="1082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069"/>
        <v>41275</v>
      </c>
      <c r="D4744" s="4">
        <f t="shared" si="1070"/>
        <v>9.0410958904109592E-2</v>
      </c>
      <c r="E4744" s="3">
        <f t="shared" si="1071"/>
        <v>2013</v>
      </c>
      <c r="F4744" s="3">
        <f t="shared" si="1072"/>
        <v>2</v>
      </c>
      <c r="G4744" s="3">
        <f t="shared" si="1073"/>
        <v>3</v>
      </c>
      <c r="H4744" s="3">
        <f t="shared" si="1074"/>
        <v>0</v>
      </c>
      <c r="I4744" s="3">
        <f t="shared" si="1075"/>
        <v>49</v>
      </c>
      <c r="J4744" s="3">
        <f t="shared" si="1076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077"/>
        <v>YES</v>
      </c>
      <c r="Q4744" t="str">
        <f t="shared" si="1078"/>
        <v>YES</v>
      </c>
      <c r="R4744" t="str">
        <f t="shared" si="1079"/>
        <v>NO</v>
      </c>
      <c r="S4744">
        <v>1431</v>
      </c>
      <c r="T4744" t="s">
        <v>19</v>
      </c>
      <c r="U4744" t="str">
        <f t="shared" si="1080"/>
        <v>Cambridge St</v>
      </c>
      <c r="W4744" t="str">
        <f t="shared" si="1081"/>
        <v/>
      </c>
      <c r="X4744" t="str">
        <f>IF(ISBLANK(S4744),"Intersection","Non-Intersection")</f>
        <v>Non-Intersection</v>
      </c>
      <c r="Y4744" t="s">
        <v>5338</v>
      </c>
      <c r="Z4744" t="str">
        <f t="shared" si="1082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069"/>
        <v>41275</v>
      </c>
      <c r="D4745" s="4">
        <f t="shared" si="1070"/>
        <v>9.3150684931506855E-2</v>
      </c>
      <c r="E4745" s="3">
        <f t="shared" si="1071"/>
        <v>2013</v>
      </c>
      <c r="F4745" s="3">
        <f t="shared" si="1072"/>
        <v>2</v>
      </c>
      <c r="G4745" s="3">
        <f t="shared" si="1073"/>
        <v>4</v>
      </c>
      <c r="H4745" s="3">
        <f t="shared" si="1074"/>
        <v>9</v>
      </c>
      <c r="I4745" s="3">
        <f t="shared" si="1075"/>
        <v>0</v>
      </c>
      <c r="J4745" s="3">
        <f t="shared" si="1076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077"/>
        <v>YES</v>
      </c>
      <c r="Q4745" t="str">
        <f t="shared" si="1078"/>
        <v>NO</v>
      </c>
      <c r="R4745" t="str">
        <f t="shared" si="1079"/>
        <v>NO</v>
      </c>
      <c r="T4745" t="s">
        <v>133</v>
      </c>
      <c r="U4745" t="str">
        <f t="shared" si="1080"/>
        <v>Harvard St</v>
      </c>
      <c r="V4745" t="s">
        <v>1226</v>
      </c>
      <c r="W4745" t="str">
        <f t="shared" si="1081"/>
        <v>Dana St</v>
      </c>
      <c r="X4745" t="str">
        <f>IF(ISBLANK(S4745),"Intersection","Non-Intersection")</f>
        <v>Intersection</v>
      </c>
      <c r="Y4745" t="s">
        <v>1853</v>
      </c>
      <c r="Z4745" t="str">
        <f t="shared" si="1082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069"/>
        <v>41275</v>
      </c>
      <c r="D4746" s="4">
        <f t="shared" si="1070"/>
        <v>9.3150684931506855E-2</v>
      </c>
      <c r="E4746" s="3">
        <f t="shared" si="1071"/>
        <v>2013</v>
      </c>
      <c r="F4746" s="3">
        <f t="shared" si="1072"/>
        <v>2</v>
      </c>
      <c r="G4746" s="3">
        <f t="shared" si="1073"/>
        <v>4</v>
      </c>
      <c r="H4746" s="3">
        <f t="shared" si="1074"/>
        <v>17</v>
      </c>
      <c r="I4746" s="3">
        <f t="shared" si="1075"/>
        <v>51</v>
      </c>
      <c r="J4746" s="3">
        <f t="shared" si="1076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077"/>
        <v>YES</v>
      </c>
      <c r="Q4746" t="str">
        <f t="shared" si="1078"/>
        <v>NO</v>
      </c>
      <c r="R4746" t="str">
        <f t="shared" si="1079"/>
        <v>NO</v>
      </c>
      <c r="S4746">
        <v>1735</v>
      </c>
      <c r="T4746" t="s">
        <v>14</v>
      </c>
      <c r="U4746" t="str">
        <f t="shared" si="1080"/>
        <v>Massachusetts Ave</v>
      </c>
      <c r="W4746" t="str">
        <f t="shared" si="1081"/>
        <v/>
      </c>
      <c r="X4746" t="str">
        <f>IF(ISBLANK(S4746),"Intersection","Non-Intersection")</f>
        <v>Non-Intersection</v>
      </c>
      <c r="Y4746" t="s">
        <v>5340</v>
      </c>
      <c r="Z4746" t="str">
        <f t="shared" si="1082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069"/>
        <v>41275</v>
      </c>
      <c r="D4747" s="4">
        <f t="shared" si="1070"/>
        <v>9.3150684931506855E-2</v>
      </c>
      <c r="E4747" s="3">
        <f t="shared" si="1071"/>
        <v>2013</v>
      </c>
      <c r="F4747" s="3">
        <f t="shared" si="1072"/>
        <v>2</v>
      </c>
      <c r="G4747" s="3">
        <f t="shared" si="1073"/>
        <v>4</v>
      </c>
      <c r="H4747" s="3">
        <f t="shared" si="1074"/>
        <v>21</v>
      </c>
      <c r="I4747" s="3">
        <f t="shared" si="1075"/>
        <v>47</v>
      </c>
      <c r="J4747" s="3">
        <f t="shared" si="1076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077"/>
        <v>YES</v>
      </c>
      <c r="Q4747" t="str">
        <f t="shared" si="1078"/>
        <v>NO</v>
      </c>
      <c r="R4747" t="str">
        <f t="shared" si="1079"/>
        <v>NO</v>
      </c>
      <c r="S4747">
        <v>78</v>
      </c>
      <c r="T4747" t="s">
        <v>198</v>
      </c>
      <c r="U4747" t="str">
        <f t="shared" si="1080"/>
        <v>Mount Auburn St</v>
      </c>
      <c r="V4747" t="s">
        <v>1906</v>
      </c>
      <c r="W4747" t="str">
        <f t="shared" si="1081"/>
        <v>Holyoke St</v>
      </c>
      <c r="X4747" t="str">
        <f>IF(ISBLANK(S4747),"Intersection","Non-Intersection")</f>
        <v>Non-Intersection</v>
      </c>
      <c r="Y4747" t="s">
        <v>357</v>
      </c>
      <c r="Z4747" t="str">
        <f t="shared" si="1082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069"/>
        <v>41275</v>
      </c>
      <c r="D4748" s="4">
        <f t="shared" si="1070"/>
        <v>9.3150684931506855E-2</v>
      </c>
      <c r="E4748" s="3">
        <f t="shared" si="1071"/>
        <v>2013</v>
      </c>
      <c r="F4748" s="3">
        <f t="shared" si="1072"/>
        <v>2</v>
      </c>
      <c r="G4748" s="3">
        <f t="shared" si="1073"/>
        <v>4</v>
      </c>
      <c r="H4748" s="3">
        <f t="shared" si="1074"/>
        <v>8</v>
      </c>
      <c r="I4748" s="3">
        <f t="shared" si="1075"/>
        <v>4</v>
      </c>
      <c r="J4748" s="3">
        <f t="shared" si="1076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077"/>
        <v>YES</v>
      </c>
      <c r="Q4748" t="str">
        <f t="shared" si="1078"/>
        <v>NO</v>
      </c>
      <c r="R4748" t="str">
        <f t="shared" si="1079"/>
        <v>NO</v>
      </c>
      <c r="T4748" t="s">
        <v>42</v>
      </c>
      <c r="U4748" t="str">
        <f t="shared" si="1080"/>
        <v>Putnam Ave</v>
      </c>
      <c r="V4748" t="s">
        <v>178</v>
      </c>
      <c r="W4748" t="str">
        <f t="shared" si="1081"/>
        <v>Pleasant St</v>
      </c>
      <c r="X4748" t="str">
        <f>IF(ISBLANK(S4748),"Intersection","Non-Intersection")</f>
        <v>Intersection</v>
      </c>
      <c r="Y4748" t="s">
        <v>179</v>
      </c>
      <c r="Z4748" t="str">
        <f t="shared" si="1082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069"/>
        <v>41275</v>
      </c>
      <c r="D4749" s="4">
        <f t="shared" si="1070"/>
        <v>9.5890410958904104E-2</v>
      </c>
      <c r="E4749" s="3">
        <f t="shared" si="1071"/>
        <v>2013</v>
      </c>
      <c r="F4749" s="3">
        <f t="shared" si="1072"/>
        <v>2</v>
      </c>
      <c r="G4749" s="3">
        <f t="shared" si="1073"/>
        <v>5</v>
      </c>
      <c r="H4749" s="3">
        <f t="shared" si="1074"/>
        <v>8</v>
      </c>
      <c r="I4749" s="3">
        <f t="shared" si="1075"/>
        <v>29</v>
      </c>
      <c r="J4749" s="3">
        <f t="shared" si="1076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077"/>
        <v>YES</v>
      </c>
      <c r="Q4749" t="str">
        <f t="shared" si="1078"/>
        <v>NO</v>
      </c>
      <c r="R4749" t="str">
        <f t="shared" si="1079"/>
        <v>NO</v>
      </c>
      <c r="S4749">
        <v>850</v>
      </c>
      <c r="T4749" t="s">
        <v>19</v>
      </c>
      <c r="U4749" t="str">
        <f t="shared" si="1080"/>
        <v>Cambridge St</v>
      </c>
      <c r="V4749" t="s">
        <v>611</v>
      </c>
      <c r="W4749" t="str">
        <f t="shared" si="1081"/>
        <v>Berkshire St</v>
      </c>
      <c r="X4749" t="str">
        <f>IF(ISBLANK(S4749),"Intersection","Non-Intersection")</f>
        <v>Non-Intersection</v>
      </c>
      <c r="Y4749" t="s">
        <v>3953</v>
      </c>
      <c r="Z4749" t="str">
        <f t="shared" si="1082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069"/>
        <v>41275</v>
      </c>
      <c r="D4750" s="4">
        <f t="shared" si="1070"/>
        <v>9.5890410958904104E-2</v>
      </c>
      <c r="E4750" s="3">
        <f t="shared" si="1071"/>
        <v>2013</v>
      </c>
      <c r="F4750" s="3">
        <f t="shared" si="1072"/>
        <v>2</v>
      </c>
      <c r="G4750" s="3">
        <f t="shared" si="1073"/>
        <v>5</v>
      </c>
      <c r="H4750" s="3">
        <f t="shared" si="1074"/>
        <v>17</v>
      </c>
      <c r="I4750" s="3">
        <f t="shared" si="1075"/>
        <v>42</v>
      </c>
      <c r="J4750" s="3">
        <f t="shared" si="1076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077"/>
        <v>YES</v>
      </c>
      <c r="Q4750" t="str">
        <f t="shared" si="1078"/>
        <v>NO</v>
      </c>
      <c r="R4750" t="str">
        <f t="shared" si="1079"/>
        <v>NO</v>
      </c>
      <c r="T4750" t="s">
        <v>198</v>
      </c>
      <c r="U4750" t="str">
        <f t="shared" si="1080"/>
        <v>Mount Auburn St</v>
      </c>
      <c r="W4750" t="str">
        <f t="shared" si="1081"/>
        <v/>
      </c>
      <c r="X4750" t="str">
        <f>IF(ISBLANK(S4750),"Intersection","Non-Intersection")</f>
        <v>Intersection</v>
      </c>
      <c r="Y4750" t="s">
        <v>441</v>
      </c>
      <c r="Z4750" t="str">
        <f t="shared" si="1082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069"/>
        <v>41275</v>
      </c>
      <c r="D4751" s="4">
        <f t="shared" si="1070"/>
        <v>9.5890410958904104E-2</v>
      </c>
      <c r="E4751" s="3">
        <f t="shared" si="1071"/>
        <v>2013</v>
      </c>
      <c r="F4751" s="3">
        <f t="shared" si="1072"/>
        <v>2</v>
      </c>
      <c r="G4751" s="3">
        <f t="shared" si="1073"/>
        <v>5</v>
      </c>
      <c r="H4751" s="3">
        <f t="shared" si="1074"/>
        <v>13</v>
      </c>
      <c r="I4751" s="3">
        <f t="shared" si="1075"/>
        <v>30</v>
      </c>
      <c r="J4751" s="3">
        <f t="shared" si="1076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077"/>
        <v>YES</v>
      </c>
      <c r="Q4751" t="str">
        <f t="shared" si="1078"/>
        <v>NO</v>
      </c>
      <c r="R4751" t="str">
        <f t="shared" si="1079"/>
        <v>NO</v>
      </c>
      <c r="S4751">
        <v>40</v>
      </c>
      <c r="T4751" t="s">
        <v>698</v>
      </c>
      <c r="U4751" t="str">
        <f t="shared" si="1080"/>
        <v>Thorndike St</v>
      </c>
      <c r="W4751" t="str">
        <f t="shared" si="1081"/>
        <v/>
      </c>
      <c r="X4751" t="str">
        <f>IF(ISBLANK(S4751),"Intersection","Non-Intersection")</f>
        <v>Non-Intersection</v>
      </c>
      <c r="Y4751" t="s">
        <v>3221</v>
      </c>
      <c r="Z4751" t="str">
        <f t="shared" si="1082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069"/>
        <v>41275</v>
      </c>
      <c r="D4752" s="4">
        <f t="shared" si="1070"/>
        <v>9.5890410958904104E-2</v>
      </c>
      <c r="E4752" s="3">
        <f t="shared" si="1071"/>
        <v>2013</v>
      </c>
      <c r="F4752" s="3">
        <f t="shared" si="1072"/>
        <v>2</v>
      </c>
      <c r="G4752" s="3">
        <f t="shared" si="1073"/>
        <v>5</v>
      </c>
      <c r="H4752" s="3">
        <f t="shared" si="1074"/>
        <v>9</v>
      </c>
      <c r="I4752" s="3">
        <f t="shared" si="1075"/>
        <v>59</v>
      </c>
      <c r="J4752" s="3">
        <f t="shared" si="1076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077"/>
        <v>YES</v>
      </c>
      <c r="Q4752" t="str">
        <f t="shared" si="1078"/>
        <v>NO</v>
      </c>
      <c r="R4752" t="str">
        <f t="shared" si="1079"/>
        <v>NO</v>
      </c>
      <c r="S4752">
        <v>950</v>
      </c>
      <c r="T4752" t="s">
        <v>19</v>
      </c>
      <c r="U4752" t="str">
        <f t="shared" si="1080"/>
        <v>Cambridge St</v>
      </c>
      <c r="W4752" t="str">
        <f t="shared" si="1081"/>
        <v/>
      </c>
      <c r="X4752" t="str">
        <f>IF(ISBLANK(S4752),"Intersection","Non-Intersection")</f>
        <v>Non-Intersection</v>
      </c>
      <c r="Y4752" t="s">
        <v>5342</v>
      </c>
      <c r="Z4752" t="str">
        <f t="shared" si="1082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069"/>
        <v>41275</v>
      </c>
      <c r="D4753" s="4">
        <f t="shared" si="1070"/>
        <v>9.8630136986301367E-2</v>
      </c>
      <c r="E4753" s="3">
        <f t="shared" si="1071"/>
        <v>2013</v>
      </c>
      <c r="F4753" s="3">
        <f t="shared" si="1072"/>
        <v>2</v>
      </c>
      <c r="G4753" s="3">
        <f t="shared" si="1073"/>
        <v>6</v>
      </c>
      <c r="H4753" s="3">
        <f t="shared" si="1074"/>
        <v>14</v>
      </c>
      <c r="I4753" s="3">
        <f t="shared" si="1075"/>
        <v>39</v>
      </c>
      <c r="J4753" s="3">
        <f t="shared" si="1076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077"/>
        <v>YES</v>
      </c>
      <c r="Q4753" t="str">
        <f t="shared" si="1078"/>
        <v>NO</v>
      </c>
      <c r="R4753" t="str">
        <f t="shared" si="1079"/>
        <v>NO</v>
      </c>
      <c r="T4753" t="s">
        <v>19</v>
      </c>
      <c r="U4753" t="str">
        <f t="shared" si="1080"/>
        <v>Cambridge St</v>
      </c>
      <c r="V4753" t="s">
        <v>1226</v>
      </c>
      <c r="W4753" t="str">
        <f t="shared" si="1081"/>
        <v>Dana St</v>
      </c>
      <c r="X4753" t="str">
        <f>IF(ISBLANK(S4753),"Intersection","Non-Intersection")</f>
        <v>Intersection</v>
      </c>
      <c r="Y4753" t="s">
        <v>1727</v>
      </c>
      <c r="Z4753" t="str">
        <f t="shared" si="1082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069"/>
        <v>41275</v>
      </c>
      <c r="D4754" s="4">
        <f t="shared" si="1070"/>
        <v>9.8630136986301367E-2</v>
      </c>
      <c r="E4754" s="3">
        <f t="shared" si="1071"/>
        <v>2013</v>
      </c>
      <c r="F4754" s="3">
        <f t="shared" si="1072"/>
        <v>2</v>
      </c>
      <c r="G4754" s="3">
        <f t="shared" si="1073"/>
        <v>6</v>
      </c>
      <c r="H4754" s="3">
        <f t="shared" si="1074"/>
        <v>17</v>
      </c>
      <c r="I4754" s="3">
        <f t="shared" si="1075"/>
        <v>48</v>
      </c>
      <c r="J4754" s="3">
        <f t="shared" si="1076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077"/>
        <v>YES</v>
      </c>
      <c r="Q4754" t="str">
        <f t="shared" si="1078"/>
        <v>YES</v>
      </c>
      <c r="R4754" t="str">
        <f t="shared" si="1079"/>
        <v>NO</v>
      </c>
      <c r="T4754" t="s">
        <v>74</v>
      </c>
      <c r="U4754" t="str">
        <f t="shared" si="1080"/>
        <v>Hampshire St</v>
      </c>
      <c r="V4754" t="s">
        <v>2344</v>
      </c>
      <c r="W4754" t="str">
        <f t="shared" si="1081"/>
        <v>Bristol St</v>
      </c>
      <c r="X4754" t="str">
        <f>IF(ISBLANK(S4754),"Intersection","Non-Intersection")</f>
        <v>Intersection</v>
      </c>
      <c r="Y4754" t="s">
        <v>2982</v>
      </c>
      <c r="Z4754" t="str">
        <f t="shared" si="1082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069"/>
        <v>41275</v>
      </c>
      <c r="D4755" s="4">
        <f t="shared" si="1070"/>
        <v>9.8630136986301367E-2</v>
      </c>
      <c r="E4755" s="3">
        <f t="shared" si="1071"/>
        <v>2013</v>
      </c>
      <c r="F4755" s="3">
        <f t="shared" si="1072"/>
        <v>2</v>
      </c>
      <c r="G4755" s="3">
        <f t="shared" si="1073"/>
        <v>6</v>
      </c>
      <c r="H4755" s="3">
        <f t="shared" si="1074"/>
        <v>11</v>
      </c>
      <c r="I4755" s="3">
        <f t="shared" si="1075"/>
        <v>45</v>
      </c>
      <c r="J4755" s="3">
        <f t="shared" si="1076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077"/>
        <v>YES</v>
      </c>
      <c r="Q4755" t="str">
        <f t="shared" si="1078"/>
        <v>NO</v>
      </c>
      <c r="R4755" t="str">
        <f t="shared" si="1079"/>
        <v>NO</v>
      </c>
      <c r="T4755" t="s">
        <v>268</v>
      </c>
      <c r="U4755" t="str">
        <f t="shared" si="1080"/>
        <v>White St</v>
      </c>
      <c r="V4755" t="s">
        <v>269</v>
      </c>
      <c r="W4755" t="str">
        <f t="shared" si="1081"/>
        <v>Porter Sq</v>
      </c>
      <c r="X4755" t="str">
        <f>IF(ISBLANK(S4755),"Intersection","Non-Intersection")</f>
        <v>Intersection</v>
      </c>
      <c r="Y4755" t="s">
        <v>4711</v>
      </c>
      <c r="Z4755" t="str">
        <f t="shared" si="1082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069"/>
        <v>41275</v>
      </c>
      <c r="D4756" s="4">
        <f t="shared" si="1070"/>
        <v>0.10136986301369863</v>
      </c>
      <c r="E4756" s="3">
        <f t="shared" si="1071"/>
        <v>2013</v>
      </c>
      <c r="F4756" s="3">
        <f t="shared" si="1072"/>
        <v>2</v>
      </c>
      <c r="G4756" s="3">
        <f t="shared" si="1073"/>
        <v>7</v>
      </c>
      <c r="H4756" s="3">
        <f t="shared" si="1074"/>
        <v>17</v>
      </c>
      <c r="I4756" s="3">
        <f t="shared" si="1075"/>
        <v>0</v>
      </c>
      <c r="J4756" s="3">
        <f t="shared" si="1076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077"/>
        <v>YES</v>
      </c>
      <c r="Q4756" t="str">
        <f t="shared" si="1078"/>
        <v>NO</v>
      </c>
      <c r="R4756" t="str">
        <f t="shared" si="1079"/>
        <v>NO</v>
      </c>
      <c r="S4756">
        <v>301</v>
      </c>
      <c r="T4756" t="s">
        <v>209</v>
      </c>
      <c r="U4756" t="str">
        <f t="shared" si="1080"/>
        <v>Binney St</v>
      </c>
      <c r="W4756" t="str">
        <f t="shared" si="1081"/>
        <v/>
      </c>
      <c r="X4756" t="str">
        <f>IF(ISBLANK(S4756),"Intersection","Non-Intersection")</f>
        <v>Non-Intersection</v>
      </c>
      <c r="Y4756" t="s">
        <v>670</v>
      </c>
      <c r="Z4756" t="str">
        <f t="shared" si="1082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069"/>
        <v>41275</v>
      </c>
      <c r="D4757" s="4">
        <f t="shared" si="1070"/>
        <v>0.10136986301369863</v>
      </c>
      <c r="E4757" s="3">
        <f t="shared" si="1071"/>
        <v>2013</v>
      </c>
      <c r="F4757" s="3">
        <f t="shared" si="1072"/>
        <v>2</v>
      </c>
      <c r="G4757" s="3">
        <f t="shared" si="1073"/>
        <v>7</v>
      </c>
      <c r="H4757" s="3">
        <f t="shared" si="1074"/>
        <v>12</v>
      </c>
      <c r="I4757" s="3">
        <f t="shared" si="1075"/>
        <v>10</v>
      </c>
      <c r="J4757" s="3">
        <f t="shared" si="1076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077"/>
        <v>YES</v>
      </c>
      <c r="Q4757" t="str">
        <f t="shared" si="1078"/>
        <v>NO</v>
      </c>
      <c r="R4757" t="str">
        <f t="shared" si="1079"/>
        <v>NO</v>
      </c>
      <c r="S4757">
        <v>55</v>
      </c>
      <c r="T4757" t="s">
        <v>2060</v>
      </c>
      <c r="U4757" t="str">
        <f t="shared" si="1080"/>
        <v>Harvey St</v>
      </c>
      <c r="W4757" t="str">
        <f t="shared" si="1081"/>
        <v/>
      </c>
      <c r="X4757" t="str">
        <f>IF(ISBLANK(S4757),"Intersection","Non-Intersection")</f>
        <v>Non-Intersection</v>
      </c>
      <c r="Y4757" t="s">
        <v>4892</v>
      </c>
      <c r="Z4757" t="str">
        <f t="shared" si="1082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069"/>
        <v>41275</v>
      </c>
      <c r="D4758" s="4">
        <f t="shared" si="1070"/>
        <v>0.10136986301369863</v>
      </c>
      <c r="E4758" s="3">
        <f t="shared" si="1071"/>
        <v>2013</v>
      </c>
      <c r="F4758" s="3">
        <f t="shared" si="1072"/>
        <v>2</v>
      </c>
      <c r="G4758" s="3">
        <f t="shared" si="1073"/>
        <v>7</v>
      </c>
      <c r="H4758" s="3">
        <f t="shared" si="1074"/>
        <v>18</v>
      </c>
      <c r="I4758" s="3">
        <f t="shared" si="1075"/>
        <v>0</v>
      </c>
      <c r="J4758" s="3">
        <f t="shared" si="1076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077"/>
        <v>YES</v>
      </c>
      <c r="Q4758" t="str">
        <f t="shared" si="1078"/>
        <v>NO</v>
      </c>
      <c r="R4758" t="str">
        <f t="shared" si="1079"/>
        <v>NO</v>
      </c>
      <c r="T4758" t="s">
        <v>1013</v>
      </c>
      <c r="U4758" t="str">
        <f t="shared" si="1080"/>
        <v>Blanchard Rd</v>
      </c>
      <c r="W4758" t="str">
        <f t="shared" si="1081"/>
        <v/>
      </c>
      <c r="X4758" t="str">
        <f>IF(ISBLANK(S4758),"Intersection","Non-Intersection")</f>
        <v>Intersection</v>
      </c>
      <c r="Y4758" t="s">
        <v>5344</v>
      </c>
      <c r="Z4758" t="str">
        <f t="shared" si="1082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069"/>
        <v>41275</v>
      </c>
      <c r="D4759" s="4">
        <f t="shared" si="1070"/>
        <v>0.10410958904109589</v>
      </c>
      <c r="E4759" s="3">
        <f t="shared" si="1071"/>
        <v>2013</v>
      </c>
      <c r="F4759" s="3">
        <f t="shared" si="1072"/>
        <v>2</v>
      </c>
      <c r="G4759" s="3">
        <f t="shared" si="1073"/>
        <v>8</v>
      </c>
      <c r="H4759" s="3">
        <f t="shared" si="1074"/>
        <v>9</v>
      </c>
      <c r="I4759" s="3">
        <f t="shared" si="1075"/>
        <v>0</v>
      </c>
      <c r="J4759" s="3">
        <f t="shared" si="1076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077"/>
        <v>YES</v>
      </c>
      <c r="Q4759" t="str">
        <f t="shared" si="1078"/>
        <v>NO</v>
      </c>
      <c r="R4759" t="str">
        <f t="shared" si="1079"/>
        <v>NO</v>
      </c>
      <c r="T4759" t="s">
        <v>1911</v>
      </c>
      <c r="U4759" t="str">
        <f t="shared" si="1080"/>
        <v>Clay St</v>
      </c>
      <c r="V4759" t="s">
        <v>2060</v>
      </c>
      <c r="W4759" t="str">
        <f t="shared" si="1081"/>
        <v>Harvey St</v>
      </c>
      <c r="X4759" t="str">
        <f>IF(ISBLANK(S4759),"Intersection","Non-Intersection")</f>
        <v>Intersection</v>
      </c>
      <c r="Y4759" t="s">
        <v>5345</v>
      </c>
      <c r="Z4759" t="str">
        <f t="shared" si="1082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069"/>
        <v>41275</v>
      </c>
      <c r="D4760" s="4">
        <f t="shared" si="1070"/>
        <v>0.10410958904109589</v>
      </c>
      <c r="E4760" s="3">
        <f t="shared" si="1071"/>
        <v>2013</v>
      </c>
      <c r="F4760" s="3">
        <f t="shared" si="1072"/>
        <v>2</v>
      </c>
      <c r="G4760" s="3">
        <f t="shared" si="1073"/>
        <v>8</v>
      </c>
      <c r="H4760" s="3">
        <f t="shared" si="1074"/>
        <v>14</v>
      </c>
      <c r="I4760" s="3">
        <f t="shared" si="1075"/>
        <v>0</v>
      </c>
      <c r="J4760" s="3">
        <f t="shared" si="1076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077"/>
        <v>YES</v>
      </c>
      <c r="Q4760" t="str">
        <f t="shared" si="1078"/>
        <v>NO</v>
      </c>
      <c r="R4760" t="str">
        <f t="shared" si="1079"/>
        <v>NO</v>
      </c>
      <c r="S4760">
        <v>114</v>
      </c>
      <c r="T4760" t="s">
        <v>316</v>
      </c>
      <c r="U4760" t="str">
        <f t="shared" si="1080"/>
        <v>Bishop Allen Dr</v>
      </c>
      <c r="V4760" t="s">
        <v>342</v>
      </c>
      <c r="W4760" t="str">
        <f t="shared" si="1081"/>
        <v>Prospect St</v>
      </c>
      <c r="X4760" t="str">
        <f>IF(ISBLANK(S4760),"Intersection","Non-Intersection")</f>
        <v>Non-Intersection</v>
      </c>
      <c r="Y4760" t="s">
        <v>5347</v>
      </c>
      <c r="Z4760" t="str">
        <f t="shared" si="1082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069"/>
        <v>41275</v>
      </c>
      <c r="D4761" s="4">
        <f t="shared" si="1070"/>
        <v>0.10410958904109589</v>
      </c>
      <c r="E4761" s="3">
        <f t="shared" si="1071"/>
        <v>2013</v>
      </c>
      <c r="F4761" s="3">
        <f t="shared" si="1072"/>
        <v>2</v>
      </c>
      <c r="G4761" s="3">
        <f t="shared" si="1073"/>
        <v>8</v>
      </c>
      <c r="H4761" s="3">
        <f t="shared" si="1074"/>
        <v>14</v>
      </c>
      <c r="I4761" s="3">
        <f t="shared" si="1075"/>
        <v>35</v>
      </c>
      <c r="J4761" s="3">
        <f t="shared" si="1076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077"/>
        <v>YES</v>
      </c>
      <c r="Q4761" t="str">
        <f t="shared" si="1078"/>
        <v>NO</v>
      </c>
      <c r="R4761" t="str">
        <f t="shared" si="1079"/>
        <v>NO</v>
      </c>
      <c r="T4761" t="s">
        <v>198</v>
      </c>
      <c r="U4761" t="str">
        <f t="shared" si="1080"/>
        <v>Mount Auburn St</v>
      </c>
      <c r="V4761" t="s">
        <v>464</v>
      </c>
      <c r="W4761" t="str">
        <f t="shared" si="1081"/>
        <v>Aberdeen Way</v>
      </c>
      <c r="X4761" t="str">
        <f>IF(ISBLANK(S4761),"Intersection","Non-Intersection")</f>
        <v>Intersection</v>
      </c>
      <c r="Y4761" t="s">
        <v>1666</v>
      </c>
      <c r="Z4761" t="str">
        <f t="shared" si="1082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069"/>
        <v>41275</v>
      </c>
      <c r="D4762" s="4">
        <f t="shared" si="1070"/>
        <v>0.10410958904109589</v>
      </c>
      <c r="E4762" s="3">
        <f t="shared" si="1071"/>
        <v>2013</v>
      </c>
      <c r="F4762" s="3">
        <f t="shared" si="1072"/>
        <v>2</v>
      </c>
      <c r="G4762" s="3">
        <f t="shared" si="1073"/>
        <v>8</v>
      </c>
      <c r="H4762" s="3">
        <f t="shared" si="1074"/>
        <v>18</v>
      </c>
      <c r="I4762" s="3">
        <f t="shared" si="1075"/>
        <v>59</v>
      </c>
      <c r="J4762" s="3">
        <f t="shared" si="1076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077"/>
        <v>YES</v>
      </c>
      <c r="Q4762" t="str">
        <f t="shared" si="1078"/>
        <v>NO</v>
      </c>
      <c r="R4762" t="str">
        <f t="shared" si="1079"/>
        <v>NO</v>
      </c>
      <c r="S4762">
        <v>89</v>
      </c>
      <c r="T4762" t="s">
        <v>985</v>
      </c>
      <c r="U4762" t="str">
        <f t="shared" si="1080"/>
        <v>Plymouth St</v>
      </c>
      <c r="W4762" t="str">
        <f t="shared" si="1081"/>
        <v/>
      </c>
      <c r="X4762" t="str">
        <f>IF(ISBLANK(S4762),"Intersection","Non-Intersection")</f>
        <v>Non-Intersection</v>
      </c>
      <c r="Y4762" t="s">
        <v>5349</v>
      </c>
      <c r="Z4762" t="str">
        <f t="shared" si="1082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069"/>
        <v>41275</v>
      </c>
      <c r="D4763" s="4">
        <f t="shared" si="1070"/>
        <v>0.10410958904109589</v>
      </c>
      <c r="E4763" s="3">
        <f t="shared" si="1071"/>
        <v>2013</v>
      </c>
      <c r="F4763" s="3">
        <f t="shared" si="1072"/>
        <v>2</v>
      </c>
      <c r="G4763" s="3">
        <f t="shared" si="1073"/>
        <v>8</v>
      </c>
      <c r="H4763" s="3">
        <f t="shared" si="1074"/>
        <v>12</v>
      </c>
      <c r="I4763" s="3">
        <f t="shared" si="1075"/>
        <v>0</v>
      </c>
      <c r="J4763" s="3">
        <f t="shared" si="1076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077"/>
        <v>YES</v>
      </c>
      <c r="Q4763" t="str">
        <f t="shared" si="1078"/>
        <v>NO</v>
      </c>
      <c r="R4763" t="str">
        <f t="shared" si="1079"/>
        <v>NO</v>
      </c>
      <c r="S4763">
        <v>27</v>
      </c>
      <c r="T4763" t="s">
        <v>501</v>
      </c>
      <c r="U4763" t="str">
        <f t="shared" si="1080"/>
        <v>Garfield St</v>
      </c>
      <c r="W4763" t="str">
        <f t="shared" si="1081"/>
        <v/>
      </c>
      <c r="X4763" t="str">
        <f>IF(ISBLANK(S4763),"Intersection","Non-Intersection")</f>
        <v>Non-Intersection</v>
      </c>
      <c r="Y4763" t="s">
        <v>5351</v>
      </c>
      <c r="Z4763" t="str">
        <f t="shared" si="1082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069"/>
        <v>41275</v>
      </c>
      <c r="D4764" s="4">
        <f t="shared" si="1070"/>
        <v>0.10410958904109589</v>
      </c>
      <c r="E4764" s="3">
        <f t="shared" si="1071"/>
        <v>2013</v>
      </c>
      <c r="F4764" s="3">
        <f t="shared" si="1072"/>
        <v>2</v>
      </c>
      <c r="G4764" s="3">
        <f t="shared" si="1073"/>
        <v>8</v>
      </c>
      <c r="H4764" s="3">
        <f t="shared" si="1074"/>
        <v>20</v>
      </c>
      <c r="I4764" s="3">
        <f t="shared" si="1075"/>
        <v>0</v>
      </c>
      <c r="J4764" s="3">
        <f t="shared" si="1076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077"/>
        <v>YES</v>
      </c>
      <c r="Q4764" t="str">
        <f t="shared" si="1078"/>
        <v>NO</v>
      </c>
      <c r="R4764" t="str">
        <f t="shared" si="1079"/>
        <v>NO</v>
      </c>
      <c r="T4764" t="s">
        <v>5353</v>
      </c>
      <c r="U4764" t="str">
        <f t="shared" si="1080"/>
        <v>Hoyt Field</v>
      </c>
      <c r="W4764" t="str">
        <f t="shared" si="1081"/>
        <v/>
      </c>
      <c r="X4764" t="str">
        <f>IF(ISBLANK(S4764),"Intersection","Non-Intersection")</f>
        <v>Intersection</v>
      </c>
      <c r="Y4764" t="s">
        <v>5354</v>
      </c>
      <c r="Z4764" t="str">
        <f t="shared" si="1082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069"/>
        <v>41275</v>
      </c>
      <c r="D4765" s="4">
        <f t="shared" si="1070"/>
        <v>0.10684931506849316</v>
      </c>
      <c r="E4765" s="3">
        <f t="shared" si="1071"/>
        <v>2013</v>
      </c>
      <c r="F4765" s="3">
        <f t="shared" si="1072"/>
        <v>2</v>
      </c>
      <c r="G4765" s="3">
        <f t="shared" si="1073"/>
        <v>9</v>
      </c>
      <c r="H4765" s="3">
        <f t="shared" si="1074"/>
        <v>18</v>
      </c>
      <c r="I4765" s="3">
        <f t="shared" si="1075"/>
        <v>53</v>
      </c>
      <c r="J4765" s="3">
        <f t="shared" si="1076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077"/>
        <v>YES</v>
      </c>
      <c r="Q4765" t="str">
        <f t="shared" si="1078"/>
        <v>NO</v>
      </c>
      <c r="R4765" t="str">
        <f t="shared" si="1079"/>
        <v>NO</v>
      </c>
      <c r="S4765">
        <v>48</v>
      </c>
      <c r="T4765" t="s">
        <v>1426</v>
      </c>
      <c r="U4765" t="str">
        <f t="shared" si="1080"/>
        <v>Rice St</v>
      </c>
      <c r="W4765" t="str">
        <f t="shared" si="1081"/>
        <v/>
      </c>
      <c r="X4765" t="str">
        <f>IF(ISBLANK(S4765),"Intersection","Non-Intersection")</f>
        <v>Non-Intersection</v>
      </c>
      <c r="Y4765" t="s">
        <v>5355</v>
      </c>
      <c r="Z4765" t="str">
        <f t="shared" si="1082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069"/>
        <v>41275</v>
      </c>
      <c r="D4766" s="4">
        <f t="shared" si="1070"/>
        <v>0.10684931506849316</v>
      </c>
      <c r="E4766" s="3">
        <f t="shared" si="1071"/>
        <v>2013</v>
      </c>
      <c r="F4766" s="3">
        <f t="shared" si="1072"/>
        <v>2</v>
      </c>
      <c r="G4766" s="3">
        <f t="shared" si="1073"/>
        <v>9</v>
      </c>
      <c r="H4766" s="3">
        <f t="shared" si="1074"/>
        <v>8</v>
      </c>
      <c r="I4766" s="3">
        <f t="shared" si="1075"/>
        <v>0</v>
      </c>
      <c r="J4766" s="3">
        <f t="shared" si="1076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077"/>
        <v>YES</v>
      </c>
      <c r="Q4766" t="str">
        <f t="shared" si="1078"/>
        <v>NO</v>
      </c>
      <c r="R4766" t="str">
        <f t="shared" si="1079"/>
        <v>NO</v>
      </c>
      <c r="T4766" t="s">
        <v>27</v>
      </c>
      <c r="U4766" t="str">
        <f t="shared" si="1080"/>
        <v>Western Ave</v>
      </c>
      <c r="V4766" t="s">
        <v>42</v>
      </c>
      <c r="W4766" t="str">
        <f t="shared" si="1081"/>
        <v>Putnam Ave</v>
      </c>
      <c r="X4766" t="str">
        <f>IF(ISBLANK(S4766),"Intersection","Non-Intersection")</f>
        <v>Intersection</v>
      </c>
      <c r="Y4766" t="s">
        <v>1022</v>
      </c>
      <c r="Z4766" t="str">
        <f t="shared" si="1082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069"/>
        <v>41275</v>
      </c>
      <c r="D4767" s="4">
        <f t="shared" si="1070"/>
        <v>0.10684931506849316</v>
      </c>
      <c r="E4767" s="3">
        <f t="shared" si="1071"/>
        <v>2013</v>
      </c>
      <c r="F4767" s="3">
        <f t="shared" si="1072"/>
        <v>2</v>
      </c>
      <c r="G4767" s="3">
        <f t="shared" si="1073"/>
        <v>9</v>
      </c>
      <c r="H4767" s="3">
        <f t="shared" si="1074"/>
        <v>15</v>
      </c>
      <c r="I4767" s="3">
        <f t="shared" si="1075"/>
        <v>8</v>
      </c>
      <c r="J4767" s="3">
        <f t="shared" si="1076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077"/>
        <v>YES</v>
      </c>
      <c r="Q4767" t="str">
        <f t="shared" si="1078"/>
        <v>NO</v>
      </c>
      <c r="R4767" t="str">
        <f t="shared" si="1079"/>
        <v>NO</v>
      </c>
      <c r="S4767">
        <v>8110</v>
      </c>
      <c r="T4767" t="s">
        <v>1032</v>
      </c>
      <c r="U4767" t="str">
        <f t="shared" si="1080"/>
        <v>Meacham Rd</v>
      </c>
      <c r="W4767" t="str">
        <f t="shared" si="1081"/>
        <v/>
      </c>
      <c r="X4767" t="str">
        <f>IF(ISBLANK(S4767),"Intersection","Non-Intersection")</f>
        <v>Non-Intersection</v>
      </c>
      <c r="Y4767" t="s">
        <v>5357</v>
      </c>
      <c r="Z4767" t="str">
        <f t="shared" si="1082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069"/>
        <v>41275</v>
      </c>
      <c r="D4768" s="4">
        <f t="shared" si="1070"/>
        <v>0.10684931506849316</v>
      </c>
      <c r="E4768" s="3">
        <f t="shared" si="1071"/>
        <v>2013</v>
      </c>
      <c r="F4768" s="3">
        <f t="shared" si="1072"/>
        <v>2</v>
      </c>
      <c r="G4768" s="3">
        <f t="shared" si="1073"/>
        <v>9</v>
      </c>
      <c r="H4768" s="3">
        <f t="shared" si="1074"/>
        <v>20</v>
      </c>
      <c r="I4768" s="3">
        <f t="shared" si="1075"/>
        <v>0</v>
      </c>
      <c r="J4768" s="3">
        <f t="shared" si="1076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077"/>
        <v>YES</v>
      </c>
      <c r="Q4768" t="str">
        <f t="shared" si="1078"/>
        <v>NO</v>
      </c>
      <c r="R4768" t="str">
        <f t="shared" si="1079"/>
        <v>NO</v>
      </c>
      <c r="S4768">
        <v>47</v>
      </c>
      <c r="T4768" t="s">
        <v>1332</v>
      </c>
      <c r="U4768" t="str">
        <f t="shared" si="1080"/>
        <v>Porter Rd</v>
      </c>
      <c r="W4768" t="str">
        <f t="shared" si="1081"/>
        <v/>
      </c>
      <c r="X4768" t="str">
        <f>IF(ISBLANK(S4768),"Intersection","Non-Intersection")</f>
        <v>Non-Intersection</v>
      </c>
      <c r="Y4768" t="s">
        <v>5359</v>
      </c>
      <c r="Z4768" t="str">
        <f t="shared" si="1082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069"/>
        <v>41275</v>
      </c>
      <c r="D4769" s="4">
        <f t="shared" si="1070"/>
        <v>0.1095890410958904</v>
      </c>
      <c r="E4769" s="3">
        <f t="shared" si="1071"/>
        <v>2013</v>
      </c>
      <c r="F4769" s="3">
        <f t="shared" si="1072"/>
        <v>2</v>
      </c>
      <c r="G4769" s="3">
        <f t="shared" si="1073"/>
        <v>10</v>
      </c>
      <c r="H4769" s="3">
        <f t="shared" si="1074"/>
        <v>11</v>
      </c>
      <c r="I4769" s="3">
        <f t="shared" si="1075"/>
        <v>32</v>
      </c>
      <c r="J4769" s="3">
        <f t="shared" si="1076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077"/>
        <v>YES</v>
      </c>
      <c r="Q4769" t="str">
        <f t="shared" si="1078"/>
        <v>NO</v>
      </c>
      <c r="R4769" t="str">
        <f t="shared" si="1079"/>
        <v>NO</v>
      </c>
      <c r="S4769">
        <v>231</v>
      </c>
      <c r="T4769" t="s">
        <v>453</v>
      </c>
      <c r="U4769" t="str">
        <f t="shared" si="1080"/>
        <v>Brookline St</v>
      </c>
      <c r="W4769" t="str">
        <f t="shared" si="1081"/>
        <v/>
      </c>
      <c r="X4769" t="str">
        <f>IF(ISBLANK(S4769),"Intersection","Non-Intersection")</f>
        <v>Non-Intersection</v>
      </c>
      <c r="Y4769" t="s">
        <v>5361</v>
      </c>
      <c r="Z4769" t="str">
        <f t="shared" si="1082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069"/>
        <v>41275</v>
      </c>
      <c r="D4770" s="4">
        <f t="shared" si="1070"/>
        <v>0.1095890410958904</v>
      </c>
      <c r="E4770" s="3">
        <f t="shared" si="1071"/>
        <v>2013</v>
      </c>
      <c r="F4770" s="3">
        <f t="shared" si="1072"/>
        <v>2</v>
      </c>
      <c r="G4770" s="3">
        <f t="shared" si="1073"/>
        <v>10</v>
      </c>
      <c r="H4770" s="3">
        <f t="shared" si="1074"/>
        <v>16</v>
      </c>
      <c r="I4770" s="3">
        <f t="shared" si="1075"/>
        <v>30</v>
      </c>
      <c r="J4770" s="3">
        <f t="shared" si="1076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077"/>
        <v>YES</v>
      </c>
      <c r="Q4770" t="str">
        <f t="shared" si="1078"/>
        <v>NO</v>
      </c>
      <c r="R4770" t="str">
        <f t="shared" si="1079"/>
        <v>NO</v>
      </c>
      <c r="S4770">
        <v>25</v>
      </c>
      <c r="T4770" t="s">
        <v>4752</v>
      </c>
      <c r="U4770" t="str">
        <f t="shared" si="1080"/>
        <v>Sacramento Pl</v>
      </c>
      <c r="W4770" t="str">
        <f t="shared" si="1081"/>
        <v/>
      </c>
      <c r="X4770" t="str">
        <f>IF(ISBLANK(S4770),"Intersection","Non-Intersection")</f>
        <v>Non-Intersection</v>
      </c>
      <c r="Y4770" t="s">
        <v>5363</v>
      </c>
      <c r="Z4770" t="str">
        <f t="shared" si="1082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069"/>
        <v>41275</v>
      </c>
      <c r="D4771" s="4">
        <f t="shared" si="1070"/>
        <v>0.1095890410958904</v>
      </c>
      <c r="E4771" s="3">
        <f t="shared" si="1071"/>
        <v>2013</v>
      </c>
      <c r="F4771" s="3">
        <f t="shared" si="1072"/>
        <v>2</v>
      </c>
      <c r="G4771" s="3">
        <f t="shared" si="1073"/>
        <v>10</v>
      </c>
      <c r="H4771" s="3">
        <f t="shared" si="1074"/>
        <v>11</v>
      </c>
      <c r="I4771" s="3">
        <f t="shared" si="1075"/>
        <v>0</v>
      </c>
      <c r="J4771" s="3">
        <f t="shared" si="1076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077"/>
        <v>YES</v>
      </c>
      <c r="Q4771" t="str">
        <f t="shared" si="1078"/>
        <v>NO</v>
      </c>
      <c r="R4771" t="str">
        <f t="shared" si="1079"/>
        <v>NO</v>
      </c>
      <c r="T4771" t="s">
        <v>553</v>
      </c>
      <c r="U4771" t="str">
        <f t="shared" si="1080"/>
        <v>Cameron Ave</v>
      </c>
      <c r="V4771" t="s">
        <v>2986</v>
      </c>
      <c r="W4771" t="str">
        <f t="shared" si="1081"/>
        <v>Seven Pines Ave</v>
      </c>
      <c r="X4771" t="str">
        <f>IF(ISBLANK(S4771),"Intersection","Non-Intersection")</f>
        <v>Intersection</v>
      </c>
      <c r="Y4771" t="s">
        <v>5365</v>
      </c>
      <c r="Z4771" t="str">
        <f t="shared" si="1082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069"/>
        <v>41275</v>
      </c>
      <c r="D4772" s="4">
        <f t="shared" si="1070"/>
        <v>0.1095890410958904</v>
      </c>
      <c r="E4772" s="3">
        <f t="shared" si="1071"/>
        <v>2013</v>
      </c>
      <c r="F4772" s="3">
        <f t="shared" si="1072"/>
        <v>2</v>
      </c>
      <c r="G4772" s="3">
        <f t="shared" si="1073"/>
        <v>10</v>
      </c>
      <c r="H4772" s="3">
        <f t="shared" si="1074"/>
        <v>9</v>
      </c>
      <c r="I4772" s="3">
        <f t="shared" si="1075"/>
        <v>59</v>
      </c>
      <c r="J4772" s="3">
        <f t="shared" si="1076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077"/>
        <v>YES</v>
      </c>
      <c r="Q4772" t="str">
        <f t="shared" si="1078"/>
        <v>NO</v>
      </c>
      <c r="R4772" t="str">
        <f t="shared" si="1079"/>
        <v>NO</v>
      </c>
      <c r="T4772" t="s">
        <v>14</v>
      </c>
      <c r="U4772" t="str">
        <f t="shared" si="1080"/>
        <v>Massachusetts Ave</v>
      </c>
      <c r="V4772" t="s">
        <v>553</v>
      </c>
      <c r="W4772" t="str">
        <f t="shared" si="1081"/>
        <v>Cameron Ave</v>
      </c>
      <c r="X4772" t="str">
        <f>IF(ISBLANK(S4772),"Intersection","Non-Intersection")</f>
        <v>Intersection</v>
      </c>
      <c r="Y4772" t="s">
        <v>554</v>
      </c>
      <c r="Z4772" t="str">
        <f t="shared" si="1082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069"/>
        <v>41275</v>
      </c>
      <c r="D4773" s="4">
        <f t="shared" si="1070"/>
        <v>0.1095890410958904</v>
      </c>
      <c r="E4773" s="3">
        <f t="shared" si="1071"/>
        <v>2013</v>
      </c>
      <c r="F4773" s="3">
        <f t="shared" si="1072"/>
        <v>2</v>
      </c>
      <c r="G4773" s="3">
        <f t="shared" si="1073"/>
        <v>10</v>
      </c>
      <c r="H4773" s="3">
        <f t="shared" si="1074"/>
        <v>15</v>
      </c>
      <c r="I4773" s="3">
        <f t="shared" si="1075"/>
        <v>59</v>
      </c>
      <c r="J4773" s="3">
        <f t="shared" si="1076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077"/>
        <v>YES</v>
      </c>
      <c r="Q4773" t="str">
        <f t="shared" si="1078"/>
        <v>NO</v>
      </c>
      <c r="R4773" t="str">
        <f t="shared" si="1079"/>
        <v>NO</v>
      </c>
      <c r="S4773">
        <v>43</v>
      </c>
      <c r="T4773" t="s">
        <v>1149</v>
      </c>
      <c r="U4773" t="str">
        <f t="shared" si="1080"/>
        <v>Jefferson St</v>
      </c>
      <c r="W4773" t="str">
        <f t="shared" si="1081"/>
        <v/>
      </c>
      <c r="X4773" t="str">
        <f>IF(ISBLANK(S4773),"Intersection","Non-Intersection")</f>
        <v>Non-Intersection</v>
      </c>
      <c r="Y4773" t="s">
        <v>5367</v>
      </c>
      <c r="Z4773" t="str">
        <f t="shared" si="1082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069"/>
        <v>41275</v>
      </c>
      <c r="D4774" s="4">
        <f t="shared" si="1070"/>
        <v>0.1095890410958904</v>
      </c>
      <c r="E4774" s="3">
        <f t="shared" si="1071"/>
        <v>2013</v>
      </c>
      <c r="F4774" s="3">
        <f t="shared" si="1072"/>
        <v>2</v>
      </c>
      <c r="G4774" s="3">
        <f t="shared" si="1073"/>
        <v>10</v>
      </c>
      <c r="H4774" s="3">
        <f t="shared" si="1074"/>
        <v>20</v>
      </c>
      <c r="I4774" s="3">
        <f t="shared" si="1075"/>
        <v>0</v>
      </c>
      <c r="J4774" s="3">
        <f t="shared" si="1076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077"/>
        <v>YES</v>
      </c>
      <c r="Q4774" t="str">
        <f t="shared" si="1078"/>
        <v>NO</v>
      </c>
      <c r="R4774" t="str">
        <f t="shared" si="1079"/>
        <v>NO</v>
      </c>
      <c r="S4774">
        <v>362</v>
      </c>
      <c r="T4774" t="s">
        <v>15</v>
      </c>
      <c r="U4774" t="str">
        <f t="shared" si="1080"/>
        <v>Rindge Ave</v>
      </c>
      <c r="W4774" t="str">
        <f t="shared" si="1081"/>
        <v/>
      </c>
      <c r="X4774" t="str">
        <f>IF(ISBLANK(S4774),"Intersection","Non-Intersection")</f>
        <v>Non-Intersection</v>
      </c>
      <c r="Y4774" t="s">
        <v>3320</v>
      </c>
      <c r="Z4774" t="str">
        <f t="shared" si="1082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069"/>
        <v>41275</v>
      </c>
      <c r="D4775" s="4">
        <f t="shared" si="1070"/>
        <v>0.1095890410958904</v>
      </c>
      <c r="E4775" s="3">
        <f t="shared" si="1071"/>
        <v>2013</v>
      </c>
      <c r="F4775" s="3">
        <f t="shared" si="1072"/>
        <v>2</v>
      </c>
      <c r="G4775" s="3">
        <f t="shared" si="1073"/>
        <v>10</v>
      </c>
      <c r="H4775" s="3">
        <f t="shared" si="1074"/>
        <v>21</v>
      </c>
      <c r="I4775" s="3">
        <f t="shared" si="1075"/>
        <v>0</v>
      </c>
      <c r="J4775" s="3">
        <f t="shared" si="1076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077"/>
        <v>YES</v>
      </c>
      <c r="Q4775" t="str">
        <f t="shared" si="1078"/>
        <v>NO</v>
      </c>
      <c r="R4775" t="str">
        <f t="shared" si="1079"/>
        <v>NO</v>
      </c>
      <c r="S4775">
        <v>52</v>
      </c>
      <c r="T4775" t="s">
        <v>1701</v>
      </c>
      <c r="U4775" t="str">
        <f t="shared" si="1080"/>
        <v>Prentiss St</v>
      </c>
      <c r="W4775" t="str">
        <f t="shared" si="1081"/>
        <v/>
      </c>
      <c r="X4775" t="str">
        <f>IF(ISBLANK(S4775),"Intersection","Non-Intersection")</f>
        <v>Non-Intersection</v>
      </c>
      <c r="Y4775" t="s">
        <v>5371</v>
      </c>
      <c r="Z4775" t="str">
        <f t="shared" si="1082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069"/>
        <v>41275</v>
      </c>
      <c r="D4776" s="4">
        <f t="shared" si="1070"/>
        <v>0.1095890410958904</v>
      </c>
      <c r="E4776" s="3">
        <f t="shared" si="1071"/>
        <v>2013</v>
      </c>
      <c r="F4776" s="3">
        <f t="shared" si="1072"/>
        <v>2</v>
      </c>
      <c r="G4776" s="3">
        <f t="shared" si="1073"/>
        <v>10</v>
      </c>
      <c r="H4776" s="3">
        <f t="shared" si="1074"/>
        <v>10</v>
      </c>
      <c r="I4776" s="3">
        <f t="shared" si="1075"/>
        <v>30</v>
      </c>
      <c r="J4776" s="3">
        <f t="shared" si="1076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077"/>
        <v>YES</v>
      </c>
      <c r="Q4776" t="str">
        <f t="shared" si="1078"/>
        <v>NO</v>
      </c>
      <c r="R4776" t="str">
        <f t="shared" si="1079"/>
        <v>NO</v>
      </c>
      <c r="S4776">
        <v>70</v>
      </c>
      <c r="T4776" t="s">
        <v>124</v>
      </c>
      <c r="U4776" t="str">
        <f t="shared" si="1080"/>
        <v>York St</v>
      </c>
      <c r="W4776" t="str">
        <f t="shared" si="1081"/>
        <v/>
      </c>
      <c r="X4776" t="str">
        <f>IF(ISBLANK(S4776),"Intersection","Non-Intersection")</f>
        <v>Non-Intersection</v>
      </c>
      <c r="Y4776" t="s">
        <v>5369</v>
      </c>
      <c r="Z4776" t="str">
        <f t="shared" si="1082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069"/>
        <v>41275</v>
      </c>
      <c r="D4777" s="4">
        <f t="shared" si="1070"/>
        <v>0.11232876712328767</v>
      </c>
      <c r="E4777" s="3">
        <f t="shared" si="1071"/>
        <v>2013</v>
      </c>
      <c r="F4777" s="3">
        <f t="shared" si="1072"/>
        <v>2</v>
      </c>
      <c r="G4777" s="3">
        <f t="shared" si="1073"/>
        <v>11</v>
      </c>
      <c r="H4777" s="3">
        <f t="shared" si="1074"/>
        <v>15</v>
      </c>
      <c r="I4777" s="3">
        <f t="shared" si="1075"/>
        <v>27</v>
      </c>
      <c r="J4777" s="3">
        <f t="shared" si="1076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077"/>
        <v>YES</v>
      </c>
      <c r="Q4777" t="str">
        <f t="shared" si="1078"/>
        <v>NO</v>
      </c>
      <c r="R4777" t="str">
        <f t="shared" si="1079"/>
        <v>NO</v>
      </c>
      <c r="S4777">
        <v>89</v>
      </c>
      <c r="T4777" t="s">
        <v>61</v>
      </c>
      <c r="U4777" t="str">
        <f t="shared" si="1080"/>
        <v>First St</v>
      </c>
      <c r="W4777" t="str">
        <f t="shared" si="1081"/>
        <v/>
      </c>
      <c r="X4777" t="str">
        <f>IF(ISBLANK(S4777),"Intersection","Non-Intersection")</f>
        <v>Non-Intersection</v>
      </c>
      <c r="Y4777" t="s">
        <v>1662</v>
      </c>
      <c r="Z4777" t="str">
        <f t="shared" si="1082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069"/>
        <v>41275</v>
      </c>
      <c r="D4778" s="4">
        <f t="shared" si="1070"/>
        <v>0.11232876712328767</v>
      </c>
      <c r="E4778" s="3">
        <f t="shared" si="1071"/>
        <v>2013</v>
      </c>
      <c r="F4778" s="3">
        <f t="shared" si="1072"/>
        <v>2</v>
      </c>
      <c r="G4778" s="3">
        <f t="shared" si="1073"/>
        <v>11</v>
      </c>
      <c r="H4778" s="3">
        <f t="shared" si="1074"/>
        <v>11</v>
      </c>
      <c r="I4778" s="3">
        <f t="shared" si="1075"/>
        <v>0</v>
      </c>
      <c r="J4778" s="3">
        <f t="shared" si="1076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077"/>
        <v>YES</v>
      </c>
      <c r="Q4778" t="str">
        <f t="shared" si="1078"/>
        <v>NO</v>
      </c>
      <c r="R4778" t="str">
        <f t="shared" si="1079"/>
        <v>NO</v>
      </c>
      <c r="S4778">
        <v>20</v>
      </c>
      <c r="T4778" t="s">
        <v>3311</v>
      </c>
      <c r="U4778" t="str">
        <f t="shared" si="1080"/>
        <v>Corporal Burns Rd</v>
      </c>
      <c r="W4778" t="str">
        <f t="shared" si="1081"/>
        <v/>
      </c>
      <c r="X4778" t="str">
        <f>IF(ISBLANK(S4778),"Intersection","Non-Intersection")</f>
        <v>Non-Intersection</v>
      </c>
      <c r="Y4778" t="s">
        <v>5373</v>
      </c>
      <c r="Z4778" t="str">
        <f t="shared" si="1082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069"/>
        <v>41275</v>
      </c>
      <c r="D4779" s="4">
        <f t="shared" si="1070"/>
        <v>0.11232876712328767</v>
      </c>
      <c r="E4779" s="3">
        <f t="shared" si="1071"/>
        <v>2013</v>
      </c>
      <c r="F4779" s="3">
        <f t="shared" si="1072"/>
        <v>2</v>
      </c>
      <c r="G4779" s="3">
        <f t="shared" si="1073"/>
        <v>11</v>
      </c>
      <c r="H4779" s="3">
        <f t="shared" si="1074"/>
        <v>19</v>
      </c>
      <c r="I4779" s="3">
        <f t="shared" si="1075"/>
        <v>30</v>
      </c>
      <c r="J4779" s="3">
        <f t="shared" si="1076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077"/>
        <v>YES</v>
      </c>
      <c r="Q4779" t="str">
        <f t="shared" si="1078"/>
        <v>NO</v>
      </c>
      <c r="R4779" t="str">
        <f t="shared" si="1079"/>
        <v>NO</v>
      </c>
      <c r="T4779" t="s">
        <v>14</v>
      </c>
      <c r="U4779" t="str">
        <f t="shared" si="1080"/>
        <v>Massachusetts Ave</v>
      </c>
      <c r="V4779" t="s">
        <v>1997</v>
      </c>
      <c r="W4779" t="str">
        <f t="shared" si="1081"/>
        <v>Central Sq</v>
      </c>
      <c r="X4779" t="str">
        <f>IF(ISBLANK(S4779),"Intersection","Non-Intersection")</f>
        <v>Intersection</v>
      </c>
      <c r="Y4779" t="s">
        <v>3924</v>
      </c>
      <c r="Z4779" t="str">
        <f t="shared" si="1082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069"/>
        <v>41275</v>
      </c>
      <c r="D4780" s="4">
        <f t="shared" si="1070"/>
        <v>0.11506849315068493</v>
      </c>
      <c r="E4780" s="3">
        <f t="shared" si="1071"/>
        <v>2013</v>
      </c>
      <c r="F4780" s="3">
        <f t="shared" si="1072"/>
        <v>2</v>
      </c>
      <c r="G4780" s="3">
        <f t="shared" si="1073"/>
        <v>12</v>
      </c>
      <c r="H4780" s="3">
        <f t="shared" si="1074"/>
        <v>19</v>
      </c>
      <c r="I4780" s="3">
        <f t="shared" si="1075"/>
        <v>18</v>
      </c>
      <c r="J4780" s="3">
        <f t="shared" si="1076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077"/>
        <v>YES</v>
      </c>
      <c r="Q4780" t="str">
        <f t="shared" si="1078"/>
        <v>NO</v>
      </c>
      <c r="R4780" t="str">
        <f t="shared" si="1079"/>
        <v>NO</v>
      </c>
      <c r="S4780">
        <v>1621</v>
      </c>
      <c r="T4780" t="s">
        <v>19</v>
      </c>
      <c r="U4780" t="str">
        <f t="shared" si="1080"/>
        <v>Cambridge St</v>
      </c>
      <c r="W4780" t="str">
        <f t="shared" si="1081"/>
        <v/>
      </c>
      <c r="X4780" t="str">
        <f>IF(ISBLANK(S4780),"Intersection","Non-Intersection")</f>
        <v>Non-Intersection</v>
      </c>
      <c r="Y4780" t="s">
        <v>2928</v>
      </c>
      <c r="Z4780" t="str">
        <f t="shared" si="1082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069"/>
        <v>41275</v>
      </c>
      <c r="D4781" s="4">
        <f t="shared" si="1070"/>
        <v>0.11780821917808219</v>
      </c>
      <c r="E4781" s="3">
        <f t="shared" si="1071"/>
        <v>2013</v>
      </c>
      <c r="F4781" s="3">
        <f t="shared" si="1072"/>
        <v>2</v>
      </c>
      <c r="G4781" s="3">
        <f t="shared" si="1073"/>
        <v>13</v>
      </c>
      <c r="H4781" s="3">
        <f t="shared" si="1074"/>
        <v>8</v>
      </c>
      <c r="I4781" s="3">
        <f t="shared" si="1075"/>
        <v>0</v>
      </c>
      <c r="J4781" s="3">
        <f t="shared" si="1076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077"/>
        <v>YES</v>
      </c>
      <c r="Q4781" t="str">
        <f t="shared" si="1078"/>
        <v>NO</v>
      </c>
      <c r="R4781" t="str">
        <f t="shared" si="1079"/>
        <v>NO</v>
      </c>
      <c r="T4781" t="s">
        <v>185</v>
      </c>
      <c r="U4781" t="str">
        <f t="shared" si="1080"/>
        <v>Garden St</v>
      </c>
      <c r="W4781" t="str">
        <f t="shared" si="1081"/>
        <v/>
      </c>
      <c r="X4781" t="str">
        <f>IF(ISBLANK(S4781),"Intersection","Non-Intersection")</f>
        <v>Intersection</v>
      </c>
      <c r="Y4781" t="s">
        <v>566</v>
      </c>
      <c r="Z4781" t="str">
        <f t="shared" si="1082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083">EOMONTH(B4782,MONTH(B4782)*-1)+1</f>
        <v>41275</v>
      </c>
      <c r="D4782" s="4">
        <f t="shared" ref="D4782:D4842" si="1084">YEARFRAC(C4782,B4782,1)</f>
        <v>0.11780821917808219</v>
      </c>
      <c r="E4782" s="3">
        <f t="shared" ref="E4782:E4842" si="1085">YEAR(B4782)</f>
        <v>2013</v>
      </c>
      <c r="F4782" s="3">
        <f t="shared" ref="F4782:F4842" si="1086">MONTH(B4782)</f>
        <v>2</v>
      </c>
      <c r="G4782" s="3">
        <f t="shared" ref="G4782:G4842" si="1087">DAY(B4782)</f>
        <v>13</v>
      </c>
      <c r="H4782" s="3">
        <f t="shared" ref="H4782:H4842" si="1088">HOUR(B4782)</f>
        <v>12</v>
      </c>
      <c r="I4782" s="3">
        <f t="shared" ref="I4782:I4842" si="1089">MINUTE(B4782)</f>
        <v>20</v>
      </c>
      <c r="J4782" s="3">
        <f t="shared" ref="J4782:J4842" si="1090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091">IF(OR(N4782="Auto",O4782="Auto"),"YES",IF(OR(N4782="Taxi",O4782="Taxi"),"YES",IF(OR(N4782="Van",O4782="Van"),"YES",IF(OR(N4782="Truck",O4782="Truck"),"YES","NO"))))</f>
        <v>YES</v>
      </c>
      <c r="Q4782" t="str">
        <f t="shared" ref="Q4782:Q4842" si="1092">IF(OR(N4782="Bicycle",O4782="Bicycle"),"YES","NO")</f>
        <v>NO</v>
      </c>
      <c r="R4782" t="str">
        <f t="shared" ref="R4782:R4842" si="1093">IF(OR(N4782="Pedestrian",O4782="Pedestrian"),"YES","NO")</f>
        <v>NO</v>
      </c>
      <c r="S4782">
        <v>1654</v>
      </c>
      <c r="T4782" t="s">
        <v>14</v>
      </c>
      <c r="U4782" t="str">
        <f t="shared" si="1080"/>
        <v>Massachusetts Ave</v>
      </c>
      <c r="W4782" t="str">
        <f t="shared" si="1081"/>
        <v/>
      </c>
      <c r="X4782" t="str">
        <f>IF(ISBLANK(S4782),"Intersection","Non-Intersection")</f>
        <v>Non-Intersection</v>
      </c>
      <c r="Y4782" t="s">
        <v>5375</v>
      </c>
      <c r="Z4782" t="str">
        <f t="shared" si="1082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083"/>
        <v>41275</v>
      </c>
      <c r="D4783" s="4">
        <f t="shared" si="1084"/>
        <v>0.11780821917808219</v>
      </c>
      <c r="E4783" s="3">
        <f t="shared" si="1085"/>
        <v>2013</v>
      </c>
      <c r="F4783" s="3">
        <f t="shared" si="1086"/>
        <v>2</v>
      </c>
      <c r="G4783" s="3">
        <f t="shared" si="1087"/>
        <v>13</v>
      </c>
      <c r="H4783" s="3">
        <f t="shared" si="1088"/>
        <v>12</v>
      </c>
      <c r="I4783" s="3">
        <f t="shared" si="1089"/>
        <v>59</v>
      </c>
      <c r="J4783" s="3">
        <f t="shared" si="1090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091"/>
        <v>YES</v>
      </c>
      <c r="Q4783" t="str">
        <f t="shared" si="1092"/>
        <v>NO</v>
      </c>
      <c r="R4783" t="str">
        <f t="shared" si="1093"/>
        <v>NO</v>
      </c>
      <c r="S4783">
        <v>86</v>
      </c>
      <c r="T4783" t="s">
        <v>45</v>
      </c>
      <c r="U4783" t="str">
        <f t="shared" si="1080"/>
        <v>Sherman St</v>
      </c>
      <c r="W4783" t="str">
        <f t="shared" si="1081"/>
        <v/>
      </c>
      <c r="X4783" t="str">
        <f>IF(ISBLANK(S4783),"Intersection","Non-Intersection")</f>
        <v>Non-Intersection</v>
      </c>
      <c r="Y4783" t="s">
        <v>5377</v>
      </c>
      <c r="Z4783" t="str">
        <f t="shared" si="1082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083"/>
        <v>41275</v>
      </c>
      <c r="D4784" s="4">
        <f t="shared" si="1084"/>
        <v>0.11780821917808219</v>
      </c>
      <c r="E4784" s="3">
        <f t="shared" si="1085"/>
        <v>2013</v>
      </c>
      <c r="F4784" s="3">
        <f t="shared" si="1086"/>
        <v>2</v>
      </c>
      <c r="G4784" s="3">
        <f t="shared" si="1087"/>
        <v>13</v>
      </c>
      <c r="H4784" s="3">
        <f t="shared" si="1088"/>
        <v>15</v>
      </c>
      <c r="I4784" s="3">
        <f t="shared" si="1089"/>
        <v>14</v>
      </c>
      <c r="J4784" s="3">
        <f t="shared" si="1090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091"/>
        <v>YES</v>
      </c>
      <c r="Q4784" t="str">
        <f t="shared" si="1092"/>
        <v>NO</v>
      </c>
      <c r="R4784" t="str">
        <f t="shared" si="1093"/>
        <v>NO</v>
      </c>
      <c r="S4784">
        <v>330</v>
      </c>
      <c r="T4784" t="s">
        <v>198</v>
      </c>
      <c r="U4784" t="str">
        <f t="shared" si="1080"/>
        <v>Mount Auburn St</v>
      </c>
      <c r="W4784" t="str">
        <f t="shared" si="1081"/>
        <v/>
      </c>
      <c r="X4784" t="str">
        <f>IF(ISBLANK(S4784),"Intersection","Non-Intersection")</f>
        <v>Non-Intersection</v>
      </c>
      <c r="Y4784" t="s">
        <v>1488</v>
      </c>
      <c r="Z4784" t="str">
        <f t="shared" si="1082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083"/>
        <v>41275</v>
      </c>
      <c r="D4785" s="4">
        <f t="shared" si="1084"/>
        <v>0.12054794520547946</v>
      </c>
      <c r="E4785" s="3">
        <f t="shared" si="1085"/>
        <v>2013</v>
      </c>
      <c r="F4785" s="3">
        <f t="shared" si="1086"/>
        <v>2</v>
      </c>
      <c r="G4785" s="3">
        <f t="shared" si="1087"/>
        <v>14</v>
      </c>
      <c r="H4785" s="3">
        <f t="shared" si="1088"/>
        <v>8</v>
      </c>
      <c r="I4785" s="3">
        <f t="shared" si="1089"/>
        <v>19</v>
      </c>
      <c r="J4785" s="3">
        <f t="shared" si="1090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091"/>
        <v>YES</v>
      </c>
      <c r="Q4785" t="str">
        <f t="shared" si="1092"/>
        <v>NO</v>
      </c>
      <c r="R4785" t="str">
        <f t="shared" si="1093"/>
        <v>NO</v>
      </c>
      <c r="T4785" t="s">
        <v>14</v>
      </c>
      <c r="U4785" t="str">
        <f t="shared" si="1080"/>
        <v>Massachusetts Ave</v>
      </c>
      <c r="V4785" t="s">
        <v>5379</v>
      </c>
      <c r="W4785" t="str">
        <f t="shared" si="1081"/>
        <v>Tyler Ct</v>
      </c>
      <c r="X4785" t="str">
        <f>IF(ISBLANK(S4785),"Intersection","Non-Intersection")</f>
        <v>Intersection</v>
      </c>
      <c r="Y4785" t="s">
        <v>5380</v>
      </c>
      <c r="Z4785" t="str">
        <f t="shared" si="1082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083"/>
        <v>41275</v>
      </c>
      <c r="D4786" s="4">
        <f t="shared" si="1084"/>
        <v>0.12054794520547946</v>
      </c>
      <c r="E4786" s="3">
        <f t="shared" si="1085"/>
        <v>2013</v>
      </c>
      <c r="F4786" s="3">
        <f t="shared" si="1086"/>
        <v>2</v>
      </c>
      <c r="G4786" s="3">
        <f t="shared" si="1087"/>
        <v>14</v>
      </c>
      <c r="H4786" s="3">
        <f t="shared" si="1088"/>
        <v>8</v>
      </c>
      <c r="I4786" s="3">
        <f t="shared" si="1089"/>
        <v>38</v>
      </c>
      <c r="J4786" s="3">
        <f t="shared" si="1090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091"/>
        <v>YES</v>
      </c>
      <c r="Q4786" t="str">
        <f t="shared" si="1092"/>
        <v>NO</v>
      </c>
      <c r="R4786" t="str">
        <f t="shared" si="1093"/>
        <v>NO</v>
      </c>
      <c r="T4786" t="s">
        <v>42</v>
      </c>
      <c r="U4786" t="str">
        <f t="shared" si="1080"/>
        <v>Putnam Ave</v>
      </c>
      <c r="V4786" t="s">
        <v>453</v>
      </c>
      <c r="W4786" t="str">
        <f t="shared" si="1081"/>
        <v>Brookline St</v>
      </c>
      <c r="X4786" t="str">
        <f>IF(ISBLANK(S4786),"Intersection","Non-Intersection")</f>
        <v>Intersection</v>
      </c>
      <c r="Y4786" t="s">
        <v>1411</v>
      </c>
      <c r="Z4786" t="str">
        <f t="shared" si="1082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083"/>
        <v>41275</v>
      </c>
      <c r="D4787" s="4">
        <f t="shared" si="1084"/>
        <v>0.12054794520547946</v>
      </c>
      <c r="E4787" s="3">
        <f t="shared" si="1085"/>
        <v>2013</v>
      </c>
      <c r="F4787" s="3">
        <f t="shared" si="1086"/>
        <v>2</v>
      </c>
      <c r="G4787" s="3">
        <f t="shared" si="1087"/>
        <v>14</v>
      </c>
      <c r="H4787" s="3">
        <f t="shared" si="1088"/>
        <v>20</v>
      </c>
      <c r="I4787" s="3">
        <f t="shared" si="1089"/>
        <v>45</v>
      </c>
      <c r="J4787" s="3">
        <f t="shared" si="1090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091"/>
        <v>YES</v>
      </c>
      <c r="Q4787" t="str">
        <f t="shared" si="1092"/>
        <v>NO</v>
      </c>
      <c r="R4787" t="str">
        <f t="shared" si="1093"/>
        <v>YES</v>
      </c>
      <c r="T4787" t="s">
        <v>70</v>
      </c>
      <c r="U4787" t="str">
        <f t="shared" si="1080"/>
        <v>Pearl St</v>
      </c>
      <c r="V4787" t="s">
        <v>332</v>
      </c>
      <c r="W4787" t="str">
        <f t="shared" si="1081"/>
        <v>Allston St</v>
      </c>
      <c r="X4787" t="str">
        <f>IF(ISBLANK(S4787),"Intersection","Non-Intersection")</f>
        <v>Intersection</v>
      </c>
      <c r="Y4787" t="s">
        <v>3417</v>
      </c>
      <c r="Z4787" t="str">
        <f t="shared" si="1082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083"/>
        <v>41275</v>
      </c>
      <c r="D4788" s="4">
        <f t="shared" si="1084"/>
        <v>0.12054794520547946</v>
      </c>
      <c r="E4788" s="3">
        <f t="shared" si="1085"/>
        <v>2013</v>
      </c>
      <c r="F4788" s="3">
        <f t="shared" si="1086"/>
        <v>2</v>
      </c>
      <c r="G4788" s="3">
        <f t="shared" si="1087"/>
        <v>14</v>
      </c>
      <c r="H4788" s="3">
        <f t="shared" si="1088"/>
        <v>18</v>
      </c>
      <c r="I4788" s="3">
        <f t="shared" si="1089"/>
        <v>0</v>
      </c>
      <c r="J4788" s="3">
        <f t="shared" si="1090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091"/>
        <v>YES</v>
      </c>
      <c r="Q4788" t="str">
        <f t="shared" si="1092"/>
        <v>NO</v>
      </c>
      <c r="R4788" t="str">
        <f t="shared" si="1093"/>
        <v>NO</v>
      </c>
      <c r="S4788">
        <v>271</v>
      </c>
      <c r="T4788" t="s">
        <v>198</v>
      </c>
      <c r="U4788" t="str">
        <f t="shared" si="1080"/>
        <v>Mount Auburn St</v>
      </c>
      <c r="W4788" t="str">
        <f t="shared" si="1081"/>
        <v/>
      </c>
      <c r="X4788" t="str">
        <f>IF(ISBLANK(S4788),"Intersection","Non-Intersection")</f>
        <v>Non-Intersection</v>
      </c>
      <c r="Y4788" t="s">
        <v>5382</v>
      </c>
      <c r="Z4788" t="str">
        <f t="shared" si="1082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083"/>
        <v>41275</v>
      </c>
      <c r="D4789" s="4">
        <f t="shared" si="1084"/>
        <v>0.12054794520547946</v>
      </c>
      <c r="E4789" s="3">
        <f t="shared" si="1085"/>
        <v>2013</v>
      </c>
      <c r="F4789" s="3">
        <f t="shared" si="1086"/>
        <v>2</v>
      </c>
      <c r="G4789" s="3">
        <f t="shared" si="1087"/>
        <v>14</v>
      </c>
      <c r="H4789" s="3">
        <f t="shared" si="1088"/>
        <v>10</v>
      </c>
      <c r="I4789" s="3">
        <f t="shared" si="1089"/>
        <v>30</v>
      </c>
      <c r="J4789" s="3">
        <f t="shared" si="1090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091"/>
        <v>YES</v>
      </c>
      <c r="Q4789" t="str">
        <f t="shared" si="1092"/>
        <v>NO</v>
      </c>
      <c r="R4789" t="str">
        <f t="shared" si="1093"/>
        <v>NO</v>
      </c>
      <c r="T4789" t="s">
        <v>417</v>
      </c>
      <c r="U4789" t="str">
        <f t="shared" si="1080"/>
        <v>Myrtle Ave</v>
      </c>
      <c r="V4789" t="s">
        <v>89</v>
      </c>
      <c r="W4789" t="str">
        <f t="shared" si="1081"/>
        <v>Magnolia Ave</v>
      </c>
      <c r="X4789" t="str">
        <f>IF(ISBLANK(S4789),"Intersection","Non-Intersection")</f>
        <v>Intersection</v>
      </c>
      <c r="Y4789" t="s">
        <v>5384</v>
      </c>
      <c r="Z4789" t="str">
        <f t="shared" si="1082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083"/>
        <v>41275</v>
      </c>
      <c r="D4790" s="4">
        <f t="shared" si="1084"/>
        <v>0.12054794520547946</v>
      </c>
      <c r="E4790" s="3">
        <f t="shared" si="1085"/>
        <v>2013</v>
      </c>
      <c r="F4790" s="3">
        <f t="shared" si="1086"/>
        <v>2</v>
      </c>
      <c r="G4790" s="3">
        <f t="shared" si="1087"/>
        <v>14</v>
      </c>
      <c r="H4790" s="3">
        <f t="shared" si="1088"/>
        <v>15</v>
      </c>
      <c r="I4790" s="3">
        <f t="shared" si="1089"/>
        <v>52</v>
      </c>
      <c r="J4790" s="3">
        <f t="shared" si="1090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091"/>
        <v>NO</v>
      </c>
      <c r="Q4790" t="str">
        <f t="shared" si="1092"/>
        <v>NO</v>
      </c>
      <c r="R4790" t="str">
        <f t="shared" si="1093"/>
        <v>NO</v>
      </c>
      <c r="S4790">
        <v>100</v>
      </c>
      <c r="T4790" t="s">
        <v>1062</v>
      </c>
      <c r="U4790" t="str">
        <f t="shared" si="1080"/>
        <v>Cambridgeside Pl</v>
      </c>
      <c r="W4790" t="str">
        <f t="shared" si="1081"/>
        <v/>
      </c>
      <c r="X4790" t="str">
        <f>IF(ISBLANK(S4790),"Intersection","Non-Intersection")</f>
        <v>Non-Intersection</v>
      </c>
      <c r="Y4790" t="s">
        <v>1143</v>
      </c>
      <c r="Z4790" t="str">
        <f t="shared" si="1082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083"/>
        <v>41275</v>
      </c>
      <c r="D4791" s="4">
        <f t="shared" si="1084"/>
        <v>0.12328767123287671</v>
      </c>
      <c r="E4791" s="3">
        <f t="shared" si="1085"/>
        <v>2013</v>
      </c>
      <c r="F4791" s="3">
        <f t="shared" si="1086"/>
        <v>2</v>
      </c>
      <c r="G4791" s="3">
        <f t="shared" si="1087"/>
        <v>15</v>
      </c>
      <c r="H4791" s="3">
        <f t="shared" si="1088"/>
        <v>18</v>
      </c>
      <c r="I4791" s="3">
        <f t="shared" si="1089"/>
        <v>1</v>
      </c>
      <c r="J4791" s="3">
        <f t="shared" si="1090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091"/>
        <v>YES</v>
      </c>
      <c r="Q4791" t="str">
        <f t="shared" si="1092"/>
        <v>NO</v>
      </c>
      <c r="R4791" t="str">
        <f t="shared" si="1093"/>
        <v>NO</v>
      </c>
      <c r="S4791">
        <v>19</v>
      </c>
      <c r="T4791" t="s">
        <v>185</v>
      </c>
      <c r="U4791" t="str">
        <f t="shared" si="1080"/>
        <v>Garden St</v>
      </c>
      <c r="W4791" t="str">
        <f t="shared" si="1081"/>
        <v/>
      </c>
      <c r="X4791" t="str">
        <f>IF(ISBLANK(S4791),"Intersection","Non-Intersection")</f>
        <v>Non-Intersection</v>
      </c>
      <c r="Y4791" t="s">
        <v>5386</v>
      </c>
      <c r="Z4791" t="str">
        <f t="shared" si="1082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083"/>
        <v>41275</v>
      </c>
      <c r="D4792" s="4">
        <f t="shared" si="1084"/>
        <v>0.12328767123287671</v>
      </c>
      <c r="E4792" s="3">
        <f t="shared" si="1085"/>
        <v>2013</v>
      </c>
      <c r="F4792" s="3">
        <f t="shared" si="1086"/>
        <v>2</v>
      </c>
      <c r="G4792" s="3">
        <f t="shared" si="1087"/>
        <v>15</v>
      </c>
      <c r="H4792" s="3">
        <f t="shared" si="1088"/>
        <v>14</v>
      </c>
      <c r="I4792" s="3">
        <f t="shared" si="1089"/>
        <v>42</v>
      </c>
      <c r="J4792" s="3">
        <f t="shared" si="1090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091"/>
        <v>YES</v>
      </c>
      <c r="Q4792" t="str">
        <f t="shared" si="1092"/>
        <v>NO</v>
      </c>
      <c r="R4792" t="str">
        <f t="shared" si="1093"/>
        <v>YES</v>
      </c>
      <c r="T4792" t="s">
        <v>119</v>
      </c>
      <c r="U4792" t="str">
        <f t="shared" si="1080"/>
        <v>Albany St</v>
      </c>
      <c r="V4792" t="s">
        <v>2646</v>
      </c>
      <c r="W4792" t="str">
        <f t="shared" si="1081"/>
        <v>Massachusetts Ave Brdg</v>
      </c>
      <c r="X4792" t="str">
        <f>IF(ISBLANK(S4792),"Intersection","Non-Intersection")</f>
        <v>Intersection</v>
      </c>
      <c r="Y4792" t="s">
        <v>5388</v>
      </c>
      <c r="Z4792" t="str">
        <f t="shared" si="1082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083"/>
        <v>41275</v>
      </c>
      <c r="D4793" s="4">
        <f t="shared" si="1084"/>
        <v>0.12328767123287671</v>
      </c>
      <c r="E4793" s="3">
        <f t="shared" si="1085"/>
        <v>2013</v>
      </c>
      <c r="F4793" s="3">
        <f t="shared" si="1086"/>
        <v>2</v>
      </c>
      <c r="G4793" s="3">
        <f t="shared" si="1087"/>
        <v>15</v>
      </c>
      <c r="H4793" s="3">
        <f t="shared" si="1088"/>
        <v>14</v>
      </c>
      <c r="I4793" s="3">
        <f t="shared" si="1089"/>
        <v>39</v>
      </c>
      <c r="J4793" s="3">
        <f t="shared" si="1090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091"/>
        <v>YES</v>
      </c>
      <c r="Q4793" t="str">
        <f t="shared" si="1092"/>
        <v>NO</v>
      </c>
      <c r="R4793" t="str">
        <f t="shared" si="1093"/>
        <v>NO</v>
      </c>
      <c r="S4793">
        <v>148</v>
      </c>
      <c r="T4793" t="s">
        <v>198</v>
      </c>
      <c r="U4793" t="str">
        <f t="shared" si="1080"/>
        <v>Mount Auburn St</v>
      </c>
      <c r="W4793" t="str">
        <f t="shared" si="1081"/>
        <v/>
      </c>
      <c r="X4793" t="str">
        <f>IF(ISBLANK(S4793),"Intersection","Non-Intersection")</f>
        <v>Non-Intersection</v>
      </c>
      <c r="Y4793" t="s">
        <v>5389</v>
      </c>
      <c r="Z4793" t="str">
        <f t="shared" si="1082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083"/>
        <v>41275</v>
      </c>
      <c r="D4794" s="4">
        <f t="shared" si="1084"/>
        <v>0.12328767123287671</v>
      </c>
      <c r="E4794" s="3">
        <f t="shared" si="1085"/>
        <v>2013</v>
      </c>
      <c r="F4794" s="3">
        <f t="shared" si="1086"/>
        <v>2</v>
      </c>
      <c r="G4794" s="3">
        <f t="shared" si="1087"/>
        <v>15</v>
      </c>
      <c r="H4794" s="3">
        <f t="shared" si="1088"/>
        <v>16</v>
      </c>
      <c r="I4794" s="3">
        <f t="shared" si="1089"/>
        <v>30</v>
      </c>
      <c r="J4794" s="3">
        <f t="shared" si="1090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091"/>
        <v>YES</v>
      </c>
      <c r="Q4794" t="str">
        <f t="shared" si="1092"/>
        <v>NO</v>
      </c>
      <c r="R4794" t="str">
        <f t="shared" si="1093"/>
        <v>NO</v>
      </c>
      <c r="T4794" t="s">
        <v>1492</v>
      </c>
      <c r="U4794" t="str">
        <f t="shared" si="1080"/>
        <v>Exeter Park</v>
      </c>
      <c r="W4794" t="str">
        <f t="shared" si="1081"/>
        <v/>
      </c>
      <c r="X4794" t="str">
        <f>IF(ISBLANK(S4794),"Intersection","Non-Intersection")</f>
        <v>Intersection</v>
      </c>
      <c r="Y4794" t="s">
        <v>5391</v>
      </c>
      <c r="Z4794" t="str">
        <f t="shared" si="1082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083"/>
        <v>41275</v>
      </c>
      <c r="D4795" s="4">
        <f t="shared" si="1084"/>
        <v>0.12328767123287671</v>
      </c>
      <c r="E4795" s="3">
        <f t="shared" si="1085"/>
        <v>2013</v>
      </c>
      <c r="F4795" s="3">
        <f t="shared" si="1086"/>
        <v>2</v>
      </c>
      <c r="G4795" s="3">
        <f t="shared" si="1087"/>
        <v>15</v>
      </c>
      <c r="H4795" s="3">
        <f t="shared" si="1088"/>
        <v>18</v>
      </c>
      <c r="I4795" s="3">
        <f t="shared" si="1089"/>
        <v>0</v>
      </c>
      <c r="J4795" s="3">
        <f t="shared" si="1090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091"/>
        <v>YES</v>
      </c>
      <c r="Q4795" t="str">
        <f t="shared" si="1092"/>
        <v>NO</v>
      </c>
      <c r="R4795" t="str">
        <f t="shared" si="1093"/>
        <v>NO</v>
      </c>
      <c r="T4795" t="s">
        <v>209</v>
      </c>
      <c r="U4795" t="str">
        <f t="shared" si="1080"/>
        <v>Binney St</v>
      </c>
      <c r="V4795" t="s">
        <v>379</v>
      </c>
      <c r="W4795" t="str">
        <f t="shared" si="1081"/>
        <v>Second St</v>
      </c>
      <c r="X4795" t="str">
        <f>IF(ISBLANK(S4795),"Intersection","Non-Intersection")</f>
        <v>Intersection</v>
      </c>
      <c r="Y4795" t="s">
        <v>3870</v>
      </c>
      <c r="Z4795" t="str">
        <f t="shared" si="1082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083"/>
        <v>41275</v>
      </c>
      <c r="D4796" s="4">
        <f t="shared" si="1084"/>
        <v>0.12602739726027398</v>
      </c>
      <c r="E4796" s="3">
        <f t="shared" si="1085"/>
        <v>2013</v>
      </c>
      <c r="F4796" s="3">
        <f t="shared" si="1086"/>
        <v>2</v>
      </c>
      <c r="G4796" s="3">
        <f t="shared" si="1087"/>
        <v>16</v>
      </c>
      <c r="H4796" s="3">
        <f t="shared" si="1088"/>
        <v>20</v>
      </c>
      <c r="I4796" s="3">
        <f t="shared" si="1089"/>
        <v>0</v>
      </c>
      <c r="J4796" s="3">
        <f t="shared" si="1090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091"/>
        <v>YES</v>
      </c>
      <c r="Q4796" t="str">
        <f t="shared" si="1092"/>
        <v>NO</v>
      </c>
      <c r="R4796" t="str">
        <f t="shared" si="1093"/>
        <v>NO</v>
      </c>
      <c r="T4796" t="s">
        <v>745</v>
      </c>
      <c r="U4796" t="str">
        <f t="shared" si="1080"/>
        <v>Norfolk St</v>
      </c>
      <c r="V4796" t="s">
        <v>14</v>
      </c>
      <c r="W4796" t="str">
        <f t="shared" si="1081"/>
        <v>Massachusetts Ave</v>
      </c>
      <c r="X4796" t="str">
        <f>IF(ISBLANK(S4796),"Intersection","Non-Intersection")</f>
        <v>Intersection</v>
      </c>
      <c r="Y4796" t="s">
        <v>5392</v>
      </c>
      <c r="Z4796" t="str">
        <f t="shared" si="1082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083"/>
        <v>41275</v>
      </c>
      <c r="D4797" s="4">
        <f t="shared" si="1084"/>
        <v>0.12602739726027398</v>
      </c>
      <c r="E4797" s="3">
        <f t="shared" si="1085"/>
        <v>2013</v>
      </c>
      <c r="F4797" s="3">
        <f t="shared" si="1086"/>
        <v>2</v>
      </c>
      <c r="G4797" s="3">
        <f t="shared" si="1087"/>
        <v>16</v>
      </c>
      <c r="H4797" s="3">
        <f t="shared" si="1088"/>
        <v>14</v>
      </c>
      <c r="I4797" s="3">
        <f t="shared" si="1089"/>
        <v>9</v>
      </c>
      <c r="J4797" s="3">
        <f t="shared" si="1090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091"/>
        <v>YES</v>
      </c>
      <c r="Q4797" t="str">
        <f t="shared" si="1092"/>
        <v>NO</v>
      </c>
      <c r="R4797" t="str">
        <f t="shared" si="1093"/>
        <v>NO</v>
      </c>
      <c r="S4797" t="s">
        <v>5394</v>
      </c>
      <c r="T4797" t="s">
        <v>14</v>
      </c>
      <c r="U4797" t="str">
        <f t="shared" si="1080"/>
        <v>Massachusetts Ave</v>
      </c>
      <c r="V4797" t="s">
        <v>170</v>
      </c>
      <c r="W4797" t="str">
        <f t="shared" si="1081"/>
        <v>Alewife Brook Pky</v>
      </c>
      <c r="X4797" t="str">
        <f>IF(ISBLANK(S4797),"Intersection","Non-Intersection")</f>
        <v>Non-Intersection</v>
      </c>
      <c r="Y4797" t="s">
        <v>5395</v>
      </c>
      <c r="Z4797" t="str">
        <f t="shared" si="1082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083"/>
        <v>41275</v>
      </c>
      <c r="D4798" s="4">
        <f t="shared" si="1084"/>
        <v>0.12602739726027398</v>
      </c>
      <c r="E4798" s="3">
        <f t="shared" si="1085"/>
        <v>2013</v>
      </c>
      <c r="F4798" s="3">
        <f t="shared" si="1086"/>
        <v>2</v>
      </c>
      <c r="G4798" s="3">
        <f t="shared" si="1087"/>
        <v>16</v>
      </c>
      <c r="H4798" s="3">
        <f t="shared" si="1088"/>
        <v>20</v>
      </c>
      <c r="I4798" s="3">
        <f t="shared" si="1089"/>
        <v>0</v>
      </c>
      <c r="J4798" s="3">
        <f t="shared" si="1090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091"/>
        <v>YES</v>
      </c>
      <c r="Q4798" t="str">
        <f t="shared" si="1092"/>
        <v>NO</v>
      </c>
      <c r="R4798" t="str">
        <f t="shared" si="1093"/>
        <v>NO</v>
      </c>
      <c r="S4798">
        <v>84</v>
      </c>
      <c r="T4798" t="s">
        <v>14</v>
      </c>
      <c r="U4798" t="str">
        <f t="shared" si="1080"/>
        <v>Massachusetts Ave</v>
      </c>
      <c r="W4798" t="str">
        <f t="shared" si="1081"/>
        <v/>
      </c>
      <c r="X4798" t="str">
        <f>IF(ISBLANK(S4798),"Intersection","Non-Intersection")</f>
        <v>Non-Intersection</v>
      </c>
      <c r="Y4798" t="s">
        <v>888</v>
      </c>
      <c r="Z4798" t="str">
        <f t="shared" si="1082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083"/>
        <v>41275</v>
      </c>
      <c r="D4799" s="4">
        <f t="shared" si="1084"/>
        <v>0.12876712328767123</v>
      </c>
      <c r="E4799" s="3">
        <f t="shared" si="1085"/>
        <v>2013</v>
      </c>
      <c r="F4799" s="3">
        <f t="shared" si="1086"/>
        <v>2</v>
      </c>
      <c r="G4799" s="3">
        <f t="shared" si="1087"/>
        <v>17</v>
      </c>
      <c r="H4799" s="3">
        <f t="shared" si="1088"/>
        <v>12</v>
      </c>
      <c r="I4799" s="3">
        <f t="shared" si="1089"/>
        <v>20</v>
      </c>
      <c r="J4799" s="3">
        <f t="shared" si="1090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091"/>
        <v>YES</v>
      </c>
      <c r="Q4799" t="str">
        <f t="shared" si="1092"/>
        <v>NO</v>
      </c>
      <c r="R4799" t="str">
        <f t="shared" si="1093"/>
        <v>NO</v>
      </c>
      <c r="T4799" t="s">
        <v>1307</v>
      </c>
      <c r="U4799" t="str">
        <f t="shared" si="1080"/>
        <v>Creighton St</v>
      </c>
      <c r="V4799" t="s">
        <v>14</v>
      </c>
      <c r="W4799" t="str">
        <f t="shared" si="1081"/>
        <v>Massachusetts Ave</v>
      </c>
      <c r="X4799" t="str">
        <f>IF(ISBLANK(S4799),"Intersection","Non-Intersection")</f>
        <v>Intersection</v>
      </c>
      <c r="Y4799" t="s">
        <v>5397</v>
      </c>
      <c r="Z4799" t="str">
        <f t="shared" si="1082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083"/>
        <v>41275</v>
      </c>
      <c r="D4800" s="4">
        <f t="shared" si="1084"/>
        <v>0.12876712328767123</v>
      </c>
      <c r="E4800" s="3">
        <f t="shared" si="1085"/>
        <v>2013</v>
      </c>
      <c r="F4800" s="3">
        <f t="shared" si="1086"/>
        <v>2</v>
      </c>
      <c r="G4800" s="3">
        <f t="shared" si="1087"/>
        <v>17</v>
      </c>
      <c r="H4800" s="3">
        <f t="shared" si="1088"/>
        <v>13</v>
      </c>
      <c r="I4800" s="3">
        <f t="shared" si="1089"/>
        <v>30</v>
      </c>
      <c r="J4800" s="3">
        <f t="shared" si="1090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091"/>
        <v>YES</v>
      </c>
      <c r="Q4800" t="str">
        <f t="shared" si="1092"/>
        <v>NO</v>
      </c>
      <c r="R4800" t="str">
        <f t="shared" si="1093"/>
        <v>NO</v>
      </c>
      <c r="S4800">
        <v>91</v>
      </c>
      <c r="T4800" t="s">
        <v>45</v>
      </c>
      <c r="U4800" t="str">
        <f t="shared" si="1080"/>
        <v>Sherman St</v>
      </c>
      <c r="W4800" t="str">
        <f t="shared" si="1081"/>
        <v/>
      </c>
      <c r="X4800" t="str">
        <f>IF(ISBLANK(S4800),"Intersection","Non-Intersection")</f>
        <v>Non-Intersection</v>
      </c>
      <c r="Y4800" t="s">
        <v>46</v>
      </c>
      <c r="Z4800" t="str">
        <f t="shared" si="1082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083"/>
        <v>41275</v>
      </c>
      <c r="D4801" s="4">
        <f t="shared" si="1084"/>
        <v>0.12876712328767123</v>
      </c>
      <c r="E4801" s="3">
        <f t="shared" si="1085"/>
        <v>2013</v>
      </c>
      <c r="F4801" s="3">
        <f t="shared" si="1086"/>
        <v>2</v>
      </c>
      <c r="G4801" s="3">
        <f t="shared" si="1087"/>
        <v>17</v>
      </c>
      <c r="H4801" s="3">
        <f t="shared" si="1088"/>
        <v>10</v>
      </c>
      <c r="I4801" s="3">
        <f t="shared" si="1089"/>
        <v>50</v>
      </c>
      <c r="J4801" s="3">
        <f t="shared" si="1090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091"/>
        <v>YES</v>
      </c>
      <c r="Q4801" t="str">
        <f t="shared" si="1092"/>
        <v>NO</v>
      </c>
      <c r="R4801" t="str">
        <f t="shared" si="1093"/>
        <v>NO</v>
      </c>
      <c r="S4801">
        <v>1280</v>
      </c>
      <c r="T4801" t="s">
        <v>19</v>
      </c>
      <c r="U4801" t="str">
        <f t="shared" si="1080"/>
        <v>Cambridge St</v>
      </c>
      <c r="W4801" t="str">
        <f t="shared" si="1081"/>
        <v/>
      </c>
      <c r="X4801" t="str">
        <f>IF(ISBLANK(S4801),"Intersection","Non-Intersection")</f>
        <v>Non-Intersection</v>
      </c>
      <c r="Y4801" t="s">
        <v>1472</v>
      </c>
      <c r="Z4801" t="str">
        <f t="shared" si="1082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083"/>
        <v>41275</v>
      </c>
      <c r="D4802" s="4">
        <f t="shared" si="1084"/>
        <v>0.12876712328767123</v>
      </c>
      <c r="E4802" s="3">
        <f t="shared" si="1085"/>
        <v>2013</v>
      </c>
      <c r="F4802" s="3">
        <f t="shared" si="1086"/>
        <v>2</v>
      </c>
      <c r="G4802" s="3">
        <f t="shared" si="1087"/>
        <v>17</v>
      </c>
      <c r="H4802" s="3">
        <f t="shared" si="1088"/>
        <v>18</v>
      </c>
      <c r="I4802" s="3">
        <f t="shared" si="1089"/>
        <v>42</v>
      </c>
      <c r="J4802" s="3">
        <f t="shared" si="1090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091"/>
        <v>YES</v>
      </c>
      <c r="Q4802" t="str">
        <f t="shared" si="1092"/>
        <v>NO</v>
      </c>
      <c r="R4802" t="str">
        <f t="shared" si="1093"/>
        <v>NO</v>
      </c>
      <c r="T4802" t="s">
        <v>105</v>
      </c>
      <c r="U4802" t="str">
        <f t="shared" si="1080"/>
        <v>Broadway</v>
      </c>
      <c r="V4802" t="s">
        <v>104</v>
      </c>
      <c r="W4802" t="str">
        <f t="shared" si="1081"/>
        <v>Inman St</v>
      </c>
      <c r="X4802" t="str">
        <f>IF(ISBLANK(S4802),"Intersection","Non-Intersection")</f>
        <v>Intersection</v>
      </c>
      <c r="Y4802" t="s">
        <v>2336</v>
      </c>
      <c r="Z4802" t="str">
        <f t="shared" si="1082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083"/>
        <v>41275</v>
      </c>
      <c r="D4803" s="4">
        <f t="shared" si="1084"/>
        <v>0.13150684931506848</v>
      </c>
      <c r="E4803" s="3">
        <f t="shared" si="1085"/>
        <v>2013</v>
      </c>
      <c r="F4803" s="3">
        <f t="shared" si="1086"/>
        <v>2</v>
      </c>
      <c r="G4803" s="3">
        <f t="shared" si="1087"/>
        <v>18</v>
      </c>
      <c r="H4803" s="3">
        <f t="shared" si="1088"/>
        <v>15</v>
      </c>
      <c r="I4803" s="3">
        <f t="shared" si="1089"/>
        <v>0</v>
      </c>
      <c r="J4803" s="3">
        <f t="shared" si="1090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091"/>
        <v>YES</v>
      </c>
      <c r="Q4803" t="str">
        <f t="shared" si="1092"/>
        <v>NO</v>
      </c>
      <c r="R4803" t="str">
        <f t="shared" si="1093"/>
        <v>NO</v>
      </c>
      <c r="S4803">
        <v>160</v>
      </c>
      <c r="T4803" t="s">
        <v>745</v>
      </c>
      <c r="U4803" t="str">
        <f t="shared" ref="U4803:U4866" si="1094">TRIM(PROPER(T4803))</f>
        <v>Norfolk St</v>
      </c>
      <c r="W4803" t="str">
        <f t="shared" ref="W4803:W4866" si="1095">TRIM(PROPER(V4803))</f>
        <v/>
      </c>
      <c r="X4803" t="str">
        <f>IF(ISBLANK(S4803),"Intersection","Non-Intersection")</f>
        <v>Non-Intersection</v>
      </c>
      <c r="Y4803" t="s">
        <v>5399</v>
      </c>
      <c r="Z4803" t="str">
        <f t="shared" ref="Z4803:Z4866" si="1096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083"/>
        <v>41275</v>
      </c>
      <c r="D4804" s="4">
        <f t="shared" si="1084"/>
        <v>0.13150684931506848</v>
      </c>
      <c r="E4804" s="3">
        <f t="shared" si="1085"/>
        <v>2013</v>
      </c>
      <c r="F4804" s="3">
        <f t="shared" si="1086"/>
        <v>2</v>
      </c>
      <c r="G4804" s="3">
        <f t="shared" si="1087"/>
        <v>18</v>
      </c>
      <c r="H4804" s="3">
        <f t="shared" si="1088"/>
        <v>16</v>
      </c>
      <c r="I4804" s="3">
        <f t="shared" si="1089"/>
        <v>19</v>
      </c>
      <c r="J4804" s="3">
        <f t="shared" si="1090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091"/>
        <v>YES</v>
      </c>
      <c r="Q4804" t="str">
        <f t="shared" si="1092"/>
        <v>NO</v>
      </c>
      <c r="R4804" t="str">
        <f t="shared" si="1093"/>
        <v>NO</v>
      </c>
      <c r="S4804">
        <v>222</v>
      </c>
      <c r="T4804" t="s">
        <v>5401</v>
      </c>
      <c r="U4804" t="str">
        <f t="shared" si="1094"/>
        <v>Elm Street North</v>
      </c>
      <c r="W4804" t="str">
        <f t="shared" si="1095"/>
        <v/>
      </c>
      <c r="X4804" t="str">
        <f>IF(ISBLANK(S4804),"Intersection","Non-Intersection")</f>
        <v>Non-Intersection</v>
      </c>
      <c r="Y4804" t="s">
        <v>5402</v>
      </c>
      <c r="Z4804" t="str">
        <f t="shared" si="1096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083"/>
        <v>41275</v>
      </c>
      <c r="D4805" s="4">
        <f t="shared" si="1084"/>
        <v>0.13150684931506848</v>
      </c>
      <c r="E4805" s="3">
        <f t="shared" si="1085"/>
        <v>2013</v>
      </c>
      <c r="F4805" s="3">
        <f t="shared" si="1086"/>
        <v>2</v>
      </c>
      <c r="G4805" s="3">
        <f t="shared" si="1087"/>
        <v>18</v>
      </c>
      <c r="H4805" s="3">
        <f t="shared" si="1088"/>
        <v>9</v>
      </c>
      <c r="I4805" s="3">
        <f t="shared" si="1089"/>
        <v>45</v>
      </c>
      <c r="J4805" s="3">
        <f t="shared" si="1090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091"/>
        <v>YES</v>
      </c>
      <c r="Q4805" t="str">
        <f t="shared" si="1092"/>
        <v>NO</v>
      </c>
      <c r="R4805" t="str">
        <f t="shared" si="1093"/>
        <v>NO</v>
      </c>
      <c r="S4805">
        <v>5</v>
      </c>
      <c r="T4805" t="s">
        <v>260</v>
      </c>
      <c r="U4805" t="str">
        <f t="shared" si="1094"/>
        <v>Third St</v>
      </c>
      <c r="W4805" t="str">
        <f t="shared" si="1095"/>
        <v/>
      </c>
      <c r="X4805" t="str">
        <f>IF(ISBLANK(S4805),"Intersection","Non-Intersection")</f>
        <v>Non-Intersection</v>
      </c>
      <c r="Y4805" t="s">
        <v>912</v>
      </c>
      <c r="Z4805" t="str">
        <f t="shared" si="1096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083"/>
        <v>41275</v>
      </c>
      <c r="D4806" s="4">
        <f t="shared" si="1084"/>
        <v>0.13150684931506848</v>
      </c>
      <c r="E4806" s="3">
        <f t="shared" si="1085"/>
        <v>2013</v>
      </c>
      <c r="F4806" s="3">
        <f t="shared" si="1086"/>
        <v>2</v>
      </c>
      <c r="G4806" s="3">
        <f t="shared" si="1087"/>
        <v>18</v>
      </c>
      <c r="H4806" s="3">
        <f t="shared" si="1088"/>
        <v>11</v>
      </c>
      <c r="I4806" s="3">
        <f t="shared" si="1089"/>
        <v>15</v>
      </c>
      <c r="J4806" s="3">
        <f t="shared" si="1090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091"/>
        <v>YES</v>
      </c>
      <c r="Q4806" t="str">
        <f t="shared" si="1092"/>
        <v>NO</v>
      </c>
      <c r="R4806" t="str">
        <f t="shared" si="1093"/>
        <v>NO</v>
      </c>
      <c r="T4806" t="s">
        <v>37</v>
      </c>
      <c r="U4806" t="str">
        <f t="shared" si="1094"/>
        <v>Magazine St</v>
      </c>
      <c r="V4806" t="s">
        <v>509</v>
      </c>
      <c r="W4806" t="str">
        <f t="shared" si="1095"/>
        <v>Green St</v>
      </c>
      <c r="X4806" t="str">
        <f>IF(ISBLANK(S4806),"Intersection","Non-Intersection")</f>
        <v>Intersection</v>
      </c>
      <c r="Y4806" t="s">
        <v>1607</v>
      </c>
      <c r="Z4806" t="str">
        <f t="shared" si="1096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083"/>
        <v>41275</v>
      </c>
      <c r="D4807" s="4">
        <f t="shared" si="1084"/>
        <v>0.13150684931506848</v>
      </c>
      <c r="E4807" s="3">
        <f t="shared" si="1085"/>
        <v>2013</v>
      </c>
      <c r="F4807" s="3">
        <f t="shared" si="1086"/>
        <v>2</v>
      </c>
      <c r="G4807" s="3">
        <f t="shared" si="1087"/>
        <v>18</v>
      </c>
      <c r="H4807" s="3">
        <f t="shared" si="1088"/>
        <v>11</v>
      </c>
      <c r="I4807" s="3">
        <f t="shared" si="1089"/>
        <v>29</v>
      </c>
      <c r="J4807" s="3">
        <f t="shared" si="1090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091"/>
        <v>YES</v>
      </c>
      <c r="Q4807" t="str">
        <f t="shared" si="1092"/>
        <v>NO</v>
      </c>
      <c r="R4807" t="str">
        <f t="shared" si="1093"/>
        <v>NO</v>
      </c>
      <c r="S4807">
        <v>88</v>
      </c>
      <c r="T4807" t="s">
        <v>28</v>
      </c>
      <c r="U4807" t="str">
        <f t="shared" si="1094"/>
        <v>Howard St</v>
      </c>
      <c r="W4807" t="str">
        <f t="shared" si="1095"/>
        <v/>
      </c>
      <c r="X4807" t="str">
        <f>IF(ISBLANK(S4807),"Intersection","Non-Intersection")</f>
        <v>Non-Intersection</v>
      </c>
      <c r="Y4807" t="s">
        <v>5404</v>
      </c>
      <c r="Z4807" t="str">
        <f t="shared" si="1096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083"/>
        <v>41275</v>
      </c>
      <c r="D4808" s="4">
        <f t="shared" si="1084"/>
        <v>0.13150684931506848</v>
      </c>
      <c r="E4808" s="3">
        <f t="shared" si="1085"/>
        <v>2013</v>
      </c>
      <c r="F4808" s="3">
        <f t="shared" si="1086"/>
        <v>2</v>
      </c>
      <c r="G4808" s="3">
        <f t="shared" si="1087"/>
        <v>18</v>
      </c>
      <c r="H4808" s="3">
        <f t="shared" si="1088"/>
        <v>15</v>
      </c>
      <c r="I4808" s="3">
        <f t="shared" si="1089"/>
        <v>17</v>
      </c>
      <c r="J4808" s="3">
        <f t="shared" si="1090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091"/>
        <v>YES</v>
      </c>
      <c r="Q4808" t="str">
        <f t="shared" si="1092"/>
        <v>NO</v>
      </c>
      <c r="R4808" t="str">
        <f t="shared" si="1093"/>
        <v>NO</v>
      </c>
      <c r="S4808">
        <v>55</v>
      </c>
      <c r="T4808" t="s">
        <v>2143</v>
      </c>
      <c r="U4808" t="str">
        <f t="shared" si="1094"/>
        <v>Cambridge Pky</v>
      </c>
      <c r="W4808" t="str">
        <f t="shared" si="1095"/>
        <v/>
      </c>
      <c r="X4808" t="str">
        <f>IF(ISBLANK(S4808),"Intersection","Non-Intersection")</f>
        <v>Non-Intersection</v>
      </c>
      <c r="Y4808" t="s">
        <v>5406</v>
      </c>
      <c r="Z4808" t="str">
        <f t="shared" si="1096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083"/>
        <v>41275</v>
      </c>
      <c r="D4809" s="4">
        <f t="shared" si="1084"/>
        <v>0.13424657534246576</v>
      </c>
      <c r="E4809" s="3">
        <f t="shared" si="1085"/>
        <v>2013</v>
      </c>
      <c r="F4809" s="3">
        <f t="shared" si="1086"/>
        <v>2</v>
      </c>
      <c r="G4809" s="3">
        <f t="shared" si="1087"/>
        <v>19</v>
      </c>
      <c r="H4809" s="3">
        <f t="shared" si="1088"/>
        <v>18</v>
      </c>
      <c r="I4809" s="3">
        <f t="shared" si="1089"/>
        <v>59</v>
      </c>
      <c r="J4809" s="3">
        <f t="shared" si="1090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091"/>
        <v>YES</v>
      </c>
      <c r="Q4809" t="str">
        <f t="shared" si="1092"/>
        <v>NO</v>
      </c>
      <c r="R4809" t="str">
        <f t="shared" si="1093"/>
        <v>NO</v>
      </c>
      <c r="T4809" t="s">
        <v>14</v>
      </c>
      <c r="U4809" t="str">
        <f t="shared" si="1094"/>
        <v>Massachusetts Ave</v>
      </c>
      <c r="V4809" t="s">
        <v>5408</v>
      </c>
      <c r="W4809" t="str">
        <f t="shared" si="1095"/>
        <v>Cottage Park Ave</v>
      </c>
      <c r="X4809" t="str">
        <f>IF(ISBLANK(S4809),"Intersection","Non-Intersection")</f>
        <v>Intersection</v>
      </c>
      <c r="Y4809" t="s">
        <v>5409</v>
      </c>
      <c r="Z4809" t="str">
        <f t="shared" si="1096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083"/>
        <v>41275</v>
      </c>
      <c r="D4810" s="4">
        <f t="shared" si="1084"/>
        <v>0.13424657534246576</v>
      </c>
      <c r="E4810" s="3">
        <f t="shared" si="1085"/>
        <v>2013</v>
      </c>
      <c r="F4810" s="3">
        <f t="shared" si="1086"/>
        <v>2</v>
      </c>
      <c r="G4810" s="3">
        <f t="shared" si="1087"/>
        <v>19</v>
      </c>
      <c r="H4810" s="3">
        <f t="shared" si="1088"/>
        <v>19</v>
      </c>
      <c r="I4810" s="3">
        <f t="shared" si="1089"/>
        <v>59</v>
      </c>
      <c r="J4810" s="3">
        <f t="shared" si="1090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091"/>
        <v>YES</v>
      </c>
      <c r="Q4810" t="str">
        <f t="shared" si="1092"/>
        <v>YES</v>
      </c>
      <c r="R4810" t="str">
        <f t="shared" si="1093"/>
        <v>NO</v>
      </c>
      <c r="T4810" t="s">
        <v>101</v>
      </c>
      <c r="U4810" t="str">
        <f t="shared" si="1094"/>
        <v>Columbia St</v>
      </c>
      <c r="V4810" t="s">
        <v>105</v>
      </c>
      <c r="W4810" t="str">
        <f t="shared" si="1095"/>
        <v>Broadway</v>
      </c>
      <c r="X4810" t="str">
        <f>IF(ISBLANK(S4810),"Intersection","Non-Intersection")</f>
        <v>Intersection</v>
      </c>
      <c r="Y4810" t="s">
        <v>2632</v>
      </c>
      <c r="Z4810" t="str">
        <f t="shared" si="1096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083"/>
        <v>41275</v>
      </c>
      <c r="D4811" s="4">
        <f t="shared" si="1084"/>
        <v>0.13424657534246576</v>
      </c>
      <c r="E4811" s="3">
        <f t="shared" si="1085"/>
        <v>2013</v>
      </c>
      <c r="F4811" s="3">
        <f t="shared" si="1086"/>
        <v>2</v>
      </c>
      <c r="G4811" s="3">
        <f t="shared" si="1087"/>
        <v>19</v>
      </c>
      <c r="H4811" s="3">
        <f t="shared" si="1088"/>
        <v>11</v>
      </c>
      <c r="I4811" s="3">
        <f t="shared" si="1089"/>
        <v>39</v>
      </c>
      <c r="J4811" s="3">
        <f t="shared" si="1090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091"/>
        <v>YES</v>
      </c>
      <c r="Q4811" t="str">
        <f t="shared" si="1092"/>
        <v>NO</v>
      </c>
      <c r="R4811" t="str">
        <f t="shared" si="1093"/>
        <v>NO</v>
      </c>
      <c r="S4811">
        <v>1637</v>
      </c>
      <c r="T4811" t="s">
        <v>2646</v>
      </c>
      <c r="U4811" t="str">
        <f t="shared" si="1094"/>
        <v>Massachusetts Ave Brdg</v>
      </c>
      <c r="W4811" t="str">
        <f t="shared" si="1095"/>
        <v/>
      </c>
      <c r="X4811" t="str">
        <f>IF(ISBLANK(S4811),"Intersection","Non-Intersection")</f>
        <v>Non-Intersection</v>
      </c>
      <c r="Y4811" t="s">
        <v>5411</v>
      </c>
      <c r="Z4811" t="str">
        <f t="shared" si="1096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083"/>
        <v>41275</v>
      </c>
      <c r="D4812" s="4">
        <f t="shared" si="1084"/>
        <v>0.13424657534246576</v>
      </c>
      <c r="E4812" s="3">
        <f t="shared" si="1085"/>
        <v>2013</v>
      </c>
      <c r="F4812" s="3">
        <f t="shared" si="1086"/>
        <v>2</v>
      </c>
      <c r="G4812" s="3">
        <f t="shared" si="1087"/>
        <v>19</v>
      </c>
      <c r="H4812" s="3">
        <f t="shared" si="1088"/>
        <v>9</v>
      </c>
      <c r="I4812" s="3">
        <f t="shared" si="1089"/>
        <v>59</v>
      </c>
      <c r="J4812" s="3">
        <f t="shared" si="1090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091"/>
        <v>YES</v>
      </c>
      <c r="Q4812" t="str">
        <f t="shared" si="1092"/>
        <v>NO</v>
      </c>
      <c r="R4812" t="str">
        <f t="shared" si="1093"/>
        <v>NO</v>
      </c>
      <c r="S4812">
        <v>96</v>
      </c>
      <c r="T4812" t="s">
        <v>387</v>
      </c>
      <c r="U4812" t="str">
        <f t="shared" si="1094"/>
        <v>Antrim St</v>
      </c>
      <c r="W4812" t="str">
        <f t="shared" si="1095"/>
        <v/>
      </c>
      <c r="X4812" t="str">
        <f>IF(ISBLANK(S4812),"Intersection","Non-Intersection")</f>
        <v>Non-Intersection</v>
      </c>
      <c r="Y4812" t="s">
        <v>5412</v>
      </c>
      <c r="Z4812" t="str">
        <f t="shared" si="1096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083"/>
        <v>41275</v>
      </c>
      <c r="D4813" s="4">
        <f t="shared" si="1084"/>
        <v>0.13698630136986301</v>
      </c>
      <c r="E4813" s="3">
        <f t="shared" si="1085"/>
        <v>2013</v>
      </c>
      <c r="F4813" s="3">
        <f t="shared" si="1086"/>
        <v>2</v>
      </c>
      <c r="G4813" s="3">
        <f t="shared" si="1087"/>
        <v>20</v>
      </c>
      <c r="H4813" s="3">
        <f t="shared" si="1088"/>
        <v>7</v>
      </c>
      <c r="I4813" s="3">
        <f t="shared" si="1089"/>
        <v>50</v>
      </c>
      <c r="J4813" s="3">
        <f t="shared" si="1090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091"/>
        <v>NO</v>
      </c>
      <c r="Q4813" t="str">
        <f t="shared" si="1092"/>
        <v>NO</v>
      </c>
      <c r="R4813" t="str">
        <f t="shared" si="1093"/>
        <v>NO</v>
      </c>
      <c r="T4813" t="s">
        <v>354</v>
      </c>
      <c r="U4813" t="str">
        <f t="shared" si="1094"/>
        <v>Linnaean St</v>
      </c>
      <c r="V4813" t="s">
        <v>145</v>
      </c>
      <c r="W4813" t="str">
        <f t="shared" si="1095"/>
        <v>Walker St</v>
      </c>
      <c r="X4813" t="str">
        <f>IF(ISBLANK(S4813),"Intersection","Non-Intersection")</f>
        <v>Intersection</v>
      </c>
      <c r="Y4813" t="s">
        <v>5414</v>
      </c>
      <c r="Z4813" t="str">
        <f t="shared" si="1096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083"/>
        <v>41275</v>
      </c>
      <c r="D4814" s="4">
        <f t="shared" si="1084"/>
        <v>0.13698630136986301</v>
      </c>
      <c r="E4814" s="3">
        <f t="shared" si="1085"/>
        <v>2013</v>
      </c>
      <c r="F4814" s="3">
        <f t="shared" si="1086"/>
        <v>2</v>
      </c>
      <c r="G4814" s="3">
        <f t="shared" si="1087"/>
        <v>20</v>
      </c>
      <c r="H4814" s="3">
        <f t="shared" si="1088"/>
        <v>9</v>
      </c>
      <c r="I4814" s="3">
        <f t="shared" si="1089"/>
        <v>59</v>
      </c>
      <c r="J4814" s="3">
        <f t="shared" si="1090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091"/>
        <v>YES</v>
      </c>
      <c r="Q4814" t="str">
        <f t="shared" si="1092"/>
        <v>NO</v>
      </c>
      <c r="R4814" t="str">
        <f t="shared" si="1093"/>
        <v>NO</v>
      </c>
      <c r="S4814">
        <v>84</v>
      </c>
      <c r="T4814" t="s">
        <v>178</v>
      </c>
      <c r="U4814" t="str">
        <f t="shared" si="1094"/>
        <v>Pleasant St</v>
      </c>
      <c r="W4814" t="str">
        <f t="shared" si="1095"/>
        <v/>
      </c>
      <c r="X4814" t="str">
        <f>IF(ISBLANK(S4814),"Intersection","Non-Intersection")</f>
        <v>Non-Intersection</v>
      </c>
      <c r="Y4814" t="s">
        <v>5416</v>
      </c>
      <c r="Z4814" t="str">
        <f t="shared" si="1096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083"/>
        <v>41275</v>
      </c>
      <c r="D4815" s="4">
        <f t="shared" si="1084"/>
        <v>0.13698630136986301</v>
      </c>
      <c r="E4815" s="3">
        <f t="shared" si="1085"/>
        <v>2013</v>
      </c>
      <c r="F4815" s="3">
        <f t="shared" si="1086"/>
        <v>2</v>
      </c>
      <c r="G4815" s="3">
        <f t="shared" si="1087"/>
        <v>20</v>
      </c>
      <c r="H4815" s="3">
        <f t="shared" si="1088"/>
        <v>16</v>
      </c>
      <c r="I4815" s="3">
        <f t="shared" si="1089"/>
        <v>48</v>
      </c>
      <c r="J4815" s="3">
        <f t="shared" si="1090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091"/>
        <v>YES</v>
      </c>
      <c r="Q4815" t="str">
        <f t="shared" si="1092"/>
        <v>NO</v>
      </c>
      <c r="R4815" t="str">
        <f t="shared" si="1093"/>
        <v>YES</v>
      </c>
      <c r="T4815" t="s">
        <v>105</v>
      </c>
      <c r="U4815" t="str">
        <f t="shared" si="1094"/>
        <v>Broadway</v>
      </c>
      <c r="V4815" t="s">
        <v>796</v>
      </c>
      <c r="W4815" t="str">
        <f t="shared" si="1095"/>
        <v>Portland St</v>
      </c>
      <c r="X4815" t="str">
        <f>IF(ISBLANK(S4815),"Intersection","Non-Intersection")</f>
        <v>Intersection</v>
      </c>
      <c r="Y4815" t="s">
        <v>2561</v>
      </c>
      <c r="Z4815" t="str">
        <f t="shared" si="1096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083"/>
        <v>41275</v>
      </c>
      <c r="D4816" s="4">
        <f t="shared" si="1084"/>
        <v>0.13698630136986301</v>
      </c>
      <c r="E4816" s="3">
        <f t="shared" si="1085"/>
        <v>2013</v>
      </c>
      <c r="F4816" s="3">
        <f t="shared" si="1086"/>
        <v>2</v>
      </c>
      <c r="G4816" s="3">
        <f t="shared" si="1087"/>
        <v>20</v>
      </c>
      <c r="H4816" s="3">
        <f t="shared" si="1088"/>
        <v>13</v>
      </c>
      <c r="I4816" s="3">
        <f t="shared" si="1089"/>
        <v>41</v>
      </c>
      <c r="J4816" s="3">
        <f t="shared" si="1090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091"/>
        <v>YES</v>
      </c>
      <c r="Q4816" t="str">
        <f t="shared" si="1092"/>
        <v>NO</v>
      </c>
      <c r="R4816" t="str">
        <f t="shared" si="1093"/>
        <v>NO</v>
      </c>
      <c r="S4816">
        <v>8</v>
      </c>
      <c r="T4816" t="s">
        <v>1226</v>
      </c>
      <c r="U4816" t="str">
        <f t="shared" si="1094"/>
        <v>Dana St</v>
      </c>
      <c r="W4816" t="str">
        <f t="shared" si="1095"/>
        <v/>
      </c>
      <c r="X4816" t="str">
        <f>IF(ISBLANK(S4816),"Intersection","Non-Intersection")</f>
        <v>Non-Intersection</v>
      </c>
      <c r="Y4816" t="s">
        <v>2703</v>
      </c>
      <c r="Z4816" t="str">
        <f t="shared" si="1096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083"/>
        <v>41275</v>
      </c>
      <c r="D4817" s="4">
        <f t="shared" si="1084"/>
        <v>0.13698630136986301</v>
      </c>
      <c r="E4817" s="3">
        <f t="shared" si="1085"/>
        <v>2013</v>
      </c>
      <c r="F4817" s="3">
        <f t="shared" si="1086"/>
        <v>2</v>
      </c>
      <c r="G4817" s="3">
        <f t="shared" si="1087"/>
        <v>20</v>
      </c>
      <c r="H4817" s="3">
        <f t="shared" si="1088"/>
        <v>15</v>
      </c>
      <c r="I4817" s="3">
        <f t="shared" si="1089"/>
        <v>55</v>
      </c>
      <c r="J4817" s="3">
        <f t="shared" si="1090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091"/>
        <v>YES</v>
      </c>
      <c r="Q4817" t="str">
        <f t="shared" si="1092"/>
        <v>NO</v>
      </c>
      <c r="R4817" t="str">
        <f t="shared" si="1093"/>
        <v>NO</v>
      </c>
      <c r="S4817">
        <v>240</v>
      </c>
      <c r="T4817" t="s">
        <v>195</v>
      </c>
      <c r="U4817" t="str">
        <f t="shared" si="1094"/>
        <v>Sidney St</v>
      </c>
      <c r="W4817" t="str">
        <f t="shared" si="1095"/>
        <v/>
      </c>
      <c r="X4817" t="str">
        <f>IF(ISBLANK(S4817),"Intersection","Non-Intersection")</f>
        <v>Non-Intersection</v>
      </c>
      <c r="Y4817" t="s">
        <v>2307</v>
      </c>
      <c r="Z4817" t="str">
        <f t="shared" si="1096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083"/>
        <v>41275</v>
      </c>
      <c r="D4818" s="4">
        <f t="shared" si="1084"/>
        <v>0.13698630136986301</v>
      </c>
      <c r="E4818" s="3">
        <f t="shared" si="1085"/>
        <v>2013</v>
      </c>
      <c r="F4818" s="3">
        <f t="shared" si="1086"/>
        <v>2</v>
      </c>
      <c r="G4818" s="3">
        <f t="shared" si="1087"/>
        <v>20</v>
      </c>
      <c r="H4818" s="3">
        <f t="shared" si="1088"/>
        <v>15</v>
      </c>
      <c r="I4818" s="3">
        <f t="shared" si="1089"/>
        <v>0</v>
      </c>
      <c r="J4818" s="3">
        <f t="shared" si="1090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091"/>
        <v>YES</v>
      </c>
      <c r="Q4818" t="str">
        <f t="shared" si="1092"/>
        <v>NO</v>
      </c>
      <c r="R4818" t="str">
        <f t="shared" si="1093"/>
        <v>NO</v>
      </c>
      <c r="T4818" t="s">
        <v>498</v>
      </c>
      <c r="U4818" t="str">
        <f t="shared" si="1094"/>
        <v>Ellery St</v>
      </c>
      <c r="V4818" t="s">
        <v>19</v>
      </c>
      <c r="W4818" t="str">
        <f t="shared" si="1095"/>
        <v>Cambridge St</v>
      </c>
      <c r="X4818" t="str">
        <f>IF(ISBLANK(S4818),"Intersection","Non-Intersection")</f>
        <v>Intersection</v>
      </c>
      <c r="Y4818" t="s">
        <v>5418</v>
      </c>
      <c r="Z4818" t="str">
        <f t="shared" si="1096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083"/>
        <v>41275</v>
      </c>
      <c r="D4819" s="4">
        <f t="shared" si="1084"/>
        <v>0.13972602739726028</v>
      </c>
      <c r="E4819" s="3">
        <f t="shared" si="1085"/>
        <v>2013</v>
      </c>
      <c r="F4819" s="3">
        <f t="shared" si="1086"/>
        <v>2</v>
      </c>
      <c r="G4819" s="3">
        <f t="shared" si="1087"/>
        <v>21</v>
      </c>
      <c r="H4819" s="3">
        <f t="shared" si="1088"/>
        <v>8</v>
      </c>
      <c r="I4819" s="3">
        <f t="shared" si="1089"/>
        <v>45</v>
      </c>
      <c r="J4819" s="3">
        <f t="shared" si="1090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091"/>
        <v>YES</v>
      </c>
      <c r="Q4819" t="str">
        <f t="shared" si="1092"/>
        <v>NO</v>
      </c>
      <c r="R4819" t="str">
        <f t="shared" si="1093"/>
        <v>NO</v>
      </c>
      <c r="S4819">
        <v>2032</v>
      </c>
      <c r="T4819" t="s">
        <v>14</v>
      </c>
      <c r="U4819" t="str">
        <f t="shared" si="1094"/>
        <v>Massachusetts Ave</v>
      </c>
      <c r="W4819" t="str">
        <f t="shared" si="1095"/>
        <v/>
      </c>
      <c r="X4819" t="str">
        <f>IF(ISBLANK(S4819),"Intersection","Non-Intersection")</f>
        <v>Non-Intersection</v>
      </c>
      <c r="Y4819" t="s">
        <v>4536</v>
      </c>
      <c r="Z4819" t="str">
        <f t="shared" si="1096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083"/>
        <v>41275</v>
      </c>
      <c r="D4820" s="4">
        <f t="shared" si="1084"/>
        <v>0.13972602739726028</v>
      </c>
      <c r="E4820" s="3">
        <f t="shared" si="1085"/>
        <v>2013</v>
      </c>
      <c r="F4820" s="3">
        <f t="shared" si="1086"/>
        <v>2</v>
      </c>
      <c r="G4820" s="3">
        <f t="shared" si="1087"/>
        <v>21</v>
      </c>
      <c r="H4820" s="3">
        <f t="shared" si="1088"/>
        <v>11</v>
      </c>
      <c r="I4820" s="3">
        <f t="shared" si="1089"/>
        <v>13</v>
      </c>
      <c r="J4820" s="3">
        <f t="shared" si="1090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091"/>
        <v>YES</v>
      </c>
      <c r="Q4820" t="str">
        <f t="shared" si="1092"/>
        <v>NO</v>
      </c>
      <c r="R4820" t="str">
        <f t="shared" si="1093"/>
        <v>NO</v>
      </c>
      <c r="T4820" t="s">
        <v>41</v>
      </c>
      <c r="U4820" t="str">
        <f t="shared" si="1094"/>
        <v>River St</v>
      </c>
      <c r="V4820" t="s">
        <v>108</v>
      </c>
      <c r="W4820" t="str">
        <f t="shared" si="1095"/>
        <v>Franklin St</v>
      </c>
      <c r="X4820" t="str">
        <f>IF(ISBLANK(S4820),"Intersection","Non-Intersection")</f>
        <v>Intersection</v>
      </c>
      <c r="Y4820" t="s">
        <v>427</v>
      </c>
      <c r="Z4820" t="str">
        <f t="shared" si="1096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083"/>
        <v>41275</v>
      </c>
      <c r="D4821" s="4">
        <f t="shared" si="1084"/>
        <v>0.13972602739726028</v>
      </c>
      <c r="E4821" s="3">
        <f t="shared" si="1085"/>
        <v>2013</v>
      </c>
      <c r="F4821" s="3">
        <f t="shared" si="1086"/>
        <v>2</v>
      </c>
      <c r="G4821" s="3">
        <f t="shared" si="1087"/>
        <v>21</v>
      </c>
      <c r="H4821" s="3">
        <f t="shared" si="1088"/>
        <v>10</v>
      </c>
      <c r="I4821" s="3">
        <f t="shared" si="1089"/>
        <v>30</v>
      </c>
      <c r="J4821" s="3">
        <f t="shared" si="1090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091"/>
        <v>YES</v>
      </c>
      <c r="Q4821" t="str">
        <f t="shared" si="1092"/>
        <v>NO</v>
      </c>
      <c r="R4821" t="str">
        <f t="shared" si="1093"/>
        <v>NO</v>
      </c>
      <c r="T4821" t="s">
        <v>456</v>
      </c>
      <c r="U4821" t="str">
        <f t="shared" si="1094"/>
        <v>Oxford St</v>
      </c>
      <c r="V4821" t="s">
        <v>914</v>
      </c>
      <c r="W4821" t="str">
        <f t="shared" si="1095"/>
        <v>Hammond St</v>
      </c>
      <c r="X4821" t="str">
        <f>IF(ISBLANK(S4821),"Intersection","Non-Intersection")</f>
        <v>Intersection</v>
      </c>
      <c r="Y4821" t="s">
        <v>5419</v>
      </c>
      <c r="Z4821" t="str">
        <f t="shared" si="1096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083"/>
        <v>41275</v>
      </c>
      <c r="D4822" s="4">
        <f t="shared" si="1084"/>
        <v>0.13972602739726028</v>
      </c>
      <c r="E4822" s="3">
        <f t="shared" si="1085"/>
        <v>2013</v>
      </c>
      <c r="F4822" s="3">
        <f t="shared" si="1086"/>
        <v>2</v>
      </c>
      <c r="G4822" s="3">
        <f t="shared" si="1087"/>
        <v>21</v>
      </c>
      <c r="H4822" s="3">
        <f t="shared" si="1088"/>
        <v>17</v>
      </c>
      <c r="I4822" s="3">
        <f t="shared" si="1089"/>
        <v>7</v>
      </c>
      <c r="J4822" s="3">
        <f t="shared" si="1090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091"/>
        <v>YES</v>
      </c>
      <c r="Q4822" t="str">
        <f t="shared" si="1092"/>
        <v>NO</v>
      </c>
      <c r="R4822" t="str">
        <f t="shared" si="1093"/>
        <v>YES</v>
      </c>
      <c r="T4822" t="s">
        <v>509</v>
      </c>
      <c r="U4822" t="str">
        <f t="shared" si="1094"/>
        <v>Green St</v>
      </c>
      <c r="V4822" t="s">
        <v>195</v>
      </c>
      <c r="W4822" t="str">
        <f t="shared" si="1095"/>
        <v>Sidney St</v>
      </c>
      <c r="X4822" t="str">
        <f>IF(ISBLANK(S4822),"Intersection","Non-Intersection")</f>
        <v>Intersection</v>
      </c>
      <c r="Y4822" t="s">
        <v>4311</v>
      </c>
      <c r="Z4822" t="str">
        <f t="shared" si="1096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083"/>
        <v>41275</v>
      </c>
      <c r="D4823" s="4">
        <f t="shared" si="1084"/>
        <v>0.13972602739726028</v>
      </c>
      <c r="E4823" s="3">
        <f t="shared" si="1085"/>
        <v>2013</v>
      </c>
      <c r="F4823" s="3">
        <f t="shared" si="1086"/>
        <v>2</v>
      </c>
      <c r="G4823" s="3">
        <f t="shared" si="1087"/>
        <v>21</v>
      </c>
      <c r="H4823" s="3">
        <f t="shared" si="1088"/>
        <v>12</v>
      </c>
      <c r="I4823" s="3">
        <f t="shared" si="1089"/>
        <v>30</v>
      </c>
      <c r="J4823" s="3">
        <f t="shared" si="1090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091"/>
        <v>YES</v>
      </c>
      <c r="Q4823" t="str">
        <f t="shared" si="1092"/>
        <v>NO</v>
      </c>
      <c r="R4823" t="str">
        <f t="shared" si="1093"/>
        <v>NO</v>
      </c>
      <c r="S4823">
        <v>64</v>
      </c>
      <c r="T4823" t="s">
        <v>675</v>
      </c>
      <c r="U4823" t="str">
        <f t="shared" si="1094"/>
        <v>Roseland St</v>
      </c>
      <c r="W4823" t="str">
        <f t="shared" si="1095"/>
        <v/>
      </c>
      <c r="X4823" t="str">
        <f>IF(ISBLANK(S4823),"Intersection","Non-Intersection")</f>
        <v>Non-Intersection</v>
      </c>
      <c r="Y4823" t="s">
        <v>5421</v>
      </c>
      <c r="Z4823" t="str">
        <f t="shared" si="1096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083"/>
        <v>41275</v>
      </c>
      <c r="D4824" s="4">
        <f t="shared" si="1084"/>
        <v>0.14246575342465753</v>
      </c>
      <c r="E4824" s="3">
        <f t="shared" si="1085"/>
        <v>2013</v>
      </c>
      <c r="F4824" s="3">
        <f t="shared" si="1086"/>
        <v>2</v>
      </c>
      <c r="G4824" s="3">
        <f t="shared" si="1087"/>
        <v>22</v>
      </c>
      <c r="H4824" s="3">
        <f t="shared" si="1088"/>
        <v>6</v>
      </c>
      <c r="I4824" s="3">
        <f t="shared" si="1089"/>
        <v>0</v>
      </c>
      <c r="J4824" s="3">
        <f t="shared" si="1090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091"/>
        <v>YES</v>
      </c>
      <c r="Q4824" t="str">
        <f t="shared" si="1092"/>
        <v>NO</v>
      </c>
      <c r="R4824" t="str">
        <f t="shared" si="1093"/>
        <v>NO</v>
      </c>
      <c r="S4824">
        <v>49</v>
      </c>
      <c r="T4824" t="s">
        <v>1510</v>
      </c>
      <c r="U4824" t="str">
        <f t="shared" si="1094"/>
        <v>Reservoir St</v>
      </c>
      <c r="W4824" t="str">
        <f t="shared" si="1095"/>
        <v/>
      </c>
      <c r="X4824" t="str">
        <f>IF(ISBLANK(S4824),"Intersection","Non-Intersection")</f>
        <v>Non-Intersection</v>
      </c>
      <c r="Y4824" t="s">
        <v>5423</v>
      </c>
      <c r="Z4824" t="str">
        <f t="shared" si="1096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083"/>
        <v>41275</v>
      </c>
      <c r="D4825" s="4">
        <f t="shared" si="1084"/>
        <v>0.14246575342465753</v>
      </c>
      <c r="E4825" s="3">
        <f t="shared" si="1085"/>
        <v>2013</v>
      </c>
      <c r="F4825" s="3">
        <f t="shared" si="1086"/>
        <v>2</v>
      </c>
      <c r="G4825" s="3">
        <f t="shared" si="1087"/>
        <v>22</v>
      </c>
      <c r="H4825" s="3">
        <f t="shared" si="1088"/>
        <v>8</v>
      </c>
      <c r="I4825" s="3">
        <f t="shared" si="1089"/>
        <v>19</v>
      </c>
      <c r="J4825" s="3">
        <f t="shared" si="1090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091"/>
        <v>YES</v>
      </c>
      <c r="Q4825" t="str">
        <f t="shared" si="1092"/>
        <v>NO</v>
      </c>
      <c r="R4825" t="str">
        <f t="shared" si="1093"/>
        <v>NO</v>
      </c>
      <c r="T4825" t="s">
        <v>14</v>
      </c>
      <c r="U4825" t="str">
        <f t="shared" si="1094"/>
        <v>Massachusetts Ave</v>
      </c>
      <c r="V4825" t="s">
        <v>101</v>
      </c>
      <c r="W4825" t="str">
        <f t="shared" si="1095"/>
        <v>Columbia St</v>
      </c>
      <c r="X4825" t="str">
        <f>IF(ISBLANK(S4825),"Intersection","Non-Intersection")</f>
        <v>Intersection</v>
      </c>
      <c r="Y4825" t="s">
        <v>1011</v>
      </c>
      <c r="Z4825" t="str">
        <f t="shared" si="1096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083"/>
        <v>41275</v>
      </c>
      <c r="D4826" s="4">
        <f t="shared" si="1084"/>
        <v>0.14246575342465753</v>
      </c>
      <c r="E4826" s="3">
        <f t="shared" si="1085"/>
        <v>2013</v>
      </c>
      <c r="F4826" s="3">
        <f t="shared" si="1086"/>
        <v>2</v>
      </c>
      <c r="G4826" s="3">
        <f t="shared" si="1087"/>
        <v>22</v>
      </c>
      <c r="H4826" s="3">
        <f t="shared" si="1088"/>
        <v>8</v>
      </c>
      <c r="I4826" s="3">
        <f t="shared" si="1089"/>
        <v>45</v>
      </c>
      <c r="J4826" s="3">
        <f t="shared" si="1090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091"/>
        <v>YES</v>
      </c>
      <c r="Q4826" t="str">
        <f t="shared" si="1092"/>
        <v>YES</v>
      </c>
      <c r="R4826" t="str">
        <f t="shared" si="1093"/>
        <v>NO</v>
      </c>
      <c r="T4826" t="s">
        <v>199</v>
      </c>
      <c r="U4826" t="str">
        <f t="shared" si="1094"/>
        <v>Brattle St</v>
      </c>
      <c r="V4826" t="s">
        <v>208</v>
      </c>
      <c r="W4826" t="str">
        <f t="shared" si="1095"/>
        <v>Sparks St</v>
      </c>
      <c r="X4826" t="str">
        <f>IF(ISBLANK(S4826),"Intersection","Non-Intersection")</f>
        <v>Intersection</v>
      </c>
      <c r="Y4826" t="s">
        <v>442</v>
      </c>
      <c r="Z4826" t="str">
        <f t="shared" si="1096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083"/>
        <v>41275</v>
      </c>
      <c r="D4827" s="4">
        <f t="shared" si="1084"/>
        <v>0.14246575342465753</v>
      </c>
      <c r="E4827" s="3">
        <f t="shared" si="1085"/>
        <v>2013</v>
      </c>
      <c r="F4827" s="3">
        <f t="shared" si="1086"/>
        <v>2</v>
      </c>
      <c r="G4827" s="3">
        <f t="shared" si="1087"/>
        <v>22</v>
      </c>
      <c r="H4827" s="3">
        <f t="shared" si="1088"/>
        <v>10</v>
      </c>
      <c r="I4827" s="3">
        <f t="shared" si="1089"/>
        <v>30</v>
      </c>
      <c r="J4827" s="3">
        <f t="shared" si="1090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091"/>
        <v>YES</v>
      </c>
      <c r="Q4827" t="str">
        <f t="shared" si="1092"/>
        <v>NO</v>
      </c>
      <c r="R4827" t="str">
        <f t="shared" si="1093"/>
        <v>NO</v>
      </c>
      <c r="T4827" t="s">
        <v>189</v>
      </c>
      <c r="U4827" t="str">
        <f t="shared" si="1094"/>
        <v>Windsor St</v>
      </c>
      <c r="W4827" t="str">
        <f t="shared" si="1095"/>
        <v/>
      </c>
      <c r="X4827" t="str">
        <f>IF(ISBLANK(S4827),"Intersection","Non-Intersection")</f>
        <v>Intersection</v>
      </c>
      <c r="Y4827" t="s">
        <v>1280</v>
      </c>
      <c r="Z4827" t="str">
        <f t="shared" si="1096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083"/>
        <v>41275</v>
      </c>
      <c r="D4828" s="4">
        <f t="shared" si="1084"/>
        <v>0.14246575342465753</v>
      </c>
      <c r="E4828" s="3">
        <f t="shared" si="1085"/>
        <v>2013</v>
      </c>
      <c r="F4828" s="3">
        <f t="shared" si="1086"/>
        <v>2</v>
      </c>
      <c r="G4828" s="3">
        <f t="shared" si="1087"/>
        <v>22</v>
      </c>
      <c r="H4828" s="3">
        <f t="shared" si="1088"/>
        <v>15</v>
      </c>
      <c r="I4828" s="3">
        <f t="shared" si="1089"/>
        <v>33</v>
      </c>
      <c r="J4828" s="3">
        <f t="shared" si="1090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091"/>
        <v>YES</v>
      </c>
      <c r="Q4828" t="str">
        <f t="shared" si="1092"/>
        <v>NO</v>
      </c>
      <c r="R4828" t="str">
        <f t="shared" si="1093"/>
        <v>NO</v>
      </c>
      <c r="T4828" t="s">
        <v>316</v>
      </c>
      <c r="U4828" t="str">
        <f t="shared" si="1094"/>
        <v>Bishop Allen Dr</v>
      </c>
      <c r="W4828" t="str">
        <f t="shared" si="1095"/>
        <v/>
      </c>
      <c r="X4828" t="str">
        <f>IF(ISBLANK(S4828),"Intersection","Non-Intersection")</f>
        <v>Intersection</v>
      </c>
      <c r="Y4828" t="s">
        <v>1374</v>
      </c>
      <c r="Z4828" t="str">
        <f t="shared" si="1096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083"/>
        <v>41275</v>
      </c>
      <c r="D4829" s="4">
        <f t="shared" si="1084"/>
        <v>0.14246575342465753</v>
      </c>
      <c r="E4829" s="3">
        <f t="shared" si="1085"/>
        <v>2013</v>
      </c>
      <c r="F4829" s="3">
        <f t="shared" si="1086"/>
        <v>2</v>
      </c>
      <c r="G4829" s="3">
        <f t="shared" si="1087"/>
        <v>22</v>
      </c>
      <c r="H4829" s="3">
        <f t="shared" si="1088"/>
        <v>19</v>
      </c>
      <c r="I4829" s="3">
        <f t="shared" si="1089"/>
        <v>43</v>
      </c>
      <c r="J4829" s="3">
        <f t="shared" si="1090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091"/>
        <v>YES</v>
      </c>
      <c r="Q4829" t="str">
        <f t="shared" si="1092"/>
        <v>NO</v>
      </c>
      <c r="R4829" t="str">
        <f t="shared" si="1093"/>
        <v>NO</v>
      </c>
      <c r="S4829">
        <v>1</v>
      </c>
      <c r="T4829" t="s">
        <v>105</v>
      </c>
      <c r="U4829" t="str">
        <f t="shared" si="1094"/>
        <v>Broadway</v>
      </c>
      <c r="W4829" t="str">
        <f t="shared" si="1095"/>
        <v/>
      </c>
      <c r="X4829" t="str">
        <f>IF(ISBLANK(S4829),"Intersection","Non-Intersection")</f>
        <v>Non-Intersection</v>
      </c>
      <c r="Y4829" t="s">
        <v>283</v>
      </c>
      <c r="Z4829" t="str">
        <f t="shared" si="1096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083"/>
        <v>41275</v>
      </c>
      <c r="D4830" s="4">
        <f t="shared" si="1084"/>
        <v>0.14520547945205478</v>
      </c>
      <c r="E4830" s="3">
        <f t="shared" si="1085"/>
        <v>2013</v>
      </c>
      <c r="F4830" s="3">
        <f t="shared" si="1086"/>
        <v>2</v>
      </c>
      <c r="G4830" s="3">
        <f t="shared" si="1087"/>
        <v>23</v>
      </c>
      <c r="H4830" s="3">
        <f t="shared" si="1088"/>
        <v>9</v>
      </c>
      <c r="I4830" s="3">
        <f t="shared" si="1089"/>
        <v>59</v>
      </c>
      <c r="J4830" s="3">
        <f t="shared" si="1090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091"/>
        <v>YES</v>
      </c>
      <c r="Q4830" t="str">
        <f t="shared" si="1092"/>
        <v>NO</v>
      </c>
      <c r="R4830" t="str">
        <f t="shared" si="1093"/>
        <v>NO</v>
      </c>
      <c r="T4830" t="s">
        <v>14</v>
      </c>
      <c r="U4830" t="str">
        <f t="shared" si="1094"/>
        <v>Massachusetts Ave</v>
      </c>
      <c r="V4830" t="s">
        <v>195</v>
      </c>
      <c r="W4830" t="str">
        <f t="shared" si="1095"/>
        <v>Sidney St</v>
      </c>
      <c r="X4830" t="str">
        <f>IF(ISBLANK(S4830),"Intersection","Non-Intersection")</f>
        <v>Intersection</v>
      </c>
      <c r="Y4830" t="s">
        <v>196</v>
      </c>
      <c r="Z4830" t="str">
        <f t="shared" si="1096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083"/>
        <v>41275</v>
      </c>
      <c r="D4831" s="4">
        <f t="shared" si="1084"/>
        <v>0.14520547945205478</v>
      </c>
      <c r="E4831" s="3">
        <f t="shared" si="1085"/>
        <v>2013</v>
      </c>
      <c r="F4831" s="3">
        <f t="shared" si="1086"/>
        <v>2</v>
      </c>
      <c r="G4831" s="3">
        <f t="shared" si="1087"/>
        <v>23</v>
      </c>
      <c r="H4831" s="3">
        <f t="shared" si="1088"/>
        <v>20</v>
      </c>
      <c r="I4831" s="3">
        <f t="shared" si="1089"/>
        <v>45</v>
      </c>
      <c r="J4831" s="3">
        <f t="shared" si="1090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091"/>
        <v>YES</v>
      </c>
      <c r="Q4831" t="str">
        <f t="shared" si="1092"/>
        <v>NO</v>
      </c>
      <c r="R4831" t="str">
        <f t="shared" si="1093"/>
        <v>NO</v>
      </c>
      <c r="S4831">
        <v>78</v>
      </c>
      <c r="T4831" t="s">
        <v>198</v>
      </c>
      <c r="U4831" t="str">
        <f t="shared" si="1094"/>
        <v>Mount Auburn St</v>
      </c>
      <c r="W4831" t="str">
        <f t="shared" si="1095"/>
        <v/>
      </c>
      <c r="X4831" t="str">
        <f>IF(ISBLANK(S4831),"Intersection","Non-Intersection")</f>
        <v>Non-Intersection</v>
      </c>
      <c r="Y4831" t="s">
        <v>357</v>
      </c>
      <c r="Z4831" t="str">
        <f t="shared" si="1096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083"/>
        <v>41275</v>
      </c>
      <c r="D4832" s="4">
        <f t="shared" si="1084"/>
        <v>0.14520547945205478</v>
      </c>
      <c r="E4832" s="3">
        <f t="shared" si="1085"/>
        <v>2013</v>
      </c>
      <c r="F4832" s="3">
        <f t="shared" si="1086"/>
        <v>2</v>
      </c>
      <c r="G4832" s="3">
        <f t="shared" si="1087"/>
        <v>23</v>
      </c>
      <c r="H4832" s="3">
        <f t="shared" si="1088"/>
        <v>5</v>
      </c>
      <c r="I4832" s="3">
        <f t="shared" si="1089"/>
        <v>10</v>
      </c>
      <c r="J4832" s="3">
        <f t="shared" si="1090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091"/>
        <v>YES</v>
      </c>
      <c r="Q4832" t="str">
        <f t="shared" si="1092"/>
        <v>NO</v>
      </c>
      <c r="R4832" t="str">
        <f t="shared" si="1093"/>
        <v>NO</v>
      </c>
      <c r="S4832">
        <v>173</v>
      </c>
      <c r="T4832" t="s">
        <v>556</v>
      </c>
      <c r="U4832" t="str">
        <f t="shared" si="1094"/>
        <v>Bent St</v>
      </c>
      <c r="W4832" t="str">
        <f t="shared" si="1095"/>
        <v/>
      </c>
      <c r="X4832" t="str">
        <f>IF(ISBLANK(S4832),"Intersection","Non-Intersection")</f>
        <v>Non-Intersection</v>
      </c>
      <c r="Y4832" t="s">
        <v>5425</v>
      </c>
      <c r="Z4832" t="str">
        <f t="shared" si="1096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083"/>
        <v>41275</v>
      </c>
      <c r="D4833" s="4">
        <f t="shared" si="1084"/>
        <v>0.14794520547945206</v>
      </c>
      <c r="E4833" s="3">
        <f t="shared" si="1085"/>
        <v>2013</v>
      </c>
      <c r="F4833" s="3">
        <f t="shared" si="1086"/>
        <v>2</v>
      </c>
      <c r="G4833" s="3">
        <f t="shared" si="1087"/>
        <v>24</v>
      </c>
      <c r="H4833" s="3">
        <f t="shared" si="1088"/>
        <v>23</v>
      </c>
      <c r="I4833" s="3">
        <f t="shared" si="1089"/>
        <v>48</v>
      </c>
      <c r="J4833" s="3">
        <f t="shared" si="1090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091"/>
        <v>YES</v>
      </c>
      <c r="Q4833" t="str">
        <f t="shared" si="1092"/>
        <v>NO</v>
      </c>
      <c r="R4833" t="str">
        <f t="shared" si="1093"/>
        <v>NO</v>
      </c>
      <c r="T4833" t="s">
        <v>27</v>
      </c>
      <c r="U4833" t="str">
        <f t="shared" si="1094"/>
        <v>Western Ave</v>
      </c>
      <c r="V4833" t="s">
        <v>42</v>
      </c>
      <c r="W4833" t="str">
        <f t="shared" si="1095"/>
        <v>Putnam Ave</v>
      </c>
      <c r="X4833" t="str">
        <f>IF(ISBLANK(S4833),"Intersection","Non-Intersection")</f>
        <v>Intersection</v>
      </c>
      <c r="Y4833" t="s">
        <v>1022</v>
      </c>
      <c r="Z4833" t="str">
        <f t="shared" si="1096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083"/>
        <v>41275</v>
      </c>
      <c r="D4834" s="4">
        <f t="shared" si="1084"/>
        <v>0.15068493150684931</v>
      </c>
      <c r="E4834" s="3">
        <f t="shared" si="1085"/>
        <v>2013</v>
      </c>
      <c r="F4834" s="3">
        <f t="shared" si="1086"/>
        <v>2</v>
      </c>
      <c r="G4834" s="3">
        <f t="shared" si="1087"/>
        <v>25</v>
      </c>
      <c r="H4834" s="3">
        <f t="shared" si="1088"/>
        <v>7</v>
      </c>
      <c r="I4834" s="3">
        <f t="shared" si="1089"/>
        <v>30</v>
      </c>
      <c r="J4834" s="3">
        <f t="shared" si="1090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091"/>
        <v>YES</v>
      </c>
      <c r="Q4834" t="str">
        <f t="shared" si="1092"/>
        <v>NO</v>
      </c>
      <c r="R4834" t="str">
        <f t="shared" si="1093"/>
        <v>NO</v>
      </c>
      <c r="S4834">
        <v>43</v>
      </c>
      <c r="T4834" t="s">
        <v>2038</v>
      </c>
      <c r="U4834" t="str">
        <f t="shared" si="1094"/>
        <v>May St</v>
      </c>
      <c r="W4834" t="str">
        <f t="shared" si="1095"/>
        <v/>
      </c>
      <c r="X4834" t="str">
        <f>IF(ISBLANK(S4834),"Intersection","Non-Intersection")</f>
        <v>Non-Intersection</v>
      </c>
      <c r="Y4834" t="s">
        <v>5427</v>
      </c>
      <c r="Z4834" t="str">
        <f t="shared" si="1096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083"/>
        <v>41275</v>
      </c>
      <c r="D4835" s="4">
        <f t="shared" si="1084"/>
        <v>0.15068493150684931</v>
      </c>
      <c r="E4835" s="3">
        <f t="shared" si="1085"/>
        <v>2013</v>
      </c>
      <c r="F4835" s="3">
        <f t="shared" si="1086"/>
        <v>2</v>
      </c>
      <c r="G4835" s="3">
        <f t="shared" si="1087"/>
        <v>25</v>
      </c>
      <c r="H4835" s="3">
        <f t="shared" si="1088"/>
        <v>0</v>
      </c>
      <c r="I4835" s="3">
        <f t="shared" si="1089"/>
        <v>1</v>
      </c>
      <c r="J4835" s="3">
        <f t="shared" si="1090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091"/>
        <v>YES</v>
      </c>
      <c r="Q4835" t="str">
        <f t="shared" si="1092"/>
        <v>NO</v>
      </c>
      <c r="R4835" t="str">
        <f t="shared" si="1093"/>
        <v>NO</v>
      </c>
      <c r="T4835" t="s">
        <v>14</v>
      </c>
      <c r="U4835" t="str">
        <f t="shared" si="1094"/>
        <v>Massachusetts Ave</v>
      </c>
      <c r="V4835" t="s">
        <v>2460</v>
      </c>
      <c r="W4835" t="str">
        <f t="shared" si="1095"/>
        <v>Langdon St</v>
      </c>
      <c r="X4835" t="str">
        <f>IF(ISBLANK(S4835),"Intersection","Non-Intersection")</f>
        <v>Intersection</v>
      </c>
      <c r="Y4835" t="s">
        <v>5429</v>
      </c>
      <c r="Z4835" t="str">
        <f t="shared" si="1096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083"/>
        <v>41275</v>
      </c>
      <c r="D4836" s="4">
        <f t="shared" si="1084"/>
        <v>0.15068493150684931</v>
      </c>
      <c r="E4836" s="3">
        <f t="shared" si="1085"/>
        <v>2013</v>
      </c>
      <c r="F4836" s="3">
        <f t="shared" si="1086"/>
        <v>2</v>
      </c>
      <c r="G4836" s="3">
        <f t="shared" si="1087"/>
        <v>25</v>
      </c>
      <c r="H4836" s="3">
        <f t="shared" si="1088"/>
        <v>6</v>
      </c>
      <c r="I4836" s="3">
        <f t="shared" si="1089"/>
        <v>45</v>
      </c>
      <c r="J4836" s="3">
        <f t="shared" si="1090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091"/>
        <v>YES</v>
      </c>
      <c r="Q4836" t="str">
        <f t="shared" si="1092"/>
        <v>NO</v>
      </c>
      <c r="R4836" t="str">
        <f t="shared" si="1093"/>
        <v>NO</v>
      </c>
      <c r="S4836">
        <v>6</v>
      </c>
      <c r="T4836" t="s">
        <v>2038</v>
      </c>
      <c r="U4836" t="str">
        <f t="shared" si="1094"/>
        <v>May St</v>
      </c>
      <c r="W4836" t="str">
        <f t="shared" si="1095"/>
        <v/>
      </c>
      <c r="X4836" t="str">
        <f>IF(ISBLANK(S4836),"Intersection","Non-Intersection")</f>
        <v>Non-Intersection</v>
      </c>
      <c r="Y4836" t="s">
        <v>5430</v>
      </c>
      <c r="Z4836" t="str">
        <f t="shared" si="1096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083"/>
        <v>41275</v>
      </c>
      <c r="D4837" s="4">
        <f t="shared" si="1084"/>
        <v>0.15068493150684931</v>
      </c>
      <c r="E4837" s="3">
        <f t="shared" si="1085"/>
        <v>2013</v>
      </c>
      <c r="F4837" s="3">
        <f t="shared" si="1086"/>
        <v>2</v>
      </c>
      <c r="G4837" s="3">
        <f t="shared" si="1087"/>
        <v>25</v>
      </c>
      <c r="H4837" s="3">
        <f t="shared" si="1088"/>
        <v>17</v>
      </c>
      <c r="I4837" s="3">
        <f t="shared" si="1089"/>
        <v>45</v>
      </c>
      <c r="J4837" s="3">
        <f t="shared" si="1090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091"/>
        <v>YES</v>
      </c>
      <c r="Q4837" t="str">
        <f t="shared" si="1092"/>
        <v>NO</v>
      </c>
      <c r="R4837" t="str">
        <f t="shared" si="1093"/>
        <v>NO</v>
      </c>
      <c r="T4837" t="s">
        <v>14</v>
      </c>
      <c r="U4837" t="str">
        <f t="shared" si="1094"/>
        <v>Massachusetts Ave</v>
      </c>
      <c r="V4837" t="s">
        <v>840</v>
      </c>
      <c r="W4837" t="str">
        <f t="shared" si="1095"/>
        <v>Church St</v>
      </c>
      <c r="X4837" t="str">
        <f>IF(ISBLANK(S4837),"Intersection","Non-Intersection")</f>
        <v>Intersection</v>
      </c>
      <c r="Y4837" t="s">
        <v>1264</v>
      </c>
      <c r="Z4837" t="str">
        <f t="shared" si="1096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083"/>
        <v>41275</v>
      </c>
      <c r="D4838" s="4">
        <f t="shared" si="1084"/>
        <v>0.15068493150684931</v>
      </c>
      <c r="E4838" s="3">
        <f t="shared" si="1085"/>
        <v>2013</v>
      </c>
      <c r="F4838" s="3">
        <f t="shared" si="1086"/>
        <v>2</v>
      </c>
      <c r="G4838" s="3">
        <f t="shared" si="1087"/>
        <v>25</v>
      </c>
      <c r="H4838" s="3">
        <f t="shared" si="1088"/>
        <v>15</v>
      </c>
      <c r="I4838" s="3">
        <f t="shared" si="1089"/>
        <v>33</v>
      </c>
      <c r="J4838" s="3">
        <f t="shared" si="1090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091"/>
        <v>YES</v>
      </c>
      <c r="Q4838" t="str">
        <f t="shared" si="1092"/>
        <v>NO</v>
      </c>
      <c r="R4838" t="str">
        <f t="shared" si="1093"/>
        <v>NO</v>
      </c>
      <c r="T4838" t="s">
        <v>587</v>
      </c>
      <c r="U4838" t="str">
        <f t="shared" si="1094"/>
        <v>Webster Ave</v>
      </c>
      <c r="V4838" t="s">
        <v>1053</v>
      </c>
      <c r="W4838" t="str">
        <f t="shared" si="1095"/>
        <v>Clark St</v>
      </c>
      <c r="X4838" t="str">
        <f>IF(ISBLANK(S4838),"Intersection","Non-Intersection")</f>
        <v>Intersection</v>
      </c>
      <c r="Y4838" t="s">
        <v>5432</v>
      </c>
      <c r="Z4838" t="str">
        <f t="shared" si="1096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083"/>
        <v>41275</v>
      </c>
      <c r="D4839" s="4">
        <f t="shared" si="1084"/>
        <v>0.15068493150684931</v>
      </c>
      <c r="E4839" s="3">
        <f t="shared" si="1085"/>
        <v>2013</v>
      </c>
      <c r="F4839" s="3">
        <f t="shared" si="1086"/>
        <v>2</v>
      </c>
      <c r="G4839" s="3">
        <f t="shared" si="1087"/>
        <v>25</v>
      </c>
      <c r="H4839" s="3">
        <f t="shared" si="1088"/>
        <v>12</v>
      </c>
      <c r="I4839" s="3">
        <f t="shared" si="1089"/>
        <v>59</v>
      </c>
      <c r="J4839" s="3">
        <f t="shared" si="1090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091"/>
        <v>YES</v>
      </c>
      <c r="Q4839" t="str">
        <f t="shared" si="1092"/>
        <v>YES</v>
      </c>
      <c r="R4839" t="str">
        <f t="shared" si="1093"/>
        <v>NO</v>
      </c>
      <c r="T4839" t="s">
        <v>238</v>
      </c>
      <c r="U4839" t="str">
        <f t="shared" si="1094"/>
        <v>Kirkland St</v>
      </c>
      <c r="V4839" t="s">
        <v>224</v>
      </c>
      <c r="W4839" t="str">
        <f t="shared" si="1095"/>
        <v>Sumner Rd</v>
      </c>
      <c r="X4839" t="str">
        <f>IF(ISBLANK(S4839),"Intersection","Non-Intersection")</f>
        <v>Intersection</v>
      </c>
      <c r="Y4839" t="s">
        <v>3905</v>
      </c>
      <c r="Z4839" t="str">
        <f t="shared" si="1096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083"/>
        <v>41275</v>
      </c>
      <c r="D4840" s="4">
        <f t="shared" si="1084"/>
        <v>0.15342465753424658</v>
      </c>
      <c r="E4840" s="3">
        <f t="shared" si="1085"/>
        <v>2013</v>
      </c>
      <c r="F4840" s="3">
        <f t="shared" si="1086"/>
        <v>2</v>
      </c>
      <c r="G4840" s="3">
        <f t="shared" si="1087"/>
        <v>26</v>
      </c>
      <c r="H4840" s="3">
        <f t="shared" si="1088"/>
        <v>10</v>
      </c>
      <c r="I4840" s="3">
        <f t="shared" si="1089"/>
        <v>30</v>
      </c>
      <c r="J4840" s="3">
        <f t="shared" si="1090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091"/>
        <v>YES</v>
      </c>
      <c r="Q4840" t="str">
        <f t="shared" si="1092"/>
        <v>NO</v>
      </c>
      <c r="R4840" t="str">
        <f t="shared" si="1093"/>
        <v>NO</v>
      </c>
      <c r="T4840" t="s">
        <v>268</v>
      </c>
      <c r="U4840" t="str">
        <f t="shared" si="1094"/>
        <v>White St</v>
      </c>
      <c r="V4840" t="s">
        <v>269</v>
      </c>
      <c r="W4840" t="str">
        <f t="shared" si="1095"/>
        <v>Porter Sq</v>
      </c>
      <c r="X4840" t="str">
        <f>IF(ISBLANK(S4840),"Intersection","Non-Intersection")</f>
        <v>Intersection</v>
      </c>
      <c r="Y4840" t="s">
        <v>4711</v>
      </c>
      <c r="Z4840" t="str">
        <f t="shared" si="1096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083"/>
        <v>41275</v>
      </c>
      <c r="D4841" s="4">
        <f t="shared" si="1084"/>
        <v>0.15342465753424658</v>
      </c>
      <c r="E4841" s="3">
        <f t="shared" si="1085"/>
        <v>2013</v>
      </c>
      <c r="F4841" s="3">
        <f t="shared" si="1086"/>
        <v>2</v>
      </c>
      <c r="G4841" s="3">
        <f t="shared" si="1087"/>
        <v>26</v>
      </c>
      <c r="H4841" s="3">
        <f t="shared" si="1088"/>
        <v>13</v>
      </c>
      <c r="I4841" s="3">
        <f t="shared" si="1089"/>
        <v>19</v>
      </c>
      <c r="J4841" s="3">
        <f t="shared" si="1090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091"/>
        <v>YES</v>
      </c>
      <c r="Q4841" t="str">
        <f t="shared" si="1092"/>
        <v>NO</v>
      </c>
      <c r="R4841" t="str">
        <f t="shared" si="1093"/>
        <v>YES</v>
      </c>
      <c r="T4841" t="s">
        <v>14</v>
      </c>
      <c r="U4841" t="str">
        <f t="shared" si="1094"/>
        <v>Massachusetts Ave</v>
      </c>
      <c r="V4841" t="s">
        <v>104</v>
      </c>
      <c r="W4841" t="str">
        <f t="shared" si="1095"/>
        <v>Inman St</v>
      </c>
      <c r="X4841" t="str">
        <f>IF(ISBLANK(S4841),"Intersection","Non-Intersection")</f>
        <v>Intersection</v>
      </c>
      <c r="Y4841" t="s">
        <v>1129</v>
      </c>
      <c r="Z4841" t="str">
        <f t="shared" si="1096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083"/>
        <v>41275</v>
      </c>
      <c r="D4842" s="4">
        <f t="shared" si="1084"/>
        <v>0.15342465753424658</v>
      </c>
      <c r="E4842" s="3">
        <f t="shared" si="1085"/>
        <v>2013</v>
      </c>
      <c r="F4842" s="3">
        <f t="shared" si="1086"/>
        <v>2</v>
      </c>
      <c r="G4842" s="3">
        <f t="shared" si="1087"/>
        <v>26</v>
      </c>
      <c r="H4842" s="3">
        <f t="shared" si="1088"/>
        <v>18</v>
      </c>
      <c r="I4842" s="3">
        <f t="shared" si="1089"/>
        <v>14</v>
      </c>
      <c r="J4842" s="3">
        <f t="shared" si="1090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091"/>
        <v>YES</v>
      </c>
      <c r="Q4842" t="str">
        <f t="shared" si="1092"/>
        <v>NO</v>
      </c>
      <c r="R4842" t="str">
        <f t="shared" si="1093"/>
        <v>NO</v>
      </c>
      <c r="T4842" t="s">
        <v>1438</v>
      </c>
      <c r="U4842" t="str">
        <f t="shared" si="1094"/>
        <v>Dunster St</v>
      </c>
      <c r="V4842" t="s">
        <v>198</v>
      </c>
      <c r="W4842" t="str">
        <f t="shared" si="1095"/>
        <v>Mount Auburn St</v>
      </c>
      <c r="X4842" t="str">
        <f>IF(ISBLANK(S4842),"Intersection","Non-Intersection")</f>
        <v>Intersection</v>
      </c>
      <c r="Y4842" t="s">
        <v>1786</v>
      </c>
      <c r="Z4842" t="str">
        <f t="shared" si="1096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097">EOMONTH(B4843,MONTH(B4843)*-1)+1</f>
        <v>41275</v>
      </c>
      <c r="D4843" s="4">
        <f t="shared" ref="D4843:D4905" si="1098">YEARFRAC(C4843,B4843,1)</f>
        <v>0.15342465753424658</v>
      </c>
      <c r="E4843" s="3">
        <f t="shared" ref="E4843:E4905" si="1099">YEAR(B4843)</f>
        <v>2013</v>
      </c>
      <c r="F4843" s="3">
        <f t="shared" ref="F4843:F4905" si="1100">MONTH(B4843)</f>
        <v>2</v>
      </c>
      <c r="G4843" s="3">
        <f t="shared" ref="G4843:G4905" si="1101">DAY(B4843)</f>
        <v>26</v>
      </c>
      <c r="H4843" s="3">
        <f t="shared" ref="H4843:H4905" si="1102">HOUR(B4843)</f>
        <v>11</v>
      </c>
      <c r="I4843" s="3">
        <f t="shared" ref="I4843:I4905" si="1103">MINUTE(B4843)</f>
        <v>58</v>
      </c>
      <c r="J4843" s="3">
        <f t="shared" ref="J4843:J4905" si="1104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05">IF(OR(N4843="Auto",O4843="Auto"),"YES",IF(OR(N4843="Taxi",O4843="Taxi"),"YES",IF(OR(N4843="Van",O4843="Van"),"YES",IF(OR(N4843="Truck",O4843="Truck"),"YES","NO"))))</f>
        <v>YES</v>
      </c>
      <c r="Q4843" t="str">
        <f t="shared" ref="Q4843:Q4905" si="1106">IF(OR(N4843="Bicycle",O4843="Bicycle"),"YES","NO")</f>
        <v>NO</v>
      </c>
      <c r="R4843" t="str">
        <f t="shared" ref="R4843:R4905" si="1107">IF(OR(N4843="Pedestrian",O4843="Pedestrian"),"YES","NO")</f>
        <v>NO</v>
      </c>
      <c r="T4843" t="s">
        <v>14</v>
      </c>
      <c r="U4843" t="str">
        <f t="shared" si="1094"/>
        <v>Massachusetts Ave</v>
      </c>
      <c r="V4843" t="s">
        <v>342</v>
      </c>
      <c r="W4843" t="str">
        <f t="shared" si="1095"/>
        <v>Prospect St</v>
      </c>
      <c r="X4843" t="str">
        <f>IF(ISBLANK(S4843),"Intersection","Non-Intersection")</f>
        <v>Intersection</v>
      </c>
      <c r="Y4843" t="s">
        <v>2590</v>
      </c>
      <c r="Z4843" t="str">
        <f t="shared" si="1096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097"/>
        <v>41275</v>
      </c>
      <c r="D4844" s="4">
        <f t="shared" si="1098"/>
        <v>0.15342465753424658</v>
      </c>
      <c r="E4844" s="3">
        <f t="shared" si="1099"/>
        <v>2013</v>
      </c>
      <c r="F4844" s="3">
        <f t="shared" si="1100"/>
        <v>2</v>
      </c>
      <c r="G4844" s="3">
        <f t="shared" si="1101"/>
        <v>26</v>
      </c>
      <c r="H4844" s="3">
        <f t="shared" si="1102"/>
        <v>17</v>
      </c>
      <c r="I4844" s="3">
        <f t="shared" si="1103"/>
        <v>19</v>
      </c>
      <c r="J4844" s="3">
        <f t="shared" si="1104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05"/>
        <v>NO</v>
      </c>
      <c r="Q4844" t="str">
        <f t="shared" si="1106"/>
        <v>NO</v>
      </c>
      <c r="R4844" t="str">
        <f t="shared" si="1107"/>
        <v>NO</v>
      </c>
      <c r="S4844">
        <v>1039</v>
      </c>
      <c r="T4844" t="s">
        <v>14</v>
      </c>
      <c r="U4844" t="str">
        <f t="shared" si="1094"/>
        <v>Massachusetts Ave</v>
      </c>
      <c r="W4844" t="str">
        <f t="shared" si="1095"/>
        <v/>
      </c>
      <c r="X4844" t="str">
        <f>IF(ISBLANK(S4844),"Intersection","Non-Intersection")</f>
        <v>Non-Intersection</v>
      </c>
      <c r="Y4844" t="s">
        <v>3649</v>
      </c>
      <c r="Z4844" t="str">
        <f t="shared" si="1096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097"/>
        <v>41275</v>
      </c>
      <c r="D4845" s="4">
        <f t="shared" si="1098"/>
        <v>0.15342465753424658</v>
      </c>
      <c r="E4845" s="3">
        <f t="shared" si="1099"/>
        <v>2013</v>
      </c>
      <c r="F4845" s="3">
        <f t="shared" si="1100"/>
        <v>2</v>
      </c>
      <c r="G4845" s="3">
        <f t="shared" si="1101"/>
        <v>26</v>
      </c>
      <c r="H4845" s="3">
        <f t="shared" si="1102"/>
        <v>6</v>
      </c>
      <c r="I4845" s="3">
        <f t="shared" si="1103"/>
        <v>0</v>
      </c>
      <c r="J4845" s="3">
        <f t="shared" si="1104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05"/>
        <v>YES</v>
      </c>
      <c r="Q4845" t="str">
        <f t="shared" si="1106"/>
        <v>NO</v>
      </c>
      <c r="R4845" t="str">
        <f t="shared" si="1107"/>
        <v>NO</v>
      </c>
      <c r="S4845">
        <v>402</v>
      </c>
      <c r="T4845" t="s">
        <v>15</v>
      </c>
      <c r="U4845" t="str">
        <f t="shared" si="1094"/>
        <v>Rindge Ave</v>
      </c>
      <c r="W4845" t="str">
        <f t="shared" si="1095"/>
        <v/>
      </c>
      <c r="X4845" t="str">
        <f>IF(ISBLANK(S4845),"Intersection","Non-Intersection")</f>
        <v>Non-Intersection</v>
      </c>
      <c r="Y4845" t="s">
        <v>1135</v>
      </c>
      <c r="Z4845" t="str">
        <f t="shared" si="1096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097"/>
        <v>41275</v>
      </c>
      <c r="D4846" s="4">
        <f t="shared" si="1098"/>
        <v>0.15616438356164383</v>
      </c>
      <c r="E4846" s="3">
        <f t="shared" si="1099"/>
        <v>2013</v>
      </c>
      <c r="F4846" s="3">
        <f t="shared" si="1100"/>
        <v>2</v>
      </c>
      <c r="G4846" s="3">
        <f t="shared" si="1101"/>
        <v>27</v>
      </c>
      <c r="H4846" s="3">
        <f t="shared" si="1102"/>
        <v>8</v>
      </c>
      <c r="I4846" s="3">
        <f t="shared" si="1103"/>
        <v>29</v>
      </c>
      <c r="J4846" s="3">
        <f t="shared" si="1104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05"/>
        <v>YES</v>
      </c>
      <c r="Q4846" t="str">
        <f t="shared" si="1106"/>
        <v>NO</v>
      </c>
      <c r="R4846" t="str">
        <f t="shared" si="1107"/>
        <v>NO</v>
      </c>
      <c r="T4846" t="s">
        <v>509</v>
      </c>
      <c r="U4846" t="str">
        <f t="shared" si="1094"/>
        <v>Green St</v>
      </c>
      <c r="V4846" t="s">
        <v>178</v>
      </c>
      <c r="W4846" t="str">
        <f t="shared" si="1095"/>
        <v>Pleasant St</v>
      </c>
      <c r="X4846" t="str">
        <f>IF(ISBLANK(S4846),"Intersection","Non-Intersection")</f>
        <v>Intersection</v>
      </c>
      <c r="Y4846" t="s">
        <v>2520</v>
      </c>
      <c r="Z4846" t="str">
        <f t="shared" si="1096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097"/>
        <v>41275</v>
      </c>
      <c r="D4847" s="4">
        <f t="shared" si="1098"/>
        <v>0.15616438356164383</v>
      </c>
      <c r="E4847" s="3">
        <f t="shared" si="1099"/>
        <v>2013</v>
      </c>
      <c r="F4847" s="3">
        <f t="shared" si="1100"/>
        <v>2</v>
      </c>
      <c r="G4847" s="3">
        <f t="shared" si="1101"/>
        <v>27</v>
      </c>
      <c r="H4847" s="3">
        <f t="shared" si="1102"/>
        <v>12</v>
      </c>
      <c r="I4847" s="3">
        <f t="shared" si="1103"/>
        <v>0</v>
      </c>
      <c r="J4847" s="3">
        <f t="shared" si="1104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05"/>
        <v>YES</v>
      </c>
      <c r="Q4847" t="str">
        <f t="shared" si="1106"/>
        <v>NO</v>
      </c>
      <c r="R4847" t="str">
        <f t="shared" si="1107"/>
        <v>NO</v>
      </c>
      <c r="S4847">
        <v>60</v>
      </c>
      <c r="T4847" t="s">
        <v>202</v>
      </c>
      <c r="U4847" t="str">
        <f t="shared" si="1094"/>
        <v>Vassar St</v>
      </c>
      <c r="W4847" t="str">
        <f t="shared" si="1095"/>
        <v/>
      </c>
      <c r="X4847" t="str">
        <f>IF(ISBLANK(S4847),"Intersection","Non-Intersection")</f>
        <v>Non-Intersection</v>
      </c>
      <c r="Y4847" t="s">
        <v>2510</v>
      </c>
      <c r="Z4847" t="str">
        <f t="shared" si="1096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097"/>
        <v>41275</v>
      </c>
      <c r="D4848" s="4">
        <f t="shared" si="1098"/>
        <v>0.15616438356164383</v>
      </c>
      <c r="E4848" s="3">
        <f t="shared" si="1099"/>
        <v>2013</v>
      </c>
      <c r="F4848" s="3">
        <f t="shared" si="1100"/>
        <v>2</v>
      </c>
      <c r="G4848" s="3">
        <f t="shared" si="1101"/>
        <v>27</v>
      </c>
      <c r="H4848" s="3">
        <f t="shared" si="1102"/>
        <v>18</v>
      </c>
      <c r="I4848" s="3">
        <f t="shared" si="1103"/>
        <v>0</v>
      </c>
      <c r="J4848" s="3">
        <f t="shared" si="1104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05"/>
        <v>YES</v>
      </c>
      <c r="Q4848" t="str">
        <f t="shared" si="1106"/>
        <v>NO</v>
      </c>
      <c r="R4848" t="str">
        <f t="shared" si="1107"/>
        <v>NO</v>
      </c>
      <c r="T4848" t="s">
        <v>19</v>
      </c>
      <c r="U4848" t="str">
        <f t="shared" si="1094"/>
        <v>Cambridge St</v>
      </c>
      <c r="V4848" t="s">
        <v>685</v>
      </c>
      <c r="W4848" t="str">
        <f t="shared" si="1095"/>
        <v>Warren St</v>
      </c>
      <c r="X4848" t="str">
        <f>IF(ISBLANK(S4848),"Intersection","Non-Intersection")</f>
        <v>Intersection</v>
      </c>
      <c r="Y4848" t="s">
        <v>1217</v>
      </c>
      <c r="Z4848" t="str">
        <f t="shared" si="1096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097"/>
        <v>41275</v>
      </c>
      <c r="D4849" s="4">
        <f t="shared" si="1098"/>
        <v>0.15616438356164383</v>
      </c>
      <c r="E4849" s="3">
        <f t="shared" si="1099"/>
        <v>2013</v>
      </c>
      <c r="F4849" s="3">
        <f t="shared" si="1100"/>
        <v>2</v>
      </c>
      <c r="G4849" s="3">
        <f t="shared" si="1101"/>
        <v>27</v>
      </c>
      <c r="H4849" s="3">
        <f t="shared" si="1102"/>
        <v>15</v>
      </c>
      <c r="I4849" s="3">
        <f t="shared" si="1103"/>
        <v>45</v>
      </c>
      <c r="J4849" s="3">
        <f t="shared" si="1104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05"/>
        <v>YES</v>
      </c>
      <c r="Q4849" t="str">
        <f t="shared" si="1106"/>
        <v>NO</v>
      </c>
      <c r="R4849" t="str">
        <f t="shared" si="1107"/>
        <v>NO</v>
      </c>
      <c r="S4849">
        <v>1815</v>
      </c>
      <c r="T4849" t="s">
        <v>14</v>
      </c>
      <c r="U4849" t="str">
        <f t="shared" si="1094"/>
        <v>Massachusetts Ave</v>
      </c>
      <c r="W4849" t="str">
        <f t="shared" si="1095"/>
        <v/>
      </c>
      <c r="X4849" t="str">
        <f>IF(ISBLANK(S4849),"Intersection","Non-Intersection")</f>
        <v>Non-Intersection</v>
      </c>
      <c r="Y4849" t="s">
        <v>2783</v>
      </c>
      <c r="Z4849" t="str">
        <f t="shared" si="1096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097"/>
        <v>41275</v>
      </c>
      <c r="D4850" s="4">
        <f t="shared" si="1098"/>
        <v>0.15616438356164383</v>
      </c>
      <c r="E4850" s="3">
        <f t="shared" si="1099"/>
        <v>2013</v>
      </c>
      <c r="F4850" s="3">
        <f t="shared" si="1100"/>
        <v>2</v>
      </c>
      <c r="G4850" s="3">
        <f t="shared" si="1101"/>
        <v>27</v>
      </c>
      <c r="H4850" s="3">
        <f t="shared" si="1102"/>
        <v>13</v>
      </c>
      <c r="I4850" s="3">
        <f t="shared" si="1103"/>
        <v>25</v>
      </c>
      <c r="J4850" s="3">
        <f t="shared" si="1104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05"/>
        <v>YES</v>
      </c>
      <c r="Q4850" t="str">
        <f t="shared" si="1106"/>
        <v>NO</v>
      </c>
      <c r="R4850" t="str">
        <f t="shared" si="1107"/>
        <v>NO</v>
      </c>
      <c r="S4850">
        <v>1050</v>
      </c>
      <c r="T4850" t="s">
        <v>198</v>
      </c>
      <c r="U4850" t="str">
        <f t="shared" si="1094"/>
        <v>Mount Auburn St</v>
      </c>
      <c r="W4850" t="str">
        <f t="shared" si="1095"/>
        <v/>
      </c>
      <c r="X4850" t="str">
        <f>IF(ISBLANK(S4850),"Intersection","Non-Intersection")</f>
        <v>Non-Intersection</v>
      </c>
      <c r="Y4850" t="s">
        <v>5433</v>
      </c>
      <c r="Z4850" t="str">
        <f t="shared" si="1096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097"/>
        <v>41275</v>
      </c>
      <c r="D4851" s="4">
        <f t="shared" si="1098"/>
        <v>0.15616438356164383</v>
      </c>
      <c r="E4851" s="3">
        <f t="shared" si="1099"/>
        <v>2013</v>
      </c>
      <c r="F4851" s="3">
        <f t="shared" si="1100"/>
        <v>2</v>
      </c>
      <c r="G4851" s="3">
        <f t="shared" si="1101"/>
        <v>27</v>
      </c>
      <c r="H4851" s="3">
        <f t="shared" si="1102"/>
        <v>18</v>
      </c>
      <c r="I4851" s="3">
        <f t="shared" si="1103"/>
        <v>45</v>
      </c>
      <c r="J4851" s="3">
        <f t="shared" si="1104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05"/>
        <v>YES</v>
      </c>
      <c r="Q4851" t="str">
        <f t="shared" si="1106"/>
        <v>NO</v>
      </c>
      <c r="R4851" t="str">
        <f t="shared" si="1107"/>
        <v>NO</v>
      </c>
      <c r="S4851">
        <v>155</v>
      </c>
      <c r="T4851" t="s">
        <v>453</v>
      </c>
      <c r="U4851" t="str">
        <f t="shared" si="1094"/>
        <v>Brookline St</v>
      </c>
      <c r="W4851" t="str">
        <f t="shared" si="1095"/>
        <v/>
      </c>
      <c r="X4851" t="str">
        <f>IF(ISBLANK(S4851),"Intersection","Non-Intersection")</f>
        <v>Non-Intersection</v>
      </c>
      <c r="Y4851" t="s">
        <v>5435</v>
      </c>
      <c r="Z4851" t="str">
        <f t="shared" si="1096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097"/>
        <v>41275</v>
      </c>
      <c r="D4852" s="4">
        <f t="shared" si="1098"/>
        <v>0.15616438356164383</v>
      </c>
      <c r="E4852" s="3">
        <f t="shared" si="1099"/>
        <v>2013</v>
      </c>
      <c r="F4852" s="3">
        <f t="shared" si="1100"/>
        <v>2</v>
      </c>
      <c r="G4852" s="3">
        <f t="shared" si="1101"/>
        <v>27</v>
      </c>
      <c r="H4852" s="3">
        <f t="shared" si="1102"/>
        <v>17</v>
      </c>
      <c r="I4852" s="3">
        <f t="shared" si="1103"/>
        <v>16</v>
      </c>
      <c r="J4852" s="3">
        <f t="shared" si="1104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05"/>
        <v>YES</v>
      </c>
      <c r="Q4852" t="str">
        <f t="shared" si="1106"/>
        <v>NO</v>
      </c>
      <c r="R4852" t="str">
        <f t="shared" si="1107"/>
        <v>NO</v>
      </c>
      <c r="S4852">
        <v>1682</v>
      </c>
      <c r="T4852" t="s">
        <v>14</v>
      </c>
      <c r="U4852" t="str">
        <f t="shared" si="1094"/>
        <v>Massachusetts Ave</v>
      </c>
      <c r="W4852" t="str">
        <f t="shared" si="1095"/>
        <v/>
      </c>
      <c r="X4852" t="str">
        <f>IF(ISBLANK(S4852),"Intersection","Non-Intersection")</f>
        <v>Non-Intersection</v>
      </c>
      <c r="Y4852" t="s">
        <v>5437</v>
      </c>
      <c r="Z4852" t="str">
        <f t="shared" si="1096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097"/>
        <v>41275</v>
      </c>
      <c r="D4853" s="4">
        <f t="shared" si="1098"/>
        <v>0.15616438356164383</v>
      </c>
      <c r="E4853" s="3">
        <f t="shared" si="1099"/>
        <v>2013</v>
      </c>
      <c r="F4853" s="3">
        <f t="shared" si="1100"/>
        <v>2</v>
      </c>
      <c r="G4853" s="3">
        <f t="shared" si="1101"/>
        <v>27</v>
      </c>
      <c r="H4853" s="3">
        <f t="shared" si="1102"/>
        <v>17</v>
      </c>
      <c r="I4853" s="3">
        <f t="shared" si="1103"/>
        <v>16</v>
      </c>
      <c r="J4853" s="3">
        <f t="shared" si="1104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05"/>
        <v>YES</v>
      </c>
      <c r="Q4853" t="str">
        <f t="shared" si="1106"/>
        <v>NO</v>
      </c>
      <c r="R4853" t="str">
        <f t="shared" si="1107"/>
        <v>NO</v>
      </c>
      <c r="S4853">
        <v>1658</v>
      </c>
      <c r="T4853" t="s">
        <v>14</v>
      </c>
      <c r="U4853" t="str">
        <f t="shared" si="1094"/>
        <v>Massachusetts Ave</v>
      </c>
      <c r="W4853" t="str">
        <f t="shared" si="1095"/>
        <v/>
      </c>
      <c r="X4853" t="str">
        <f>IF(ISBLANK(S4853),"Intersection","Non-Intersection")</f>
        <v>Non-Intersection</v>
      </c>
      <c r="Y4853" t="s">
        <v>5439</v>
      </c>
      <c r="Z4853" t="str">
        <f t="shared" si="1096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097"/>
        <v>41275</v>
      </c>
      <c r="D4854" s="4">
        <f t="shared" si="1098"/>
        <v>0.15890410958904111</v>
      </c>
      <c r="E4854" s="3">
        <f t="shared" si="1099"/>
        <v>2013</v>
      </c>
      <c r="F4854" s="3">
        <f t="shared" si="1100"/>
        <v>2</v>
      </c>
      <c r="G4854" s="3">
        <f t="shared" si="1101"/>
        <v>28</v>
      </c>
      <c r="H4854" s="3">
        <f t="shared" si="1102"/>
        <v>9</v>
      </c>
      <c r="I4854" s="3">
        <f t="shared" si="1103"/>
        <v>4</v>
      </c>
      <c r="J4854" s="3">
        <f t="shared" si="1104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05"/>
        <v>YES</v>
      </c>
      <c r="Q4854" t="str">
        <f t="shared" si="1106"/>
        <v>NO</v>
      </c>
      <c r="R4854" t="str">
        <f t="shared" si="1107"/>
        <v>NO</v>
      </c>
      <c r="S4854">
        <v>0</v>
      </c>
      <c r="T4854" t="s">
        <v>185</v>
      </c>
      <c r="U4854" t="str">
        <f t="shared" si="1094"/>
        <v>Garden St</v>
      </c>
      <c r="V4854" t="s">
        <v>449</v>
      </c>
      <c r="W4854" t="str">
        <f t="shared" si="1095"/>
        <v>Appian Way</v>
      </c>
      <c r="X4854" t="str">
        <f>IF(ISBLANK(S4854),"Intersection","Non-Intersection")</f>
        <v>Non-Intersection</v>
      </c>
      <c r="Y4854" t="s">
        <v>3901</v>
      </c>
      <c r="Z4854" t="str">
        <f t="shared" si="1096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097"/>
        <v>41275</v>
      </c>
      <c r="D4855" s="4">
        <f t="shared" si="1098"/>
        <v>0.15890410958904111</v>
      </c>
      <c r="E4855" s="3">
        <f t="shared" si="1099"/>
        <v>2013</v>
      </c>
      <c r="F4855" s="3">
        <f t="shared" si="1100"/>
        <v>2</v>
      </c>
      <c r="G4855" s="3">
        <f t="shared" si="1101"/>
        <v>28</v>
      </c>
      <c r="H4855" s="3">
        <f t="shared" si="1102"/>
        <v>11</v>
      </c>
      <c r="I4855" s="3">
        <f t="shared" si="1103"/>
        <v>0</v>
      </c>
      <c r="J4855" s="3">
        <f t="shared" si="1104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05"/>
        <v>YES</v>
      </c>
      <c r="Q4855" t="str">
        <f t="shared" si="1106"/>
        <v>NO</v>
      </c>
      <c r="R4855" t="str">
        <f t="shared" si="1107"/>
        <v>NO</v>
      </c>
      <c r="S4855">
        <v>27</v>
      </c>
      <c r="T4855" t="s">
        <v>253</v>
      </c>
      <c r="U4855" t="str">
        <f t="shared" si="1094"/>
        <v>Wood St</v>
      </c>
      <c r="W4855" t="str">
        <f t="shared" si="1095"/>
        <v/>
      </c>
      <c r="X4855" t="str">
        <f>IF(ISBLANK(S4855),"Intersection","Non-Intersection")</f>
        <v>Non-Intersection</v>
      </c>
      <c r="Y4855" t="s">
        <v>5440</v>
      </c>
      <c r="Z4855" t="str">
        <f t="shared" si="1096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097"/>
        <v>41275</v>
      </c>
      <c r="D4856" s="4">
        <f t="shared" si="1098"/>
        <v>0.15890410958904111</v>
      </c>
      <c r="E4856" s="3">
        <f t="shared" si="1099"/>
        <v>2013</v>
      </c>
      <c r="F4856" s="3">
        <f t="shared" si="1100"/>
        <v>2</v>
      </c>
      <c r="G4856" s="3">
        <f t="shared" si="1101"/>
        <v>28</v>
      </c>
      <c r="H4856" s="3">
        <f t="shared" si="1102"/>
        <v>13</v>
      </c>
      <c r="I4856" s="3">
        <f t="shared" si="1103"/>
        <v>15</v>
      </c>
      <c r="J4856" s="3">
        <f t="shared" si="1104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05"/>
        <v>YES</v>
      </c>
      <c r="Q4856" t="str">
        <f t="shared" si="1106"/>
        <v>NO</v>
      </c>
      <c r="R4856" t="str">
        <f t="shared" si="1107"/>
        <v>NO</v>
      </c>
      <c r="S4856">
        <v>189</v>
      </c>
      <c r="T4856" t="s">
        <v>19</v>
      </c>
      <c r="U4856" t="str">
        <f t="shared" si="1094"/>
        <v>Cambridge St</v>
      </c>
      <c r="W4856" t="str">
        <f t="shared" si="1095"/>
        <v/>
      </c>
      <c r="X4856" t="str">
        <f>IF(ISBLANK(S4856),"Intersection","Non-Intersection")</f>
        <v>Non-Intersection</v>
      </c>
      <c r="Y4856" t="s">
        <v>1942</v>
      </c>
      <c r="Z4856" t="str">
        <f t="shared" si="1096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097"/>
        <v>41275</v>
      </c>
      <c r="D4857" s="4">
        <f t="shared" si="1098"/>
        <v>0.15890410958904111</v>
      </c>
      <c r="E4857" s="3">
        <f t="shared" si="1099"/>
        <v>2013</v>
      </c>
      <c r="F4857" s="3">
        <f t="shared" si="1100"/>
        <v>2</v>
      </c>
      <c r="G4857" s="3">
        <f t="shared" si="1101"/>
        <v>28</v>
      </c>
      <c r="H4857" s="3">
        <f t="shared" si="1102"/>
        <v>19</v>
      </c>
      <c r="I4857" s="3">
        <f t="shared" si="1103"/>
        <v>3</v>
      </c>
      <c r="J4857" s="3">
        <f t="shared" si="1104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05"/>
        <v>YES</v>
      </c>
      <c r="Q4857" t="str">
        <f t="shared" si="1106"/>
        <v>NO</v>
      </c>
      <c r="R4857" t="str">
        <f t="shared" si="1107"/>
        <v>NO</v>
      </c>
      <c r="S4857">
        <v>9</v>
      </c>
      <c r="T4857" t="s">
        <v>634</v>
      </c>
      <c r="U4857" t="str">
        <f t="shared" si="1094"/>
        <v>Chauncy St</v>
      </c>
      <c r="W4857" t="str">
        <f t="shared" si="1095"/>
        <v/>
      </c>
      <c r="X4857" t="str">
        <f>IF(ISBLANK(S4857),"Intersection","Non-Intersection")</f>
        <v>Non-Intersection</v>
      </c>
      <c r="Y4857" t="s">
        <v>5442</v>
      </c>
      <c r="Z4857" t="str">
        <f t="shared" si="1096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097"/>
        <v>41275</v>
      </c>
      <c r="D4858" s="4">
        <f t="shared" si="1098"/>
        <v>0.15890410958904111</v>
      </c>
      <c r="E4858" s="3">
        <f t="shared" si="1099"/>
        <v>2013</v>
      </c>
      <c r="F4858" s="3">
        <f t="shared" si="1100"/>
        <v>2</v>
      </c>
      <c r="G4858" s="3">
        <f t="shared" si="1101"/>
        <v>28</v>
      </c>
      <c r="H4858" s="3">
        <f t="shared" si="1102"/>
        <v>16</v>
      </c>
      <c r="I4858" s="3">
        <f t="shared" si="1103"/>
        <v>44</v>
      </c>
      <c r="J4858" s="3">
        <f t="shared" si="1104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05"/>
        <v>YES</v>
      </c>
      <c r="Q4858" t="str">
        <f t="shared" si="1106"/>
        <v>NO</v>
      </c>
      <c r="R4858" t="str">
        <f t="shared" si="1107"/>
        <v>NO</v>
      </c>
      <c r="T4858" t="s">
        <v>186</v>
      </c>
      <c r="U4858" t="str">
        <f t="shared" si="1094"/>
        <v>Concord Ave</v>
      </c>
      <c r="V4858" t="s">
        <v>5444</v>
      </c>
      <c r="W4858" t="str">
        <f t="shared" si="1095"/>
        <v>Donnell St</v>
      </c>
      <c r="X4858" t="str">
        <f>IF(ISBLANK(S4858),"Intersection","Non-Intersection")</f>
        <v>Intersection</v>
      </c>
      <c r="Y4858" t="s">
        <v>5445</v>
      </c>
      <c r="Z4858" t="str">
        <f t="shared" si="1096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097"/>
        <v>41275</v>
      </c>
      <c r="D4859" s="4">
        <f t="shared" si="1098"/>
        <v>0.15890410958904111</v>
      </c>
      <c r="E4859" s="3">
        <f t="shared" si="1099"/>
        <v>2013</v>
      </c>
      <c r="F4859" s="3">
        <f t="shared" si="1100"/>
        <v>2</v>
      </c>
      <c r="G4859" s="3">
        <f t="shared" si="1101"/>
        <v>28</v>
      </c>
      <c r="H4859" s="3">
        <f t="shared" si="1102"/>
        <v>17</v>
      </c>
      <c r="I4859" s="3">
        <f t="shared" si="1103"/>
        <v>29</v>
      </c>
      <c r="J4859" s="3">
        <f t="shared" si="1104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05"/>
        <v>YES</v>
      </c>
      <c r="Q4859" t="str">
        <f t="shared" si="1106"/>
        <v>NO</v>
      </c>
      <c r="R4859" t="str">
        <f t="shared" si="1107"/>
        <v>NO</v>
      </c>
      <c r="S4859">
        <v>468</v>
      </c>
      <c r="T4859" t="s">
        <v>105</v>
      </c>
      <c r="U4859" t="str">
        <f t="shared" si="1094"/>
        <v>Broadway</v>
      </c>
      <c r="W4859" t="str">
        <f t="shared" si="1095"/>
        <v/>
      </c>
      <c r="X4859" t="str">
        <f>IF(ISBLANK(S4859),"Intersection","Non-Intersection")</f>
        <v>Non-Intersection</v>
      </c>
      <c r="Y4859" t="s">
        <v>3436</v>
      </c>
      <c r="Z4859" t="str">
        <f t="shared" si="1096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097"/>
        <v>41275</v>
      </c>
      <c r="D4860" s="4">
        <f t="shared" si="1098"/>
        <v>0.15890410958904111</v>
      </c>
      <c r="E4860" s="3">
        <f t="shared" si="1099"/>
        <v>2013</v>
      </c>
      <c r="F4860" s="3">
        <f t="shared" si="1100"/>
        <v>2</v>
      </c>
      <c r="G4860" s="3">
        <f t="shared" si="1101"/>
        <v>28</v>
      </c>
      <c r="H4860" s="3">
        <f t="shared" si="1102"/>
        <v>21</v>
      </c>
      <c r="I4860" s="3">
        <f t="shared" si="1103"/>
        <v>14</v>
      </c>
      <c r="J4860" s="3">
        <f t="shared" si="1104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05"/>
        <v>YES</v>
      </c>
      <c r="Q4860" t="str">
        <f t="shared" si="1106"/>
        <v>NO</v>
      </c>
      <c r="R4860" t="str">
        <f t="shared" si="1107"/>
        <v>NO</v>
      </c>
      <c r="S4860">
        <v>52</v>
      </c>
      <c r="T4860" t="s">
        <v>1520</v>
      </c>
      <c r="U4860" t="str">
        <f t="shared" si="1094"/>
        <v>Fayette St</v>
      </c>
      <c r="W4860" t="str">
        <f t="shared" si="1095"/>
        <v/>
      </c>
      <c r="X4860" t="str">
        <f>IF(ISBLANK(S4860),"Intersection","Non-Intersection")</f>
        <v>Non-Intersection</v>
      </c>
      <c r="Y4860" t="s">
        <v>5447</v>
      </c>
      <c r="Z4860" t="str">
        <f t="shared" si="1096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097"/>
        <v>41275</v>
      </c>
      <c r="D4861" s="4">
        <f t="shared" si="1098"/>
        <v>0.15890410958904111</v>
      </c>
      <c r="E4861" s="3">
        <f t="shared" si="1099"/>
        <v>2013</v>
      </c>
      <c r="F4861" s="3">
        <f t="shared" si="1100"/>
        <v>2</v>
      </c>
      <c r="G4861" s="3">
        <f t="shared" si="1101"/>
        <v>28</v>
      </c>
      <c r="H4861" s="3">
        <f t="shared" si="1102"/>
        <v>13</v>
      </c>
      <c r="I4861" s="3">
        <f t="shared" si="1103"/>
        <v>15</v>
      </c>
      <c r="J4861" s="3">
        <f t="shared" si="1104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05"/>
        <v>YES</v>
      </c>
      <c r="Q4861" t="str">
        <f t="shared" si="1106"/>
        <v>NO</v>
      </c>
      <c r="R4861" t="str">
        <f t="shared" si="1107"/>
        <v>NO</v>
      </c>
      <c r="S4861">
        <v>189</v>
      </c>
      <c r="T4861" t="s">
        <v>19</v>
      </c>
      <c r="U4861" t="str">
        <f t="shared" si="1094"/>
        <v>Cambridge St</v>
      </c>
      <c r="W4861" t="str">
        <f t="shared" si="1095"/>
        <v/>
      </c>
      <c r="X4861" t="str">
        <f>IF(ISBLANK(S4861),"Intersection","Non-Intersection")</f>
        <v>Non-Intersection</v>
      </c>
      <c r="Y4861" t="s">
        <v>1942</v>
      </c>
      <c r="Z4861" t="str">
        <f t="shared" si="1096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097"/>
        <v>41275</v>
      </c>
      <c r="D4862" s="4">
        <f t="shared" si="1098"/>
        <v>0.15890410958904111</v>
      </c>
      <c r="E4862" s="3">
        <f t="shared" si="1099"/>
        <v>2013</v>
      </c>
      <c r="F4862" s="3">
        <f t="shared" si="1100"/>
        <v>2</v>
      </c>
      <c r="G4862" s="3">
        <f t="shared" si="1101"/>
        <v>28</v>
      </c>
      <c r="H4862" s="3">
        <f t="shared" si="1102"/>
        <v>16</v>
      </c>
      <c r="I4862" s="3">
        <f t="shared" si="1103"/>
        <v>9</v>
      </c>
      <c r="J4862" s="3">
        <f t="shared" si="1104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05"/>
        <v>YES</v>
      </c>
      <c r="Q4862" t="str">
        <f t="shared" si="1106"/>
        <v>NO</v>
      </c>
      <c r="R4862" t="str">
        <f t="shared" si="1107"/>
        <v>NO</v>
      </c>
      <c r="S4862">
        <v>30</v>
      </c>
      <c r="T4862" t="s">
        <v>4061</v>
      </c>
      <c r="U4862" t="str">
        <f t="shared" si="1094"/>
        <v>Pilgrim St</v>
      </c>
      <c r="W4862" t="str">
        <f t="shared" si="1095"/>
        <v/>
      </c>
      <c r="X4862" t="str">
        <f>IF(ISBLANK(S4862),"Intersection","Non-Intersection")</f>
        <v>Non-Intersection</v>
      </c>
      <c r="Y4862" t="s">
        <v>5449</v>
      </c>
      <c r="Z4862" t="str">
        <f t="shared" si="1096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097"/>
        <v>41275</v>
      </c>
      <c r="D4863" s="4">
        <f t="shared" si="1098"/>
        <v>0.16164383561643836</v>
      </c>
      <c r="E4863" s="3">
        <f t="shared" si="1099"/>
        <v>2013</v>
      </c>
      <c r="F4863" s="3">
        <f t="shared" si="1100"/>
        <v>3</v>
      </c>
      <c r="G4863" s="3">
        <f t="shared" si="1101"/>
        <v>1</v>
      </c>
      <c r="H4863" s="3">
        <f t="shared" si="1102"/>
        <v>9</v>
      </c>
      <c r="I4863" s="3">
        <f t="shared" si="1103"/>
        <v>14</v>
      </c>
      <c r="J4863" s="3">
        <f t="shared" si="1104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05"/>
        <v>YES</v>
      </c>
      <c r="Q4863" t="str">
        <f t="shared" si="1106"/>
        <v>NO</v>
      </c>
      <c r="R4863" t="str">
        <f t="shared" si="1107"/>
        <v>NO</v>
      </c>
      <c r="T4863" t="s">
        <v>142</v>
      </c>
      <c r="U4863" t="str">
        <f t="shared" si="1094"/>
        <v>Huron Ave</v>
      </c>
      <c r="V4863" t="s">
        <v>980</v>
      </c>
      <c r="W4863" t="str">
        <f t="shared" si="1095"/>
        <v>Lexington Ave</v>
      </c>
      <c r="X4863" t="str">
        <f>IF(ISBLANK(S4863),"Intersection","Non-Intersection")</f>
        <v>Intersection</v>
      </c>
      <c r="Y4863" t="s">
        <v>5451</v>
      </c>
      <c r="Z4863" t="str">
        <f t="shared" si="1096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097"/>
        <v>41275</v>
      </c>
      <c r="D4864" s="4">
        <f t="shared" si="1098"/>
        <v>0.16164383561643836</v>
      </c>
      <c r="E4864" s="3">
        <f t="shared" si="1099"/>
        <v>2013</v>
      </c>
      <c r="F4864" s="3">
        <f t="shared" si="1100"/>
        <v>3</v>
      </c>
      <c r="G4864" s="3">
        <f t="shared" si="1101"/>
        <v>1</v>
      </c>
      <c r="H4864" s="3">
        <f t="shared" si="1102"/>
        <v>10</v>
      </c>
      <c r="I4864" s="3">
        <f t="shared" si="1103"/>
        <v>38</v>
      </c>
      <c r="J4864" s="3">
        <f t="shared" si="1104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05"/>
        <v>YES</v>
      </c>
      <c r="Q4864" t="str">
        <f t="shared" si="1106"/>
        <v>NO</v>
      </c>
      <c r="R4864" t="str">
        <f t="shared" si="1107"/>
        <v>NO</v>
      </c>
      <c r="S4864">
        <v>32</v>
      </c>
      <c r="T4864" t="s">
        <v>134</v>
      </c>
      <c r="U4864" t="str">
        <f t="shared" si="1094"/>
        <v>Quincy St</v>
      </c>
      <c r="W4864" t="str">
        <f t="shared" si="1095"/>
        <v/>
      </c>
      <c r="X4864" t="str">
        <f>IF(ISBLANK(S4864),"Intersection","Non-Intersection")</f>
        <v>Non-Intersection</v>
      </c>
      <c r="Y4864" t="s">
        <v>4633</v>
      </c>
      <c r="Z4864" t="str">
        <f t="shared" si="1096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097"/>
        <v>41275</v>
      </c>
      <c r="D4865" s="4">
        <f t="shared" si="1098"/>
        <v>0.16164383561643836</v>
      </c>
      <c r="E4865" s="3">
        <f t="shared" si="1099"/>
        <v>2013</v>
      </c>
      <c r="F4865" s="3">
        <f t="shared" si="1100"/>
        <v>3</v>
      </c>
      <c r="G4865" s="3">
        <f t="shared" si="1101"/>
        <v>1</v>
      </c>
      <c r="H4865" s="3">
        <f t="shared" si="1102"/>
        <v>23</v>
      </c>
      <c r="I4865" s="3">
        <f t="shared" si="1103"/>
        <v>0</v>
      </c>
      <c r="J4865" s="3">
        <f t="shared" si="1104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05"/>
        <v>YES</v>
      </c>
      <c r="Q4865" t="str">
        <f t="shared" si="1106"/>
        <v>NO</v>
      </c>
      <c r="R4865" t="str">
        <f t="shared" si="1107"/>
        <v>NO</v>
      </c>
      <c r="S4865">
        <v>2388</v>
      </c>
      <c r="T4865" t="s">
        <v>14</v>
      </c>
      <c r="U4865" t="str">
        <f t="shared" si="1094"/>
        <v>Massachusetts Ave</v>
      </c>
      <c r="W4865" t="str">
        <f t="shared" si="1095"/>
        <v/>
      </c>
      <c r="X4865" t="str">
        <f>IF(ISBLANK(S4865),"Intersection","Non-Intersection")</f>
        <v>Non-Intersection</v>
      </c>
      <c r="Y4865" t="s">
        <v>5453</v>
      </c>
      <c r="Z4865" t="str">
        <f t="shared" si="1096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097"/>
        <v>41275</v>
      </c>
      <c r="D4866" s="4">
        <f t="shared" si="1098"/>
        <v>0.16438356164383561</v>
      </c>
      <c r="E4866" s="3">
        <f t="shared" si="1099"/>
        <v>2013</v>
      </c>
      <c r="F4866" s="3">
        <f t="shared" si="1100"/>
        <v>3</v>
      </c>
      <c r="G4866" s="3">
        <f t="shared" si="1101"/>
        <v>2</v>
      </c>
      <c r="H4866" s="3">
        <f t="shared" si="1102"/>
        <v>13</v>
      </c>
      <c r="I4866" s="3">
        <f t="shared" si="1103"/>
        <v>41</v>
      </c>
      <c r="J4866" s="3">
        <f t="shared" si="1104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05"/>
        <v>YES</v>
      </c>
      <c r="Q4866" t="str">
        <f t="shared" si="1106"/>
        <v>NO</v>
      </c>
      <c r="R4866" t="str">
        <f t="shared" si="1107"/>
        <v>NO</v>
      </c>
      <c r="T4866" t="s">
        <v>42</v>
      </c>
      <c r="U4866" t="str">
        <f t="shared" si="1094"/>
        <v>Putnam Ave</v>
      </c>
      <c r="V4866" t="s">
        <v>861</v>
      </c>
      <c r="W4866" t="str">
        <f t="shared" si="1095"/>
        <v>Newton St</v>
      </c>
      <c r="X4866" t="str">
        <f>IF(ISBLANK(S4866),"Intersection","Non-Intersection")</f>
        <v>Intersection</v>
      </c>
      <c r="Y4866" t="s">
        <v>5455</v>
      </c>
      <c r="Z4866" t="str">
        <f t="shared" si="1096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097"/>
        <v>41275</v>
      </c>
      <c r="D4867" s="4">
        <f t="shared" si="1098"/>
        <v>0.16438356164383561</v>
      </c>
      <c r="E4867" s="3">
        <f t="shared" si="1099"/>
        <v>2013</v>
      </c>
      <c r="F4867" s="3">
        <f t="shared" si="1100"/>
        <v>3</v>
      </c>
      <c r="G4867" s="3">
        <f t="shared" si="1101"/>
        <v>2</v>
      </c>
      <c r="H4867" s="3">
        <f t="shared" si="1102"/>
        <v>9</v>
      </c>
      <c r="I4867" s="3">
        <f t="shared" si="1103"/>
        <v>0</v>
      </c>
      <c r="J4867" s="3">
        <f t="shared" si="1104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05"/>
        <v>YES</v>
      </c>
      <c r="Q4867" t="str">
        <f t="shared" si="1106"/>
        <v>NO</v>
      </c>
      <c r="R4867" t="str">
        <f t="shared" si="1107"/>
        <v>NO</v>
      </c>
      <c r="T4867" t="s">
        <v>75</v>
      </c>
      <c r="U4867" t="str">
        <f t="shared" ref="U4867:U4930" si="1108">TRIM(PROPER(T4867))</f>
        <v>Elm St</v>
      </c>
      <c r="W4867" t="str">
        <f t="shared" ref="W4867:W4930" si="1109">TRIM(PROPER(V4867))</f>
        <v/>
      </c>
      <c r="X4867" t="str">
        <f>IF(ISBLANK(S4867),"Intersection","Non-Intersection")</f>
        <v>Intersection</v>
      </c>
      <c r="Y4867" t="s">
        <v>4769</v>
      </c>
      <c r="Z4867" t="str">
        <f t="shared" ref="Z4867:Z4930" si="1110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097"/>
        <v>41275</v>
      </c>
      <c r="D4868" s="4">
        <f t="shared" si="1098"/>
        <v>0.16438356164383561</v>
      </c>
      <c r="E4868" s="3">
        <f t="shared" si="1099"/>
        <v>2013</v>
      </c>
      <c r="F4868" s="3">
        <f t="shared" si="1100"/>
        <v>3</v>
      </c>
      <c r="G4868" s="3">
        <f t="shared" si="1101"/>
        <v>2</v>
      </c>
      <c r="H4868" s="3">
        <f t="shared" si="1102"/>
        <v>6</v>
      </c>
      <c r="I4868" s="3">
        <f t="shared" si="1103"/>
        <v>49</v>
      </c>
      <c r="J4868" s="3">
        <f t="shared" si="1104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05"/>
        <v>YES</v>
      </c>
      <c r="Q4868" t="str">
        <f t="shared" si="1106"/>
        <v>NO</v>
      </c>
      <c r="R4868" t="str">
        <f t="shared" si="1107"/>
        <v>NO</v>
      </c>
      <c r="T4868" t="s">
        <v>14</v>
      </c>
      <c r="U4868" t="str">
        <f t="shared" si="1108"/>
        <v>Massachusetts Ave</v>
      </c>
      <c r="V4868" t="s">
        <v>1371</v>
      </c>
      <c r="W4868" t="str">
        <f t="shared" si="1109"/>
        <v>Front St</v>
      </c>
      <c r="X4868" t="str">
        <f>IF(ISBLANK(S4868),"Intersection","Non-Intersection")</f>
        <v>Intersection</v>
      </c>
      <c r="Y4868" t="s">
        <v>5457</v>
      </c>
      <c r="Z4868" t="str">
        <f t="shared" si="1110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097"/>
        <v>41275</v>
      </c>
      <c r="D4869" s="4">
        <f t="shared" si="1098"/>
        <v>0.16712328767123288</v>
      </c>
      <c r="E4869" s="3">
        <f t="shared" si="1099"/>
        <v>2013</v>
      </c>
      <c r="F4869" s="3">
        <f t="shared" si="1100"/>
        <v>3</v>
      </c>
      <c r="G4869" s="3">
        <f t="shared" si="1101"/>
        <v>3</v>
      </c>
      <c r="H4869" s="3">
        <f t="shared" si="1102"/>
        <v>18</v>
      </c>
      <c r="I4869" s="3">
        <f t="shared" si="1103"/>
        <v>37</v>
      </c>
      <c r="J4869" s="3">
        <f t="shared" si="1104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05"/>
        <v>YES</v>
      </c>
      <c r="Q4869" t="str">
        <f t="shared" si="1106"/>
        <v>NO</v>
      </c>
      <c r="R4869" t="str">
        <f t="shared" si="1107"/>
        <v>NO</v>
      </c>
      <c r="T4869" t="s">
        <v>509</v>
      </c>
      <c r="U4869" t="str">
        <f t="shared" si="1108"/>
        <v>Green St</v>
      </c>
      <c r="V4869" t="s">
        <v>178</v>
      </c>
      <c r="W4869" t="str">
        <f t="shared" si="1109"/>
        <v>Pleasant St</v>
      </c>
      <c r="X4869" t="str">
        <f>IF(ISBLANK(S4869),"Intersection","Non-Intersection")</f>
        <v>Intersection</v>
      </c>
      <c r="Y4869" t="s">
        <v>2520</v>
      </c>
      <c r="Z4869" t="str">
        <f t="shared" si="1110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097"/>
        <v>41275</v>
      </c>
      <c r="D4870" s="4">
        <f t="shared" si="1098"/>
        <v>0.16986301369863013</v>
      </c>
      <c r="E4870" s="3">
        <f t="shared" si="1099"/>
        <v>2013</v>
      </c>
      <c r="F4870" s="3">
        <f t="shared" si="1100"/>
        <v>3</v>
      </c>
      <c r="G4870" s="3">
        <f t="shared" si="1101"/>
        <v>4</v>
      </c>
      <c r="H4870" s="3">
        <f t="shared" si="1102"/>
        <v>9</v>
      </c>
      <c r="I4870" s="3">
        <f t="shared" si="1103"/>
        <v>49</v>
      </c>
      <c r="J4870" s="3">
        <f t="shared" si="1104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05"/>
        <v>YES</v>
      </c>
      <c r="Q4870" t="str">
        <f t="shared" si="1106"/>
        <v>NO</v>
      </c>
      <c r="R4870" t="str">
        <f t="shared" si="1107"/>
        <v>NO</v>
      </c>
      <c r="S4870">
        <v>77</v>
      </c>
      <c r="T4870" t="s">
        <v>14</v>
      </c>
      <c r="U4870" t="str">
        <f t="shared" si="1108"/>
        <v>Massachusetts Ave</v>
      </c>
      <c r="W4870" t="str">
        <f t="shared" si="1109"/>
        <v/>
      </c>
      <c r="X4870" t="str">
        <f>IF(ISBLANK(S4870),"Intersection","Non-Intersection")</f>
        <v>Non-Intersection</v>
      </c>
      <c r="Y4870" t="s">
        <v>415</v>
      </c>
      <c r="Z4870" t="str">
        <f t="shared" si="1110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097"/>
        <v>41275</v>
      </c>
      <c r="D4871" s="4">
        <f t="shared" si="1098"/>
        <v>0.16986301369863013</v>
      </c>
      <c r="E4871" s="3">
        <f t="shared" si="1099"/>
        <v>2013</v>
      </c>
      <c r="F4871" s="3">
        <f t="shared" si="1100"/>
        <v>3</v>
      </c>
      <c r="G4871" s="3">
        <f t="shared" si="1101"/>
        <v>4</v>
      </c>
      <c r="H4871" s="3">
        <f t="shared" si="1102"/>
        <v>13</v>
      </c>
      <c r="I4871" s="3">
        <f t="shared" si="1103"/>
        <v>15</v>
      </c>
      <c r="J4871" s="3">
        <f t="shared" si="1104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05"/>
        <v>YES</v>
      </c>
      <c r="Q4871" t="str">
        <f t="shared" si="1106"/>
        <v>NO</v>
      </c>
      <c r="R4871" t="str">
        <f t="shared" si="1107"/>
        <v>NO</v>
      </c>
      <c r="S4871">
        <v>725</v>
      </c>
      <c r="T4871" t="s">
        <v>186</v>
      </c>
      <c r="U4871" t="str">
        <f t="shared" si="1108"/>
        <v>Concord Ave</v>
      </c>
      <c r="W4871" t="str">
        <f t="shared" si="1109"/>
        <v/>
      </c>
      <c r="X4871" t="str">
        <f>IF(ISBLANK(S4871),"Intersection","Non-Intersection")</f>
        <v>Non-Intersection</v>
      </c>
      <c r="Y4871" t="s">
        <v>617</v>
      </c>
      <c r="Z4871" t="str">
        <f t="shared" si="1110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097"/>
        <v>41275</v>
      </c>
      <c r="D4872" s="4">
        <f t="shared" si="1098"/>
        <v>0.16986301369863013</v>
      </c>
      <c r="E4872" s="3">
        <f t="shared" si="1099"/>
        <v>2013</v>
      </c>
      <c r="F4872" s="3">
        <f t="shared" si="1100"/>
        <v>3</v>
      </c>
      <c r="G4872" s="3">
        <f t="shared" si="1101"/>
        <v>4</v>
      </c>
      <c r="H4872" s="3">
        <f t="shared" si="1102"/>
        <v>19</v>
      </c>
      <c r="I4872" s="3">
        <f t="shared" si="1103"/>
        <v>48</v>
      </c>
      <c r="J4872" s="3">
        <f t="shared" si="1104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05"/>
        <v>YES</v>
      </c>
      <c r="Q4872" t="str">
        <f t="shared" si="1106"/>
        <v>NO</v>
      </c>
      <c r="R4872" t="str">
        <f t="shared" si="1107"/>
        <v>NO</v>
      </c>
      <c r="S4872" t="s">
        <v>5459</v>
      </c>
      <c r="T4872" t="s">
        <v>198</v>
      </c>
      <c r="U4872" t="str">
        <f t="shared" si="1108"/>
        <v>Mount Auburn St</v>
      </c>
      <c r="W4872" t="str">
        <f t="shared" si="1109"/>
        <v/>
      </c>
      <c r="X4872" t="str">
        <f>IF(ISBLANK(S4872),"Intersection","Non-Intersection")</f>
        <v>Non-Intersection</v>
      </c>
      <c r="Y4872" t="s">
        <v>5460</v>
      </c>
      <c r="Z4872" t="str">
        <f t="shared" si="1110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097"/>
        <v>41275</v>
      </c>
      <c r="D4873" s="4">
        <f t="shared" si="1098"/>
        <v>0.17260273972602741</v>
      </c>
      <c r="E4873" s="3">
        <f t="shared" si="1099"/>
        <v>2013</v>
      </c>
      <c r="F4873" s="3">
        <f t="shared" si="1100"/>
        <v>3</v>
      </c>
      <c r="G4873" s="3">
        <f t="shared" si="1101"/>
        <v>5</v>
      </c>
      <c r="H4873" s="3">
        <f t="shared" si="1102"/>
        <v>9</v>
      </c>
      <c r="I4873" s="3">
        <f t="shared" si="1103"/>
        <v>0</v>
      </c>
      <c r="J4873" s="3">
        <f t="shared" si="1104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05"/>
        <v>YES</v>
      </c>
      <c r="Q4873" t="str">
        <f t="shared" si="1106"/>
        <v>NO</v>
      </c>
      <c r="R4873" t="str">
        <f t="shared" si="1107"/>
        <v>NO</v>
      </c>
      <c r="T4873" t="s">
        <v>15</v>
      </c>
      <c r="U4873" t="str">
        <f t="shared" si="1108"/>
        <v>Rindge Ave</v>
      </c>
      <c r="V4873" t="s">
        <v>2668</v>
      </c>
      <c r="W4873" t="str">
        <f t="shared" si="1109"/>
        <v>Yerxa Rd</v>
      </c>
      <c r="X4873" t="str">
        <f>IF(ISBLANK(S4873),"Intersection","Non-Intersection")</f>
        <v>Intersection</v>
      </c>
      <c r="Y4873" t="s">
        <v>5462</v>
      </c>
      <c r="Z4873" t="str">
        <f t="shared" si="1110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097"/>
        <v>41275</v>
      </c>
      <c r="D4874" s="4">
        <f t="shared" si="1098"/>
        <v>0.17260273972602741</v>
      </c>
      <c r="E4874" s="3">
        <f t="shared" si="1099"/>
        <v>2013</v>
      </c>
      <c r="F4874" s="3">
        <f t="shared" si="1100"/>
        <v>3</v>
      </c>
      <c r="G4874" s="3">
        <f t="shared" si="1101"/>
        <v>5</v>
      </c>
      <c r="H4874" s="3">
        <f t="shared" si="1102"/>
        <v>12</v>
      </c>
      <c r="I4874" s="3">
        <f t="shared" si="1103"/>
        <v>30</v>
      </c>
      <c r="J4874" s="3">
        <f t="shared" si="1104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05"/>
        <v>YES</v>
      </c>
      <c r="Q4874" t="str">
        <f t="shared" si="1106"/>
        <v>NO</v>
      </c>
      <c r="R4874" t="str">
        <f t="shared" si="1107"/>
        <v>NO</v>
      </c>
      <c r="T4874" t="s">
        <v>509</v>
      </c>
      <c r="U4874" t="str">
        <f t="shared" si="1108"/>
        <v>Green St</v>
      </c>
      <c r="W4874" t="str">
        <f t="shared" si="1109"/>
        <v/>
      </c>
      <c r="X4874" t="str">
        <f>IF(ISBLANK(S4874),"Intersection","Non-Intersection")</f>
        <v>Intersection</v>
      </c>
      <c r="Y4874" t="s">
        <v>2880</v>
      </c>
      <c r="Z4874" t="str">
        <f t="shared" si="1110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097"/>
        <v>41275</v>
      </c>
      <c r="D4875" s="4">
        <f t="shared" si="1098"/>
        <v>0.17260273972602741</v>
      </c>
      <c r="E4875" s="3">
        <f t="shared" si="1099"/>
        <v>2013</v>
      </c>
      <c r="F4875" s="3">
        <f t="shared" si="1100"/>
        <v>3</v>
      </c>
      <c r="G4875" s="3">
        <f t="shared" si="1101"/>
        <v>5</v>
      </c>
      <c r="H4875" s="3">
        <f t="shared" si="1102"/>
        <v>14</v>
      </c>
      <c r="I4875" s="3">
        <f t="shared" si="1103"/>
        <v>19</v>
      </c>
      <c r="J4875" s="3">
        <f t="shared" si="1104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05"/>
        <v>YES</v>
      </c>
      <c r="Q4875" t="str">
        <f t="shared" si="1106"/>
        <v>NO</v>
      </c>
      <c r="R4875" t="str">
        <f t="shared" si="1107"/>
        <v>NO</v>
      </c>
      <c r="T4875" t="s">
        <v>14</v>
      </c>
      <c r="U4875" t="str">
        <f t="shared" si="1108"/>
        <v>Massachusetts Ave</v>
      </c>
      <c r="V4875" t="s">
        <v>745</v>
      </c>
      <c r="W4875" t="str">
        <f t="shared" si="1109"/>
        <v>Norfolk St</v>
      </c>
      <c r="X4875" t="str">
        <f>IF(ISBLANK(S4875),"Intersection","Non-Intersection")</f>
        <v>Intersection</v>
      </c>
      <c r="Y4875" t="s">
        <v>873</v>
      </c>
      <c r="Z4875" t="str">
        <f t="shared" si="1110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097"/>
        <v>41275</v>
      </c>
      <c r="D4876" s="4">
        <f t="shared" si="1098"/>
        <v>0.17534246575342466</v>
      </c>
      <c r="E4876" s="3">
        <f t="shared" si="1099"/>
        <v>2013</v>
      </c>
      <c r="F4876" s="3">
        <f t="shared" si="1100"/>
        <v>3</v>
      </c>
      <c r="G4876" s="3">
        <f t="shared" si="1101"/>
        <v>6</v>
      </c>
      <c r="H4876" s="3">
        <f t="shared" si="1102"/>
        <v>10</v>
      </c>
      <c r="I4876" s="3">
        <f t="shared" si="1103"/>
        <v>40</v>
      </c>
      <c r="J4876" s="3">
        <f t="shared" si="1104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05"/>
        <v>YES</v>
      </c>
      <c r="Q4876" t="str">
        <f t="shared" si="1106"/>
        <v>NO</v>
      </c>
      <c r="R4876" t="str">
        <f t="shared" si="1107"/>
        <v>NO</v>
      </c>
      <c r="S4876">
        <v>179</v>
      </c>
      <c r="T4876" t="s">
        <v>260</v>
      </c>
      <c r="U4876" t="str">
        <f t="shared" si="1108"/>
        <v>Third St</v>
      </c>
      <c r="V4876" t="s">
        <v>365</v>
      </c>
      <c r="W4876" t="str">
        <f t="shared" si="1109"/>
        <v>Hurley St</v>
      </c>
      <c r="X4876" t="str">
        <f>IF(ISBLANK(S4876),"Intersection","Non-Intersection")</f>
        <v>Non-Intersection</v>
      </c>
      <c r="Y4876" t="s">
        <v>5464</v>
      </c>
      <c r="Z4876" t="str">
        <f t="shared" si="1110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097"/>
        <v>41275</v>
      </c>
      <c r="D4877" s="4">
        <f t="shared" si="1098"/>
        <v>0.17534246575342466</v>
      </c>
      <c r="E4877" s="3">
        <f t="shared" si="1099"/>
        <v>2013</v>
      </c>
      <c r="F4877" s="3">
        <f t="shared" si="1100"/>
        <v>3</v>
      </c>
      <c r="G4877" s="3">
        <f t="shared" si="1101"/>
        <v>6</v>
      </c>
      <c r="H4877" s="3">
        <f t="shared" si="1102"/>
        <v>11</v>
      </c>
      <c r="I4877" s="3">
        <f t="shared" si="1103"/>
        <v>39</v>
      </c>
      <c r="J4877" s="3">
        <f t="shared" si="1104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05"/>
        <v>YES</v>
      </c>
      <c r="Q4877" t="str">
        <f t="shared" si="1106"/>
        <v>YES</v>
      </c>
      <c r="R4877" t="str">
        <f t="shared" si="1107"/>
        <v>NO</v>
      </c>
      <c r="S4877" t="s">
        <v>5466</v>
      </c>
      <c r="T4877" t="s">
        <v>316</v>
      </c>
      <c r="U4877" t="str">
        <f t="shared" si="1108"/>
        <v>Bishop Allen Dr</v>
      </c>
      <c r="W4877" t="str">
        <f t="shared" si="1109"/>
        <v/>
      </c>
      <c r="X4877" t="str">
        <f>IF(ISBLANK(S4877),"Intersection","Non-Intersection")</f>
        <v>Non-Intersection</v>
      </c>
      <c r="Y4877" t="s">
        <v>5467</v>
      </c>
      <c r="Z4877" t="str">
        <f t="shared" si="1110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097"/>
        <v>41275</v>
      </c>
      <c r="D4878" s="4">
        <f t="shared" si="1098"/>
        <v>0.17534246575342466</v>
      </c>
      <c r="E4878" s="3">
        <f t="shared" si="1099"/>
        <v>2013</v>
      </c>
      <c r="F4878" s="3">
        <f t="shared" si="1100"/>
        <v>3</v>
      </c>
      <c r="G4878" s="3">
        <f t="shared" si="1101"/>
        <v>6</v>
      </c>
      <c r="H4878" s="3">
        <f t="shared" si="1102"/>
        <v>12</v>
      </c>
      <c r="I4878" s="3">
        <f t="shared" si="1103"/>
        <v>8</v>
      </c>
      <c r="J4878" s="3">
        <f t="shared" si="1104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05"/>
        <v>YES</v>
      </c>
      <c r="Q4878" t="str">
        <f t="shared" si="1106"/>
        <v>NO</v>
      </c>
      <c r="R4878" t="str">
        <f t="shared" si="1107"/>
        <v>NO</v>
      </c>
      <c r="S4878">
        <v>580</v>
      </c>
      <c r="T4878" t="s">
        <v>198</v>
      </c>
      <c r="U4878" t="str">
        <f t="shared" si="1108"/>
        <v>Mount Auburn St</v>
      </c>
      <c r="W4878" t="str">
        <f t="shared" si="1109"/>
        <v/>
      </c>
      <c r="X4878" t="str">
        <f>IF(ISBLANK(S4878),"Intersection","Non-Intersection")</f>
        <v>Non-Intersection</v>
      </c>
      <c r="Y4878" t="s">
        <v>5469</v>
      </c>
      <c r="Z4878" t="str">
        <f t="shared" si="1110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097"/>
        <v>41275</v>
      </c>
      <c r="D4879" s="4">
        <f t="shared" si="1098"/>
        <v>0.17534246575342466</v>
      </c>
      <c r="E4879" s="3">
        <f t="shared" si="1099"/>
        <v>2013</v>
      </c>
      <c r="F4879" s="3">
        <f t="shared" si="1100"/>
        <v>3</v>
      </c>
      <c r="G4879" s="3">
        <f t="shared" si="1101"/>
        <v>6</v>
      </c>
      <c r="H4879" s="3">
        <f t="shared" si="1102"/>
        <v>20</v>
      </c>
      <c r="I4879" s="3">
        <f t="shared" si="1103"/>
        <v>55</v>
      </c>
      <c r="J4879" s="3">
        <f t="shared" si="1104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05"/>
        <v>YES</v>
      </c>
      <c r="Q4879" t="str">
        <f t="shared" si="1106"/>
        <v>NO</v>
      </c>
      <c r="R4879" t="str">
        <f t="shared" si="1107"/>
        <v>NO</v>
      </c>
      <c r="T4879" t="s">
        <v>326</v>
      </c>
      <c r="U4879" t="str">
        <f t="shared" si="1108"/>
        <v>Jfk St</v>
      </c>
      <c r="V4879" t="s">
        <v>199</v>
      </c>
      <c r="W4879" t="str">
        <f t="shared" si="1109"/>
        <v>Brattle St</v>
      </c>
      <c r="X4879" t="str">
        <f>IF(ISBLANK(S4879),"Intersection","Non-Intersection")</f>
        <v>Intersection</v>
      </c>
      <c r="Y4879" t="s">
        <v>681</v>
      </c>
      <c r="Z4879" t="str">
        <f t="shared" si="1110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097"/>
        <v>41275</v>
      </c>
      <c r="D4880" s="4">
        <f t="shared" si="1098"/>
        <v>0.17534246575342466</v>
      </c>
      <c r="E4880" s="3">
        <f t="shared" si="1099"/>
        <v>2013</v>
      </c>
      <c r="F4880" s="3">
        <f t="shared" si="1100"/>
        <v>3</v>
      </c>
      <c r="G4880" s="3">
        <f t="shared" si="1101"/>
        <v>6</v>
      </c>
      <c r="H4880" s="3">
        <f t="shared" si="1102"/>
        <v>18</v>
      </c>
      <c r="I4880" s="3">
        <f t="shared" si="1103"/>
        <v>0</v>
      </c>
      <c r="J4880" s="3">
        <f t="shared" si="1104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05"/>
        <v>YES</v>
      </c>
      <c r="Q4880" t="str">
        <f t="shared" si="1106"/>
        <v>NO</v>
      </c>
      <c r="R4880" t="str">
        <f t="shared" si="1107"/>
        <v>NO</v>
      </c>
      <c r="S4880">
        <v>700</v>
      </c>
      <c r="T4880" t="s">
        <v>142</v>
      </c>
      <c r="U4880" t="str">
        <f t="shared" si="1108"/>
        <v>Huron Ave</v>
      </c>
      <c r="W4880" t="str">
        <f t="shared" si="1109"/>
        <v/>
      </c>
      <c r="X4880" t="str">
        <f>IF(ISBLANK(S4880),"Intersection","Non-Intersection")</f>
        <v>Non-Intersection</v>
      </c>
      <c r="Y4880" t="s">
        <v>475</v>
      </c>
      <c r="Z4880" t="str">
        <f t="shared" si="1110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097"/>
        <v>41275</v>
      </c>
      <c r="D4881" s="4">
        <f t="shared" si="1098"/>
        <v>0.17808219178082191</v>
      </c>
      <c r="E4881" s="3">
        <f t="shared" si="1099"/>
        <v>2013</v>
      </c>
      <c r="F4881" s="3">
        <f t="shared" si="1100"/>
        <v>3</v>
      </c>
      <c r="G4881" s="3">
        <f t="shared" si="1101"/>
        <v>7</v>
      </c>
      <c r="H4881" s="3">
        <f t="shared" si="1102"/>
        <v>6</v>
      </c>
      <c r="I4881" s="3">
        <f t="shared" si="1103"/>
        <v>59</v>
      </c>
      <c r="J4881" s="3">
        <f t="shared" si="1104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05"/>
        <v>YES</v>
      </c>
      <c r="Q4881" t="str">
        <f t="shared" si="1106"/>
        <v>NO</v>
      </c>
      <c r="R4881" t="str">
        <f t="shared" si="1107"/>
        <v>NO</v>
      </c>
      <c r="T4881" t="s">
        <v>260</v>
      </c>
      <c r="U4881" t="str">
        <f t="shared" si="1108"/>
        <v>Third St</v>
      </c>
      <c r="V4881" t="s">
        <v>19</v>
      </c>
      <c r="W4881" t="str">
        <f t="shared" si="1109"/>
        <v>Cambridge St</v>
      </c>
      <c r="X4881" t="str">
        <f>IF(ISBLANK(S4881),"Intersection","Non-Intersection")</f>
        <v>Intersection</v>
      </c>
      <c r="Y4881" t="s">
        <v>2227</v>
      </c>
      <c r="Z4881" t="str">
        <f t="shared" si="1110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097"/>
        <v>41275</v>
      </c>
      <c r="D4882" s="4">
        <f t="shared" si="1098"/>
        <v>0.17808219178082191</v>
      </c>
      <c r="E4882" s="3">
        <f t="shared" si="1099"/>
        <v>2013</v>
      </c>
      <c r="F4882" s="3">
        <f t="shared" si="1100"/>
        <v>3</v>
      </c>
      <c r="G4882" s="3">
        <f t="shared" si="1101"/>
        <v>7</v>
      </c>
      <c r="H4882" s="3">
        <f t="shared" si="1102"/>
        <v>7</v>
      </c>
      <c r="I4882" s="3">
        <f t="shared" si="1103"/>
        <v>44</v>
      </c>
      <c r="J4882" s="3">
        <f t="shared" si="1104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05"/>
        <v>YES</v>
      </c>
      <c r="Q4882" t="str">
        <f t="shared" si="1106"/>
        <v>NO</v>
      </c>
      <c r="R4882" t="str">
        <f t="shared" si="1107"/>
        <v>NO</v>
      </c>
      <c r="T4882" t="s">
        <v>509</v>
      </c>
      <c r="U4882" t="str">
        <f t="shared" si="1108"/>
        <v>Green St</v>
      </c>
      <c r="V4882" t="s">
        <v>192</v>
      </c>
      <c r="W4882" t="str">
        <f t="shared" si="1109"/>
        <v>Hancock St</v>
      </c>
      <c r="X4882" t="str">
        <f>IF(ISBLANK(S4882),"Intersection","Non-Intersection")</f>
        <v>Intersection</v>
      </c>
      <c r="Y4882" t="s">
        <v>1595</v>
      </c>
      <c r="Z4882" t="str">
        <f t="shared" si="1110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097"/>
        <v>41275</v>
      </c>
      <c r="D4883" s="4">
        <f t="shared" si="1098"/>
        <v>0.17808219178082191</v>
      </c>
      <c r="E4883" s="3">
        <f t="shared" si="1099"/>
        <v>2013</v>
      </c>
      <c r="F4883" s="3">
        <f t="shared" si="1100"/>
        <v>3</v>
      </c>
      <c r="G4883" s="3">
        <f t="shared" si="1101"/>
        <v>7</v>
      </c>
      <c r="H4883" s="3">
        <f t="shared" si="1102"/>
        <v>7</v>
      </c>
      <c r="I4883" s="3">
        <f t="shared" si="1103"/>
        <v>30</v>
      </c>
      <c r="J4883" s="3">
        <f t="shared" si="1104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05"/>
        <v>YES</v>
      </c>
      <c r="Q4883" t="str">
        <f t="shared" si="1106"/>
        <v>NO</v>
      </c>
      <c r="R4883" t="str">
        <f t="shared" si="1107"/>
        <v>NO</v>
      </c>
      <c r="S4883">
        <v>125</v>
      </c>
      <c r="T4883" t="s">
        <v>147</v>
      </c>
      <c r="U4883" t="str">
        <f t="shared" si="1108"/>
        <v>Sixth St</v>
      </c>
      <c r="W4883" t="str">
        <f t="shared" si="1109"/>
        <v/>
      </c>
      <c r="X4883" t="str">
        <f>IF(ISBLANK(S4883),"Intersection","Non-Intersection")</f>
        <v>Non-Intersection</v>
      </c>
      <c r="Y4883" t="s">
        <v>592</v>
      </c>
      <c r="Z4883" t="str">
        <f t="shared" si="1110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097"/>
        <v>41275</v>
      </c>
      <c r="D4884" s="4">
        <f t="shared" si="1098"/>
        <v>0.17808219178082191</v>
      </c>
      <c r="E4884" s="3">
        <f t="shared" si="1099"/>
        <v>2013</v>
      </c>
      <c r="F4884" s="3">
        <f t="shared" si="1100"/>
        <v>3</v>
      </c>
      <c r="G4884" s="3">
        <f t="shared" si="1101"/>
        <v>7</v>
      </c>
      <c r="H4884" s="3">
        <f t="shared" si="1102"/>
        <v>6</v>
      </c>
      <c r="I4884" s="3">
        <f t="shared" si="1103"/>
        <v>59</v>
      </c>
      <c r="J4884" s="3">
        <f t="shared" si="1104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05"/>
        <v>YES</v>
      </c>
      <c r="Q4884" t="str">
        <f t="shared" si="1106"/>
        <v>NO</v>
      </c>
      <c r="R4884" t="str">
        <f t="shared" si="1107"/>
        <v>NO</v>
      </c>
      <c r="S4884">
        <v>20</v>
      </c>
      <c r="T4884" t="s">
        <v>464</v>
      </c>
      <c r="U4884" t="str">
        <f t="shared" si="1108"/>
        <v>Aberdeen Way</v>
      </c>
      <c r="W4884" t="str">
        <f t="shared" si="1109"/>
        <v/>
      </c>
      <c r="X4884" t="str">
        <f>IF(ISBLANK(S4884),"Intersection","Non-Intersection")</f>
        <v>Non-Intersection</v>
      </c>
      <c r="Y4884" t="s">
        <v>5471</v>
      </c>
      <c r="Z4884" t="str">
        <f t="shared" si="1110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097"/>
        <v>41275</v>
      </c>
      <c r="D4885" s="4">
        <f t="shared" si="1098"/>
        <v>0.17808219178082191</v>
      </c>
      <c r="E4885" s="3">
        <f t="shared" si="1099"/>
        <v>2013</v>
      </c>
      <c r="F4885" s="3">
        <f t="shared" si="1100"/>
        <v>3</v>
      </c>
      <c r="G4885" s="3">
        <f t="shared" si="1101"/>
        <v>7</v>
      </c>
      <c r="H4885" s="3">
        <f t="shared" si="1102"/>
        <v>15</v>
      </c>
      <c r="I4885" s="3">
        <f t="shared" si="1103"/>
        <v>45</v>
      </c>
      <c r="J4885" s="3">
        <f t="shared" si="1104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05"/>
        <v>YES</v>
      </c>
      <c r="Q4885" t="str">
        <f t="shared" si="1106"/>
        <v>NO</v>
      </c>
      <c r="R4885" t="str">
        <f t="shared" si="1107"/>
        <v>NO</v>
      </c>
      <c r="S4885">
        <v>193</v>
      </c>
      <c r="T4885" t="s">
        <v>142</v>
      </c>
      <c r="U4885" t="str">
        <f t="shared" si="1108"/>
        <v>Huron Ave</v>
      </c>
      <c r="W4885" t="str">
        <f t="shared" si="1109"/>
        <v/>
      </c>
      <c r="X4885" t="str">
        <f>IF(ISBLANK(S4885),"Intersection","Non-Intersection")</f>
        <v>Non-Intersection</v>
      </c>
      <c r="Y4885" t="s">
        <v>5473</v>
      </c>
      <c r="Z4885" t="str">
        <f t="shared" si="1110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097"/>
        <v>41275</v>
      </c>
      <c r="D4886" s="4">
        <f t="shared" si="1098"/>
        <v>0.17808219178082191</v>
      </c>
      <c r="E4886" s="3">
        <f t="shared" si="1099"/>
        <v>2013</v>
      </c>
      <c r="F4886" s="3">
        <f t="shared" si="1100"/>
        <v>3</v>
      </c>
      <c r="G4886" s="3">
        <f t="shared" si="1101"/>
        <v>7</v>
      </c>
      <c r="H4886" s="3">
        <f t="shared" si="1102"/>
        <v>16</v>
      </c>
      <c r="I4886" s="3">
        <f t="shared" si="1103"/>
        <v>0</v>
      </c>
      <c r="J4886" s="3">
        <f t="shared" si="1104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05"/>
        <v>YES</v>
      </c>
      <c r="Q4886" t="str">
        <f t="shared" si="1106"/>
        <v>NO</v>
      </c>
      <c r="R4886" t="str">
        <f t="shared" si="1107"/>
        <v>YES</v>
      </c>
      <c r="T4886" t="s">
        <v>14</v>
      </c>
      <c r="U4886" t="str">
        <f t="shared" si="1108"/>
        <v>Massachusetts Ave</v>
      </c>
      <c r="V4886" t="s">
        <v>202</v>
      </c>
      <c r="W4886" t="str">
        <f t="shared" si="1109"/>
        <v>Vassar St</v>
      </c>
      <c r="X4886" t="str">
        <f>IF(ISBLANK(S4886),"Intersection","Non-Intersection")</f>
        <v>Intersection</v>
      </c>
      <c r="Y4886" t="s">
        <v>361</v>
      </c>
      <c r="Z4886" t="str">
        <f t="shared" si="1110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097"/>
        <v>41275</v>
      </c>
      <c r="D4887" s="4">
        <f t="shared" si="1098"/>
        <v>0.17808219178082191</v>
      </c>
      <c r="E4887" s="3">
        <f t="shared" si="1099"/>
        <v>2013</v>
      </c>
      <c r="F4887" s="3">
        <f t="shared" si="1100"/>
        <v>3</v>
      </c>
      <c r="G4887" s="3">
        <f t="shared" si="1101"/>
        <v>7</v>
      </c>
      <c r="H4887" s="3">
        <f t="shared" si="1102"/>
        <v>22</v>
      </c>
      <c r="I4887" s="3">
        <f t="shared" si="1103"/>
        <v>24</v>
      </c>
      <c r="J4887" s="3">
        <f t="shared" si="1104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05"/>
        <v>YES</v>
      </c>
      <c r="Q4887" t="str">
        <f t="shared" si="1106"/>
        <v>NO</v>
      </c>
      <c r="R4887" t="str">
        <f t="shared" si="1107"/>
        <v>NO</v>
      </c>
      <c r="T4887" t="s">
        <v>342</v>
      </c>
      <c r="U4887" t="str">
        <f t="shared" si="1108"/>
        <v>Prospect St</v>
      </c>
      <c r="V4887" t="s">
        <v>105</v>
      </c>
      <c r="W4887" t="str">
        <f t="shared" si="1109"/>
        <v>Broadway</v>
      </c>
      <c r="X4887" t="str">
        <f>IF(ISBLANK(S4887),"Intersection","Non-Intersection")</f>
        <v>Intersection</v>
      </c>
      <c r="Y4887" t="s">
        <v>725</v>
      </c>
      <c r="Z4887" t="str">
        <f t="shared" si="1110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097"/>
        <v>41275</v>
      </c>
      <c r="D4888" s="4">
        <f t="shared" si="1098"/>
        <v>0.17808219178082191</v>
      </c>
      <c r="E4888" s="3">
        <f t="shared" si="1099"/>
        <v>2013</v>
      </c>
      <c r="F4888" s="3">
        <f t="shared" si="1100"/>
        <v>3</v>
      </c>
      <c r="G4888" s="3">
        <f t="shared" si="1101"/>
        <v>7</v>
      </c>
      <c r="H4888" s="3">
        <f t="shared" si="1102"/>
        <v>15</v>
      </c>
      <c r="I4888" s="3">
        <f t="shared" si="1103"/>
        <v>59</v>
      </c>
      <c r="J4888" s="3">
        <f t="shared" si="1104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05"/>
        <v>YES</v>
      </c>
      <c r="Q4888" t="str">
        <f t="shared" si="1106"/>
        <v>NO</v>
      </c>
      <c r="R4888" t="str">
        <f t="shared" si="1107"/>
        <v>NO</v>
      </c>
      <c r="T4888" t="s">
        <v>199</v>
      </c>
      <c r="U4888" t="str">
        <f t="shared" si="1108"/>
        <v>Brattle St</v>
      </c>
      <c r="V4888" t="s">
        <v>2532</v>
      </c>
      <c r="W4888" t="str">
        <f t="shared" si="1109"/>
        <v>Ash St</v>
      </c>
      <c r="X4888" t="str">
        <f>IF(ISBLANK(S4888),"Intersection","Non-Intersection")</f>
        <v>Intersection</v>
      </c>
      <c r="Y4888" t="s">
        <v>5475</v>
      </c>
      <c r="Z4888" t="str">
        <f t="shared" si="1110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097"/>
        <v>41275</v>
      </c>
      <c r="D4889" s="4">
        <f t="shared" si="1098"/>
        <v>0.17808219178082191</v>
      </c>
      <c r="E4889" s="3">
        <f t="shared" si="1099"/>
        <v>2013</v>
      </c>
      <c r="F4889" s="3">
        <f t="shared" si="1100"/>
        <v>3</v>
      </c>
      <c r="G4889" s="3">
        <f t="shared" si="1101"/>
        <v>7</v>
      </c>
      <c r="H4889" s="3">
        <f t="shared" si="1102"/>
        <v>18</v>
      </c>
      <c r="I4889" s="3">
        <f t="shared" si="1103"/>
        <v>0</v>
      </c>
      <c r="J4889" s="3">
        <f t="shared" si="1104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05"/>
        <v>YES</v>
      </c>
      <c r="Q4889" t="str">
        <f t="shared" si="1106"/>
        <v>NO</v>
      </c>
      <c r="R4889" t="str">
        <f t="shared" si="1107"/>
        <v>NO</v>
      </c>
      <c r="S4889">
        <v>84</v>
      </c>
      <c r="T4889" t="s">
        <v>396</v>
      </c>
      <c r="U4889" t="str">
        <f t="shared" si="1108"/>
        <v>Prescott St</v>
      </c>
      <c r="W4889" t="str">
        <f t="shared" si="1109"/>
        <v/>
      </c>
      <c r="X4889" t="str">
        <f>IF(ISBLANK(S4889),"Intersection","Non-Intersection")</f>
        <v>Non-Intersection</v>
      </c>
      <c r="Y4889" t="s">
        <v>5477</v>
      </c>
      <c r="Z4889" t="str">
        <f t="shared" si="1110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097"/>
        <v>41275</v>
      </c>
      <c r="D4890" s="4">
        <f t="shared" si="1098"/>
        <v>0.18082191780821918</v>
      </c>
      <c r="E4890" s="3">
        <f t="shared" si="1099"/>
        <v>2013</v>
      </c>
      <c r="F4890" s="3">
        <f t="shared" si="1100"/>
        <v>3</v>
      </c>
      <c r="G4890" s="3">
        <f t="shared" si="1101"/>
        <v>8</v>
      </c>
      <c r="H4890" s="3">
        <f t="shared" si="1102"/>
        <v>0</v>
      </c>
      <c r="I4890" s="3">
        <f t="shared" si="1103"/>
        <v>1</v>
      </c>
      <c r="J4890" s="3">
        <f t="shared" si="1104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05"/>
        <v>YES</v>
      </c>
      <c r="Q4890" t="str">
        <f t="shared" si="1106"/>
        <v>NO</v>
      </c>
      <c r="R4890" t="str">
        <f t="shared" si="1107"/>
        <v>NO</v>
      </c>
      <c r="T4890" t="s">
        <v>498</v>
      </c>
      <c r="U4890" t="str">
        <f t="shared" si="1108"/>
        <v>Ellery St</v>
      </c>
      <c r="V4890" t="s">
        <v>14</v>
      </c>
      <c r="W4890" t="str">
        <f t="shared" si="1109"/>
        <v>Massachusetts Ave</v>
      </c>
      <c r="X4890" t="str">
        <f>IF(ISBLANK(S4890),"Intersection","Non-Intersection")</f>
        <v>Intersection</v>
      </c>
      <c r="Y4890" t="s">
        <v>3618</v>
      </c>
      <c r="Z4890" t="str">
        <f t="shared" si="1110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097"/>
        <v>41275</v>
      </c>
      <c r="D4891" s="4">
        <f t="shared" si="1098"/>
        <v>0.18082191780821918</v>
      </c>
      <c r="E4891" s="3">
        <f t="shared" si="1099"/>
        <v>2013</v>
      </c>
      <c r="F4891" s="3">
        <f t="shared" si="1100"/>
        <v>3</v>
      </c>
      <c r="G4891" s="3">
        <f t="shared" si="1101"/>
        <v>8</v>
      </c>
      <c r="H4891" s="3">
        <f t="shared" si="1102"/>
        <v>7</v>
      </c>
      <c r="I4891" s="3">
        <f t="shared" si="1103"/>
        <v>15</v>
      </c>
      <c r="J4891" s="3">
        <f t="shared" si="1104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05"/>
        <v>YES</v>
      </c>
      <c r="Q4891" t="str">
        <f t="shared" si="1106"/>
        <v>NO</v>
      </c>
      <c r="R4891" t="str">
        <f t="shared" si="1107"/>
        <v>NO</v>
      </c>
      <c r="S4891">
        <v>452</v>
      </c>
      <c r="T4891" t="s">
        <v>105</v>
      </c>
      <c r="U4891" t="str">
        <f t="shared" si="1108"/>
        <v>Broadway</v>
      </c>
      <c r="W4891" t="str">
        <f t="shared" si="1109"/>
        <v/>
      </c>
      <c r="X4891" t="str">
        <f>IF(ISBLANK(S4891),"Intersection","Non-Intersection")</f>
        <v>Non-Intersection</v>
      </c>
      <c r="Y4891" t="s">
        <v>5479</v>
      </c>
      <c r="Z4891" t="str">
        <f t="shared" si="1110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097"/>
        <v>41275</v>
      </c>
      <c r="D4892" s="4">
        <f t="shared" si="1098"/>
        <v>0.18082191780821918</v>
      </c>
      <c r="E4892" s="3">
        <f t="shared" si="1099"/>
        <v>2013</v>
      </c>
      <c r="F4892" s="3">
        <f t="shared" si="1100"/>
        <v>3</v>
      </c>
      <c r="G4892" s="3">
        <f t="shared" si="1101"/>
        <v>8</v>
      </c>
      <c r="H4892" s="3">
        <f t="shared" si="1102"/>
        <v>7</v>
      </c>
      <c r="I4892" s="3">
        <f t="shared" si="1103"/>
        <v>15</v>
      </c>
      <c r="J4892" s="3">
        <f t="shared" si="1104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05"/>
        <v>YES</v>
      </c>
      <c r="Q4892" t="str">
        <f t="shared" si="1106"/>
        <v>NO</v>
      </c>
      <c r="R4892" t="str">
        <f t="shared" si="1107"/>
        <v>NO</v>
      </c>
      <c r="T4892" t="s">
        <v>105</v>
      </c>
      <c r="U4892" t="str">
        <f t="shared" si="1108"/>
        <v>Broadway</v>
      </c>
      <c r="V4892" t="s">
        <v>342</v>
      </c>
      <c r="W4892" t="str">
        <f t="shared" si="1109"/>
        <v>Prospect St</v>
      </c>
      <c r="X4892" t="str">
        <f>IF(ISBLANK(S4892),"Intersection","Non-Intersection")</f>
        <v>Intersection</v>
      </c>
      <c r="Y4892" t="s">
        <v>343</v>
      </c>
      <c r="Z4892" t="str">
        <f t="shared" si="1110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097"/>
        <v>41275</v>
      </c>
      <c r="D4893" s="4">
        <f t="shared" si="1098"/>
        <v>0.18082191780821918</v>
      </c>
      <c r="E4893" s="3">
        <f t="shared" si="1099"/>
        <v>2013</v>
      </c>
      <c r="F4893" s="3">
        <f t="shared" si="1100"/>
        <v>3</v>
      </c>
      <c r="G4893" s="3">
        <f t="shared" si="1101"/>
        <v>8</v>
      </c>
      <c r="H4893" s="3">
        <f t="shared" si="1102"/>
        <v>8</v>
      </c>
      <c r="I4893" s="3">
        <f t="shared" si="1103"/>
        <v>49</v>
      </c>
      <c r="J4893" s="3">
        <f t="shared" si="1104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05"/>
        <v>YES</v>
      </c>
      <c r="Q4893" t="str">
        <f t="shared" si="1106"/>
        <v>NO</v>
      </c>
      <c r="R4893" t="str">
        <f t="shared" si="1107"/>
        <v>NO</v>
      </c>
      <c r="S4893">
        <v>4</v>
      </c>
      <c r="T4893" t="s">
        <v>1013</v>
      </c>
      <c r="U4893" t="str">
        <f t="shared" si="1108"/>
        <v>Blanchard Rd</v>
      </c>
      <c r="W4893" t="str">
        <f t="shared" si="1109"/>
        <v/>
      </c>
      <c r="X4893" t="str">
        <f>IF(ISBLANK(S4893),"Intersection","Non-Intersection")</f>
        <v>Non-Intersection</v>
      </c>
      <c r="Y4893" t="s">
        <v>4143</v>
      </c>
      <c r="Z4893" t="str">
        <f t="shared" si="1110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097"/>
        <v>41275</v>
      </c>
      <c r="D4894" s="4">
        <f t="shared" si="1098"/>
        <v>0.18082191780821918</v>
      </c>
      <c r="E4894" s="3">
        <f t="shared" si="1099"/>
        <v>2013</v>
      </c>
      <c r="F4894" s="3">
        <f t="shared" si="1100"/>
        <v>3</v>
      </c>
      <c r="G4894" s="3">
        <f t="shared" si="1101"/>
        <v>8</v>
      </c>
      <c r="H4894" s="3">
        <f t="shared" si="1102"/>
        <v>11</v>
      </c>
      <c r="I4894" s="3">
        <f t="shared" si="1103"/>
        <v>0</v>
      </c>
      <c r="J4894" s="3">
        <f t="shared" si="1104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05"/>
        <v>YES</v>
      </c>
      <c r="Q4894" t="str">
        <f t="shared" si="1106"/>
        <v>NO</v>
      </c>
      <c r="R4894" t="str">
        <f t="shared" si="1107"/>
        <v>NO</v>
      </c>
      <c r="T4894" t="s">
        <v>14</v>
      </c>
      <c r="U4894" t="str">
        <f t="shared" si="1108"/>
        <v>Massachusetts Ave</v>
      </c>
      <c r="V4894" t="s">
        <v>252</v>
      </c>
      <c r="W4894" t="str">
        <f t="shared" si="1109"/>
        <v>Walden St</v>
      </c>
      <c r="X4894" t="str">
        <f>IF(ISBLANK(S4894),"Intersection","Non-Intersection")</f>
        <v>Intersection</v>
      </c>
      <c r="Y4894" t="s">
        <v>2600</v>
      </c>
      <c r="Z4894" t="str">
        <f t="shared" si="1110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097"/>
        <v>41275</v>
      </c>
      <c r="D4895" s="4">
        <f t="shared" si="1098"/>
        <v>0.18082191780821918</v>
      </c>
      <c r="E4895" s="3">
        <f t="shared" si="1099"/>
        <v>2013</v>
      </c>
      <c r="F4895" s="3">
        <f t="shared" si="1100"/>
        <v>3</v>
      </c>
      <c r="G4895" s="3">
        <f t="shared" si="1101"/>
        <v>8</v>
      </c>
      <c r="H4895" s="3">
        <f t="shared" si="1102"/>
        <v>11</v>
      </c>
      <c r="I4895" s="3">
        <f t="shared" si="1103"/>
        <v>49</v>
      </c>
      <c r="J4895" s="3">
        <f t="shared" si="1104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05"/>
        <v>YES</v>
      </c>
      <c r="Q4895" t="str">
        <f t="shared" si="1106"/>
        <v>NO</v>
      </c>
      <c r="R4895" t="str">
        <f t="shared" si="1107"/>
        <v>NO</v>
      </c>
      <c r="T4895" t="s">
        <v>202</v>
      </c>
      <c r="U4895" t="str">
        <f t="shared" si="1108"/>
        <v>Vassar St</v>
      </c>
      <c r="V4895" t="s">
        <v>2382</v>
      </c>
      <c r="W4895" t="str">
        <f t="shared" si="1109"/>
        <v>Amesbury St</v>
      </c>
      <c r="X4895" t="str">
        <f>IF(ISBLANK(S4895),"Intersection","Non-Intersection")</f>
        <v>Intersection</v>
      </c>
      <c r="Y4895" t="s">
        <v>2383</v>
      </c>
      <c r="Z4895" t="str">
        <f t="shared" si="1110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097"/>
        <v>41275</v>
      </c>
      <c r="D4896" s="4">
        <f t="shared" si="1098"/>
        <v>0.18082191780821918</v>
      </c>
      <c r="E4896" s="3">
        <f t="shared" si="1099"/>
        <v>2013</v>
      </c>
      <c r="F4896" s="3">
        <f t="shared" si="1100"/>
        <v>3</v>
      </c>
      <c r="G4896" s="3">
        <f t="shared" si="1101"/>
        <v>8</v>
      </c>
      <c r="H4896" s="3">
        <f t="shared" si="1102"/>
        <v>13</v>
      </c>
      <c r="I4896" s="3">
        <f t="shared" si="1103"/>
        <v>34</v>
      </c>
      <c r="J4896" s="3">
        <f t="shared" si="1104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05"/>
        <v>YES</v>
      </c>
      <c r="Q4896" t="str">
        <f t="shared" si="1106"/>
        <v>NO</v>
      </c>
      <c r="R4896" t="str">
        <f t="shared" si="1107"/>
        <v>NO</v>
      </c>
      <c r="S4896">
        <v>134</v>
      </c>
      <c r="T4896" t="s">
        <v>15</v>
      </c>
      <c r="U4896" t="str">
        <f t="shared" si="1108"/>
        <v>Rindge Ave</v>
      </c>
      <c r="W4896" t="str">
        <f t="shared" si="1109"/>
        <v/>
      </c>
      <c r="X4896" t="str">
        <f>IF(ISBLANK(S4896),"Intersection","Non-Intersection")</f>
        <v>Non-Intersection</v>
      </c>
      <c r="Y4896" t="s">
        <v>5481</v>
      </c>
      <c r="Z4896" t="str">
        <f t="shared" si="1110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097"/>
        <v>41275</v>
      </c>
      <c r="D4897" s="4">
        <f t="shared" si="1098"/>
        <v>0.18082191780821918</v>
      </c>
      <c r="E4897" s="3">
        <f t="shared" si="1099"/>
        <v>2013</v>
      </c>
      <c r="F4897" s="3">
        <f t="shared" si="1100"/>
        <v>3</v>
      </c>
      <c r="G4897" s="3">
        <f t="shared" si="1101"/>
        <v>8</v>
      </c>
      <c r="H4897" s="3">
        <f t="shared" si="1102"/>
        <v>18</v>
      </c>
      <c r="I4897" s="3">
        <f t="shared" si="1103"/>
        <v>14</v>
      </c>
      <c r="J4897" s="3">
        <f t="shared" si="1104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05"/>
        <v>YES</v>
      </c>
      <c r="Q4897" t="str">
        <f t="shared" si="1106"/>
        <v>NO</v>
      </c>
      <c r="R4897" t="str">
        <f t="shared" si="1107"/>
        <v>NO</v>
      </c>
      <c r="T4897" t="s">
        <v>1016</v>
      </c>
      <c r="U4897" t="str">
        <f t="shared" si="1108"/>
        <v>Maple Ave</v>
      </c>
      <c r="V4897" t="s">
        <v>105</v>
      </c>
      <c r="W4897" t="str">
        <f t="shared" si="1109"/>
        <v>Broadway</v>
      </c>
      <c r="X4897" t="str">
        <f>IF(ISBLANK(S4897),"Intersection","Non-Intersection")</f>
        <v>Intersection</v>
      </c>
      <c r="Y4897" t="s">
        <v>5483</v>
      </c>
      <c r="Z4897" t="str">
        <f t="shared" si="1110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097"/>
        <v>41275</v>
      </c>
      <c r="D4898" s="4">
        <f t="shared" si="1098"/>
        <v>0.18082191780821918</v>
      </c>
      <c r="E4898" s="3">
        <f t="shared" si="1099"/>
        <v>2013</v>
      </c>
      <c r="F4898" s="3">
        <f t="shared" si="1100"/>
        <v>3</v>
      </c>
      <c r="G4898" s="3">
        <f t="shared" si="1101"/>
        <v>8</v>
      </c>
      <c r="H4898" s="3">
        <f t="shared" si="1102"/>
        <v>10</v>
      </c>
      <c r="I4898" s="3">
        <f t="shared" si="1103"/>
        <v>40</v>
      </c>
      <c r="J4898" s="3">
        <f t="shared" si="1104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05"/>
        <v>YES</v>
      </c>
      <c r="Q4898" t="str">
        <f t="shared" si="1106"/>
        <v>NO</v>
      </c>
      <c r="R4898" t="str">
        <f t="shared" si="1107"/>
        <v>NO</v>
      </c>
      <c r="S4898">
        <v>148</v>
      </c>
      <c r="T4898" t="s">
        <v>199</v>
      </c>
      <c r="U4898" t="str">
        <f t="shared" si="1108"/>
        <v>Brattle St</v>
      </c>
      <c r="W4898" t="str">
        <f t="shared" si="1109"/>
        <v/>
      </c>
      <c r="X4898" t="str">
        <f>IF(ISBLANK(S4898),"Intersection","Non-Intersection")</f>
        <v>Non-Intersection</v>
      </c>
      <c r="Y4898" t="s">
        <v>5484</v>
      </c>
      <c r="Z4898" t="str">
        <f t="shared" si="1110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097"/>
        <v>41275</v>
      </c>
      <c r="D4899" s="4">
        <f t="shared" si="1098"/>
        <v>0.18356164383561643</v>
      </c>
      <c r="E4899" s="3">
        <f t="shared" si="1099"/>
        <v>2013</v>
      </c>
      <c r="F4899" s="3">
        <f t="shared" si="1100"/>
        <v>3</v>
      </c>
      <c r="G4899" s="3">
        <f t="shared" si="1101"/>
        <v>9</v>
      </c>
      <c r="H4899" s="3">
        <f t="shared" si="1102"/>
        <v>13</v>
      </c>
      <c r="I4899" s="3">
        <f t="shared" si="1103"/>
        <v>50</v>
      </c>
      <c r="J4899" s="3">
        <f t="shared" si="1104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05"/>
        <v>YES</v>
      </c>
      <c r="Q4899" t="str">
        <f t="shared" si="1106"/>
        <v>NO</v>
      </c>
      <c r="R4899" t="str">
        <f t="shared" si="1107"/>
        <v>NO</v>
      </c>
      <c r="S4899">
        <v>1</v>
      </c>
      <c r="T4899" t="s">
        <v>1016</v>
      </c>
      <c r="U4899" t="str">
        <f t="shared" si="1108"/>
        <v>Maple Ave</v>
      </c>
      <c r="W4899" t="str">
        <f t="shared" si="1109"/>
        <v/>
      </c>
      <c r="X4899" t="str">
        <f>IF(ISBLANK(S4899),"Intersection","Non-Intersection")</f>
        <v>Non-Intersection</v>
      </c>
      <c r="Y4899" t="s">
        <v>5486</v>
      </c>
      <c r="Z4899" t="str">
        <f t="shared" si="1110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097"/>
        <v>41275</v>
      </c>
      <c r="D4900" s="4">
        <f t="shared" si="1098"/>
        <v>0.18630136986301371</v>
      </c>
      <c r="E4900" s="3">
        <f t="shared" si="1099"/>
        <v>2013</v>
      </c>
      <c r="F4900" s="3">
        <f t="shared" si="1100"/>
        <v>3</v>
      </c>
      <c r="G4900" s="3">
        <f t="shared" si="1101"/>
        <v>10</v>
      </c>
      <c r="H4900" s="3">
        <f t="shared" si="1102"/>
        <v>3</v>
      </c>
      <c r="I4900" s="3">
        <f t="shared" si="1103"/>
        <v>29</v>
      </c>
      <c r="J4900" s="3">
        <f t="shared" si="1104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05"/>
        <v>YES</v>
      </c>
      <c r="Q4900" t="str">
        <f t="shared" si="1106"/>
        <v>NO</v>
      </c>
      <c r="R4900" t="str">
        <f t="shared" si="1107"/>
        <v>NO</v>
      </c>
      <c r="S4900">
        <v>485</v>
      </c>
      <c r="T4900" t="s">
        <v>14</v>
      </c>
      <c r="U4900" t="str">
        <f t="shared" si="1108"/>
        <v>Massachusetts Ave</v>
      </c>
      <c r="W4900" t="str">
        <f t="shared" si="1109"/>
        <v/>
      </c>
      <c r="X4900" t="str">
        <f>IF(ISBLANK(S4900),"Intersection","Non-Intersection")</f>
        <v>Non-Intersection</v>
      </c>
      <c r="Y4900" t="s">
        <v>998</v>
      </c>
      <c r="Z4900" t="str">
        <f t="shared" si="1110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097"/>
        <v>41275</v>
      </c>
      <c r="D4901" s="4">
        <f t="shared" si="1098"/>
        <v>0.18630136986301371</v>
      </c>
      <c r="E4901" s="3">
        <f t="shared" si="1099"/>
        <v>2013</v>
      </c>
      <c r="F4901" s="3">
        <f t="shared" si="1100"/>
        <v>3</v>
      </c>
      <c r="G4901" s="3">
        <f t="shared" si="1101"/>
        <v>10</v>
      </c>
      <c r="H4901" s="3">
        <f t="shared" si="1102"/>
        <v>12</v>
      </c>
      <c r="I4901" s="3">
        <f t="shared" si="1103"/>
        <v>56</v>
      </c>
      <c r="J4901" s="3">
        <f t="shared" si="1104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05"/>
        <v>YES</v>
      </c>
      <c r="Q4901" t="str">
        <f t="shared" si="1106"/>
        <v>NO</v>
      </c>
      <c r="R4901" t="str">
        <f t="shared" si="1107"/>
        <v>NO</v>
      </c>
      <c r="S4901">
        <v>1334</v>
      </c>
      <c r="T4901" t="s">
        <v>19</v>
      </c>
      <c r="U4901" t="str">
        <f t="shared" si="1108"/>
        <v>Cambridge St</v>
      </c>
      <c r="V4901" t="s">
        <v>5488</v>
      </c>
      <c r="W4901" t="str">
        <f t="shared" si="1109"/>
        <v>Hampshire Ct</v>
      </c>
      <c r="X4901" t="str">
        <f>IF(ISBLANK(S4901),"Intersection","Non-Intersection")</f>
        <v>Non-Intersection</v>
      </c>
      <c r="Y4901" t="s">
        <v>1105</v>
      </c>
      <c r="Z4901" t="str">
        <f t="shared" si="1110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097"/>
        <v>41275</v>
      </c>
      <c r="D4902" s="4">
        <f t="shared" si="1098"/>
        <v>0.18904109589041096</v>
      </c>
      <c r="E4902" s="3">
        <f t="shared" si="1099"/>
        <v>2013</v>
      </c>
      <c r="F4902" s="3">
        <f t="shared" si="1100"/>
        <v>3</v>
      </c>
      <c r="G4902" s="3">
        <f t="shared" si="1101"/>
        <v>11</v>
      </c>
      <c r="H4902" s="3">
        <f t="shared" si="1102"/>
        <v>11</v>
      </c>
      <c r="I4902" s="3">
        <f t="shared" si="1103"/>
        <v>29</v>
      </c>
      <c r="J4902" s="3">
        <f t="shared" si="1104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05"/>
        <v>YES</v>
      </c>
      <c r="Q4902" t="str">
        <f t="shared" si="1106"/>
        <v>NO</v>
      </c>
      <c r="R4902" t="str">
        <f t="shared" si="1107"/>
        <v>NO</v>
      </c>
      <c r="T4902" t="s">
        <v>14</v>
      </c>
      <c r="U4902" t="str">
        <f t="shared" si="1108"/>
        <v>Massachusetts Ave</v>
      </c>
      <c r="V4902" t="s">
        <v>94</v>
      </c>
      <c r="W4902" t="str">
        <f t="shared" si="1109"/>
        <v>Shepard St</v>
      </c>
      <c r="X4902" t="str">
        <f>IF(ISBLANK(S4902),"Intersection","Non-Intersection")</f>
        <v>Intersection</v>
      </c>
      <c r="Y4902" t="s">
        <v>95</v>
      </c>
      <c r="Z4902" t="str">
        <f t="shared" si="1110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097"/>
        <v>41275</v>
      </c>
      <c r="D4903" s="4">
        <f t="shared" si="1098"/>
        <v>0.19178082191780821</v>
      </c>
      <c r="E4903" s="3">
        <f t="shared" si="1099"/>
        <v>2013</v>
      </c>
      <c r="F4903" s="3">
        <f t="shared" si="1100"/>
        <v>3</v>
      </c>
      <c r="G4903" s="3">
        <f t="shared" si="1101"/>
        <v>12</v>
      </c>
      <c r="H4903" s="3">
        <f t="shared" si="1102"/>
        <v>14</v>
      </c>
      <c r="I4903" s="3">
        <f t="shared" si="1103"/>
        <v>15</v>
      </c>
      <c r="J4903" s="3">
        <f t="shared" si="1104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05"/>
        <v>YES</v>
      </c>
      <c r="Q4903" t="str">
        <f t="shared" si="1106"/>
        <v>YES</v>
      </c>
      <c r="R4903" t="str">
        <f t="shared" si="1107"/>
        <v>NO</v>
      </c>
      <c r="T4903" t="s">
        <v>186</v>
      </c>
      <c r="U4903" t="str">
        <f t="shared" si="1108"/>
        <v>Concord Ave</v>
      </c>
      <c r="V4903" t="s">
        <v>1013</v>
      </c>
      <c r="W4903" t="str">
        <f t="shared" si="1109"/>
        <v>Blanchard Rd</v>
      </c>
      <c r="X4903" t="str">
        <f>IF(ISBLANK(S4903),"Intersection","Non-Intersection")</f>
        <v>Intersection</v>
      </c>
      <c r="Y4903" t="s">
        <v>1014</v>
      </c>
      <c r="Z4903" t="str">
        <f t="shared" si="1110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097"/>
        <v>41275</v>
      </c>
      <c r="D4904" s="4">
        <f t="shared" si="1098"/>
        <v>0.19452054794520549</v>
      </c>
      <c r="E4904" s="3">
        <f t="shared" si="1099"/>
        <v>2013</v>
      </c>
      <c r="F4904" s="3">
        <f t="shared" si="1100"/>
        <v>3</v>
      </c>
      <c r="G4904" s="3">
        <f t="shared" si="1101"/>
        <v>13</v>
      </c>
      <c r="H4904" s="3">
        <f t="shared" si="1102"/>
        <v>18</v>
      </c>
      <c r="I4904" s="3">
        <f t="shared" si="1103"/>
        <v>4</v>
      </c>
      <c r="J4904" s="3">
        <f t="shared" si="1104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05"/>
        <v>YES</v>
      </c>
      <c r="Q4904" t="str">
        <f t="shared" si="1106"/>
        <v>NO</v>
      </c>
      <c r="R4904" t="str">
        <f t="shared" si="1107"/>
        <v>NO</v>
      </c>
      <c r="T4904" t="s">
        <v>32</v>
      </c>
      <c r="U4904" t="str">
        <f t="shared" si="1108"/>
        <v>Main St</v>
      </c>
      <c r="V4904" t="s">
        <v>796</v>
      </c>
      <c r="W4904" t="str">
        <f t="shared" si="1109"/>
        <v>Portland St</v>
      </c>
      <c r="X4904" t="str">
        <f>IF(ISBLANK(S4904),"Intersection","Non-Intersection")</f>
        <v>Intersection</v>
      </c>
      <c r="Y4904" t="s">
        <v>932</v>
      </c>
      <c r="Z4904" t="str">
        <f t="shared" si="1110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097"/>
        <v>41275</v>
      </c>
      <c r="D4905" s="4">
        <f t="shared" si="1098"/>
        <v>0.19452054794520549</v>
      </c>
      <c r="E4905" s="3">
        <f t="shared" si="1099"/>
        <v>2013</v>
      </c>
      <c r="F4905" s="3">
        <f t="shared" si="1100"/>
        <v>3</v>
      </c>
      <c r="G4905" s="3">
        <f t="shared" si="1101"/>
        <v>13</v>
      </c>
      <c r="H4905" s="3">
        <f t="shared" si="1102"/>
        <v>7</v>
      </c>
      <c r="I4905" s="3">
        <f t="shared" si="1103"/>
        <v>34</v>
      </c>
      <c r="J4905" s="3">
        <f t="shared" si="1104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05"/>
        <v>YES</v>
      </c>
      <c r="Q4905" t="str">
        <f t="shared" si="1106"/>
        <v>NO</v>
      </c>
      <c r="R4905" t="str">
        <f t="shared" si="1107"/>
        <v>YES</v>
      </c>
      <c r="T4905" t="s">
        <v>15</v>
      </c>
      <c r="U4905" t="str">
        <f t="shared" si="1108"/>
        <v>Rindge Ave</v>
      </c>
      <c r="V4905" t="s">
        <v>864</v>
      </c>
      <c r="W4905" t="str">
        <f t="shared" si="1109"/>
        <v>Middlesex St</v>
      </c>
      <c r="X4905" t="str">
        <f>IF(ISBLANK(S4905),"Intersection","Non-Intersection")</f>
        <v>Intersection</v>
      </c>
      <c r="Y4905" t="s">
        <v>1584</v>
      </c>
      <c r="Z4905" t="str">
        <f t="shared" si="1110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11">EOMONTH(B4906,MONTH(B4906)*-1)+1</f>
        <v>41275</v>
      </c>
      <c r="D4906" s="4">
        <f t="shared" ref="D4906:D4967" si="1112">YEARFRAC(C4906,B4906,1)</f>
        <v>0.19452054794520549</v>
      </c>
      <c r="E4906" s="3">
        <f t="shared" ref="E4906:E4967" si="1113">YEAR(B4906)</f>
        <v>2013</v>
      </c>
      <c r="F4906" s="3">
        <f t="shared" ref="F4906:F4967" si="1114">MONTH(B4906)</f>
        <v>3</v>
      </c>
      <c r="G4906" s="3">
        <f t="shared" ref="G4906:G4967" si="1115">DAY(B4906)</f>
        <v>13</v>
      </c>
      <c r="H4906" s="3">
        <f t="shared" ref="H4906:H4967" si="1116">HOUR(B4906)</f>
        <v>12</v>
      </c>
      <c r="I4906" s="3">
        <f t="shared" ref="I4906:I4967" si="1117">MINUTE(B4906)</f>
        <v>49</v>
      </c>
      <c r="J4906" s="3">
        <f t="shared" ref="J4906:J4967" si="1118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19">IF(OR(N4906="Auto",O4906="Auto"),"YES",IF(OR(N4906="Taxi",O4906="Taxi"),"YES",IF(OR(N4906="Van",O4906="Van"),"YES",IF(OR(N4906="Truck",O4906="Truck"),"YES","NO"))))</f>
        <v>YES</v>
      </c>
      <c r="Q4906" t="str">
        <f t="shared" ref="Q4906:Q4967" si="1120">IF(OR(N4906="Bicycle",O4906="Bicycle"),"YES","NO")</f>
        <v>NO</v>
      </c>
      <c r="R4906" t="str">
        <f t="shared" ref="R4906:R4967" si="1121">IF(OR(N4906="Pedestrian",O4906="Pedestrian"),"YES","NO")</f>
        <v>YES</v>
      </c>
      <c r="T4906" t="s">
        <v>105</v>
      </c>
      <c r="U4906" t="str">
        <f t="shared" si="1108"/>
        <v>Broadway</v>
      </c>
      <c r="V4906" t="s">
        <v>2158</v>
      </c>
      <c r="W4906" t="str">
        <f t="shared" si="1109"/>
        <v>Lee St</v>
      </c>
      <c r="X4906" t="str">
        <f>IF(ISBLANK(S4906),"Intersection","Non-Intersection")</f>
        <v>Intersection</v>
      </c>
      <c r="Y4906" t="s">
        <v>2878</v>
      </c>
      <c r="Z4906" t="str">
        <f t="shared" si="1110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11"/>
        <v>41275</v>
      </c>
      <c r="D4907" s="4">
        <f t="shared" si="1112"/>
        <v>0.19452054794520549</v>
      </c>
      <c r="E4907" s="3">
        <f t="shared" si="1113"/>
        <v>2013</v>
      </c>
      <c r="F4907" s="3">
        <f t="shared" si="1114"/>
        <v>3</v>
      </c>
      <c r="G4907" s="3">
        <f t="shared" si="1115"/>
        <v>13</v>
      </c>
      <c r="H4907" s="3">
        <f t="shared" si="1116"/>
        <v>13</v>
      </c>
      <c r="I4907" s="3">
        <f t="shared" si="1117"/>
        <v>30</v>
      </c>
      <c r="J4907" s="3">
        <f t="shared" si="1118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19"/>
        <v>YES</v>
      </c>
      <c r="Q4907" t="str">
        <f t="shared" si="1120"/>
        <v>NO</v>
      </c>
      <c r="R4907" t="str">
        <f t="shared" si="1121"/>
        <v>NO</v>
      </c>
      <c r="S4907">
        <v>20</v>
      </c>
      <c r="T4907" t="s">
        <v>325</v>
      </c>
      <c r="U4907" t="str">
        <f t="shared" si="1108"/>
        <v>Eliot St</v>
      </c>
      <c r="W4907" t="str">
        <f t="shared" si="1109"/>
        <v/>
      </c>
      <c r="X4907" t="str">
        <f>IF(ISBLANK(S4907),"Intersection","Non-Intersection")</f>
        <v>Non-Intersection</v>
      </c>
      <c r="Y4907" t="s">
        <v>3316</v>
      </c>
      <c r="Z4907" t="str">
        <f t="shared" si="1110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11"/>
        <v>41275</v>
      </c>
      <c r="D4908" s="4">
        <f t="shared" si="1112"/>
        <v>0.19726027397260273</v>
      </c>
      <c r="E4908" s="3">
        <f t="shared" si="1113"/>
        <v>2013</v>
      </c>
      <c r="F4908" s="3">
        <f t="shared" si="1114"/>
        <v>3</v>
      </c>
      <c r="G4908" s="3">
        <f t="shared" si="1115"/>
        <v>14</v>
      </c>
      <c r="H4908" s="3">
        <f t="shared" si="1116"/>
        <v>8</v>
      </c>
      <c r="I4908" s="3">
        <f t="shared" si="1117"/>
        <v>15</v>
      </c>
      <c r="J4908" s="3">
        <f t="shared" si="1118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19"/>
        <v>YES</v>
      </c>
      <c r="Q4908" t="str">
        <f t="shared" si="1120"/>
        <v>YES</v>
      </c>
      <c r="R4908" t="str">
        <f t="shared" si="1121"/>
        <v>NO</v>
      </c>
      <c r="T4908" t="s">
        <v>14</v>
      </c>
      <c r="U4908" t="str">
        <f t="shared" si="1108"/>
        <v>Massachusetts Ave</v>
      </c>
      <c r="V4908" t="s">
        <v>5379</v>
      </c>
      <c r="W4908" t="str">
        <f t="shared" si="1109"/>
        <v>Tyler Ct</v>
      </c>
      <c r="X4908" t="str">
        <f>IF(ISBLANK(S4908),"Intersection","Non-Intersection")</f>
        <v>Intersection</v>
      </c>
      <c r="Y4908" t="s">
        <v>5380</v>
      </c>
      <c r="Z4908" t="str">
        <f t="shared" si="1110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11"/>
        <v>41275</v>
      </c>
      <c r="D4909" s="4">
        <f t="shared" si="1112"/>
        <v>0.19726027397260273</v>
      </c>
      <c r="E4909" s="3">
        <f t="shared" si="1113"/>
        <v>2013</v>
      </c>
      <c r="F4909" s="3">
        <f t="shared" si="1114"/>
        <v>3</v>
      </c>
      <c r="G4909" s="3">
        <f t="shared" si="1115"/>
        <v>14</v>
      </c>
      <c r="H4909" s="3">
        <f t="shared" si="1116"/>
        <v>11</v>
      </c>
      <c r="I4909" s="3">
        <f t="shared" si="1117"/>
        <v>49</v>
      </c>
      <c r="J4909" s="3">
        <f t="shared" si="1118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19"/>
        <v>YES</v>
      </c>
      <c r="Q4909" t="str">
        <f t="shared" si="1120"/>
        <v>NO</v>
      </c>
      <c r="R4909" t="str">
        <f t="shared" si="1121"/>
        <v>NO</v>
      </c>
      <c r="S4909">
        <v>330</v>
      </c>
      <c r="T4909" t="s">
        <v>27</v>
      </c>
      <c r="U4909" t="str">
        <f t="shared" si="1108"/>
        <v>Western Ave</v>
      </c>
      <c r="V4909" t="s">
        <v>42</v>
      </c>
      <c r="W4909" t="str">
        <f t="shared" si="1109"/>
        <v>Putnam Ave</v>
      </c>
      <c r="X4909" t="str">
        <f>IF(ISBLANK(S4909),"Intersection","Non-Intersection")</f>
        <v>Non-Intersection</v>
      </c>
      <c r="Y4909" t="s">
        <v>5489</v>
      </c>
      <c r="Z4909" t="str">
        <f t="shared" si="1110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11"/>
        <v>41275</v>
      </c>
      <c r="D4910" s="4">
        <f t="shared" si="1112"/>
        <v>0.19726027397260273</v>
      </c>
      <c r="E4910" s="3">
        <f t="shared" si="1113"/>
        <v>2013</v>
      </c>
      <c r="F4910" s="3">
        <f t="shared" si="1114"/>
        <v>3</v>
      </c>
      <c r="G4910" s="3">
        <f t="shared" si="1115"/>
        <v>14</v>
      </c>
      <c r="H4910" s="3">
        <f t="shared" si="1116"/>
        <v>8</v>
      </c>
      <c r="I4910" s="3">
        <f t="shared" si="1117"/>
        <v>0</v>
      </c>
      <c r="J4910" s="3">
        <f t="shared" si="1118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19"/>
        <v>YES</v>
      </c>
      <c r="Q4910" t="str">
        <f t="shared" si="1120"/>
        <v>NO</v>
      </c>
      <c r="R4910" t="str">
        <f t="shared" si="1121"/>
        <v>NO</v>
      </c>
      <c r="T4910" t="s">
        <v>147</v>
      </c>
      <c r="U4910" t="str">
        <f t="shared" si="1108"/>
        <v>Sixth St</v>
      </c>
      <c r="V4910" t="s">
        <v>209</v>
      </c>
      <c r="W4910" t="str">
        <f t="shared" si="1109"/>
        <v>Binney St</v>
      </c>
      <c r="X4910" t="str">
        <f>IF(ISBLANK(S4910),"Intersection","Non-Intersection")</f>
        <v>Intersection</v>
      </c>
      <c r="Y4910" t="s">
        <v>5491</v>
      </c>
      <c r="Z4910" t="str">
        <f t="shared" si="1110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11"/>
        <v>41275</v>
      </c>
      <c r="D4911" s="4">
        <f t="shared" si="1112"/>
        <v>0.19726027397260273</v>
      </c>
      <c r="E4911" s="3">
        <f t="shared" si="1113"/>
        <v>2013</v>
      </c>
      <c r="F4911" s="3">
        <f t="shared" si="1114"/>
        <v>3</v>
      </c>
      <c r="G4911" s="3">
        <f t="shared" si="1115"/>
        <v>14</v>
      </c>
      <c r="H4911" s="3">
        <f t="shared" si="1116"/>
        <v>19</v>
      </c>
      <c r="I4911" s="3">
        <f t="shared" si="1117"/>
        <v>30</v>
      </c>
      <c r="J4911" s="3">
        <f t="shared" si="1118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19"/>
        <v>YES</v>
      </c>
      <c r="Q4911" t="str">
        <f t="shared" si="1120"/>
        <v>YES</v>
      </c>
      <c r="R4911" t="str">
        <f t="shared" si="1121"/>
        <v>NO</v>
      </c>
      <c r="T4911" t="s">
        <v>14</v>
      </c>
      <c r="U4911" t="str">
        <f t="shared" si="1108"/>
        <v>Massachusetts Ave</v>
      </c>
      <c r="V4911" t="s">
        <v>302</v>
      </c>
      <c r="W4911" t="str">
        <f t="shared" si="1109"/>
        <v>Waterhouse St</v>
      </c>
      <c r="X4911" t="str">
        <f>IF(ISBLANK(S4911),"Intersection","Non-Intersection")</f>
        <v>Intersection</v>
      </c>
      <c r="Y4911" t="s">
        <v>303</v>
      </c>
      <c r="Z4911" t="str">
        <f t="shared" si="1110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11"/>
        <v>41275</v>
      </c>
      <c r="D4912" s="4">
        <f t="shared" si="1112"/>
        <v>0.19726027397260273</v>
      </c>
      <c r="E4912" s="3">
        <f t="shared" si="1113"/>
        <v>2013</v>
      </c>
      <c r="F4912" s="3">
        <f t="shared" si="1114"/>
        <v>3</v>
      </c>
      <c r="G4912" s="3">
        <f t="shared" si="1115"/>
        <v>14</v>
      </c>
      <c r="H4912" s="3">
        <f t="shared" si="1116"/>
        <v>18</v>
      </c>
      <c r="I4912" s="3">
        <f t="shared" si="1117"/>
        <v>30</v>
      </c>
      <c r="J4912" s="3">
        <f t="shared" si="1118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19"/>
        <v>YES</v>
      </c>
      <c r="Q4912" t="str">
        <f t="shared" si="1120"/>
        <v>NO</v>
      </c>
      <c r="R4912" t="str">
        <f t="shared" si="1121"/>
        <v>NO</v>
      </c>
      <c r="S4912">
        <v>1130</v>
      </c>
      <c r="T4912" t="s">
        <v>14</v>
      </c>
      <c r="U4912" t="str">
        <f t="shared" si="1108"/>
        <v>Massachusetts Ave</v>
      </c>
      <c r="W4912" t="str">
        <f t="shared" si="1109"/>
        <v/>
      </c>
      <c r="X4912" t="str">
        <f>IF(ISBLANK(S4912),"Intersection","Non-Intersection")</f>
        <v>Non-Intersection</v>
      </c>
      <c r="Y4912" t="s">
        <v>5492</v>
      </c>
      <c r="Z4912" t="str">
        <f t="shared" si="1110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11"/>
        <v>41275</v>
      </c>
      <c r="D4913" s="4">
        <f t="shared" si="1112"/>
        <v>0.2</v>
      </c>
      <c r="E4913" s="3">
        <f t="shared" si="1113"/>
        <v>2013</v>
      </c>
      <c r="F4913" s="3">
        <f t="shared" si="1114"/>
        <v>3</v>
      </c>
      <c r="G4913" s="3">
        <f t="shared" si="1115"/>
        <v>15</v>
      </c>
      <c r="H4913" s="3">
        <f t="shared" si="1116"/>
        <v>6</v>
      </c>
      <c r="I4913" s="3">
        <f t="shared" si="1117"/>
        <v>40</v>
      </c>
      <c r="J4913" s="3">
        <f t="shared" si="1118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19"/>
        <v>YES</v>
      </c>
      <c r="Q4913" t="str">
        <f t="shared" si="1120"/>
        <v>NO</v>
      </c>
      <c r="R4913" t="str">
        <f t="shared" si="1121"/>
        <v>NO</v>
      </c>
      <c r="T4913" t="s">
        <v>14</v>
      </c>
      <c r="U4913" t="str">
        <f t="shared" si="1108"/>
        <v>Massachusetts Ave</v>
      </c>
      <c r="V4913" t="s">
        <v>710</v>
      </c>
      <c r="W4913" t="str">
        <f t="shared" si="1109"/>
        <v>Fresh Pond Pky</v>
      </c>
      <c r="X4913" t="str">
        <f>IF(ISBLANK(S4913),"Intersection","Non-Intersection")</f>
        <v>Intersection</v>
      </c>
      <c r="Y4913" t="s">
        <v>2104</v>
      </c>
      <c r="Z4913" t="str">
        <f t="shared" si="1110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11"/>
        <v>41275</v>
      </c>
      <c r="D4914" s="4">
        <f t="shared" si="1112"/>
        <v>0.2</v>
      </c>
      <c r="E4914" s="3">
        <f t="shared" si="1113"/>
        <v>2013</v>
      </c>
      <c r="F4914" s="3">
        <f t="shared" si="1114"/>
        <v>3</v>
      </c>
      <c r="G4914" s="3">
        <f t="shared" si="1115"/>
        <v>15</v>
      </c>
      <c r="H4914" s="3">
        <f t="shared" si="1116"/>
        <v>6</v>
      </c>
      <c r="I4914" s="3">
        <f t="shared" si="1117"/>
        <v>59</v>
      </c>
      <c r="J4914" s="3">
        <f t="shared" si="1118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19"/>
        <v>YES</v>
      </c>
      <c r="Q4914" t="str">
        <f t="shared" si="1120"/>
        <v>NO</v>
      </c>
      <c r="R4914" t="str">
        <f t="shared" si="1121"/>
        <v>NO</v>
      </c>
      <c r="S4914">
        <v>86</v>
      </c>
      <c r="T4914" t="s">
        <v>1024</v>
      </c>
      <c r="U4914" t="str">
        <f t="shared" si="1108"/>
        <v>Kinnaird St</v>
      </c>
      <c r="V4914" t="s">
        <v>2240</v>
      </c>
      <c r="W4914" t="str">
        <f t="shared" si="1109"/>
        <v>Bay St</v>
      </c>
      <c r="X4914" t="str">
        <f>IF(ISBLANK(S4914),"Intersection","Non-Intersection")</f>
        <v>Non-Intersection</v>
      </c>
      <c r="Y4914" t="s">
        <v>5494</v>
      </c>
      <c r="Z4914" t="str">
        <f t="shared" si="1110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11"/>
        <v>41275</v>
      </c>
      <c r="D4915" s="4">
        <f t="shared" si="1112"/>
        <v>0.2</v>
      </c>
      <c r="E4915" s="3">
        <f t="shared" si="1113"/>
        <v>2013</v>
      </c>
      <c r="F4915" s="3">
        <f t="shared" si="1114"/>
        <v>3</v>
      </c>
      <c r="G4915" s="3">
        <f t="shared" si="1115"/>
        <v>15</v>
      </c>
      <c r="H4915" s="3">
        <f t="shared" si="1116"/>
        <v>12</v>
      </c>
      <c r="I4915" s="3">
        <f t="shared" si="1117"/>
        <v>30</v>
      </c>
      <c r="J4915" s="3">
        <f t="shared" si="1118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19"/>
        <v>YES</v>
      </c>
      <c r="Q4915" t="str">
        <f t="shared" si="1120"/>
        <v>NO</v>
      </c>
      <c r="R4915" t="str">
        <f t="shared" si="1121"/>
        <v>NO</v>
      </c>
      <c r="T4915" t="s">
        <v>5496</v>
      </c>
      <c r="U4915" t="str">
        <f t="shared" si="1108"/>
        <v>Thingvalla Ave</v>
      </c>
      <c r="V4915" t="s">
        <v>5497</v>
      </c>
      <c r="W4915" t="str">
        <f t="shared" si="1109"/>
        <v>Sullivan Rd</v>
      </c>
      <c r="X4915" t="str">
        <f>IF(ISBLANK(S4915),"Intersection","Non-Intersection")</f>
        <v>Intersection</v>
      </c>
      <c r="Y4915" t="s">
        <v>5498</v>
      </c>
      <c r="Z4915" t="str">
        <f t="shared" si="1110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11"/>
        <v>41275</v>
      </c>
      <c r="D4916" s="4">
        <f t="shared" si="1112"/>
        <v>0.2</v>
      </c>
      <c r="E4916" s="3">
        <f t="shared" si="1113"/>
        <v>2013</v>
      </c>
      <c r="F4916" s="3">
        <f t="shared" si="1114"/>
        <v>3</v>
      </c>
      <c r="G4916" s="3">
        <f t="shared" si="1115"/>
        <v>15</v>
      </c>
      <c r="H4916" s="3">
        <f t="shared" si="1116"/>
        <v>17</v>
      </c>
      <c r="I4916" s="3">
        <f t="shared" si="1117"/>
        <v>0</v>
      </c>
      <c r="J4916" s="3">
        <f t="shared" si="1118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19"/>
        <v>YES</v>
      </c>
      <c r="Q4916" t="str">
        <f t="shared" si="1120"/>
        <v>NO</v>
      </c>
      <c r="R4916" t="str">
        <f t="shared" si="1121"/>
        <v>NO</v>
      </c>
      <c r="S4916">
        <v>140</v>
      </c>
      <c r="T4916" t="s">
        <v>133</v>
      </c>
      <c r="U4916" t="str">
        <f t="shared" si="1108"/>
        <v>Harvard St</v>
      </c>
      <c r="W4916" t="str">
        <f t="shared" si="1109"/>
        <v/>
      </c>
      <c r="X4916" t="str">
        <f>IF(ISBLANK(S4916),"Intersection","Non-Intersection")</f>
        <v>Non-Intersection</v>
      </c>
      <c r="Y4916" t="s">
        <v>4238</v>
      </c>
      <c r="Z4916" t="str">
        <f t="shared" si="1110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11"/>
        <v>41275</v>
      </c>
      <c r="D4917" s="4">
        <f t="shared" si="1112"/>
        <v>0.20273972602739726</v>
      </c>
      <c r="E4917" s="3">
        <f t="shared" si="1113"/>
        <v>2013</v>
      </c>
      <c r="F4917" s="3">
        <f t="shared" si="1114"/>
        <v>3</v>
      </c>
      <c r="G4917" s="3">
        <f t="shared" si="1115"/>
        <v>16</v>
      </c>
      <c r="H4917" s="3">
        <f t="shared" si="1116"/>
        <v>12</v>
      </c>
      <c r="I4917" s="3">
        <f t="shared" si="1117"/>
        <v>58</v>
      </c>
      <c r="J4917" s="3">
        <f t="shared" si="1118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19"/>
        <v>YES</v>
      </c>
      <c r="Q4917" t="str">
        <f t="shared" si="1120"/>
        <v>NO</v>
      </c>
      <c r="R4917" t="str">
        <f t="shared" si="1121"/>
        <v>NO</v>
      </c>
      <c r="T4917" t="s">
        <v>32</v>
      </c>
      <c r="U4917" t="str">
        <f t="shared" si="1108"/>
        <v>Main St</v>
      </c>
      <c r="V4917" t="s">
        <v>189</v>
      </c>
      <c r="W4917" t="str">
        <f t="shared" si="1109"/>
        <v>Windsor St</v>
      </c>
      <c r="X4917" t="str">
        <f>IF(ISBLANK(S4917),"Intersection","Non-Intersection")</f>
        <v>Intersection</v>
      </c>
      <c r="Y4917" t="s">
        <v>1737</v>
      </c>
      <c r="Z4917" t="str">
        <f t="shared" si="1110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11"/>
        <v>41275</v>
      </c>
      <c r="D4918" s="4">
        <f t="shared" si="1112"/>
        <v>0.20273972602739726</v>
      </c>
      <c r="E4918" s="3">
        <f t="shared" si="1113"/>
        <v>2013</v>
      </c>
      <c r="F4918" s="3">
        <f t="shared" si="1114"/>
        <v>3</v>
      </c>
      <c r="G4918" s="3">
        <f t="shared" si="1115"/>
        <v>16</v>
      </c>
      <c r="H4918" s="3">
        <f t="shared" si="1116"/>
        <v>22</v>
      </c>
      <c r="I4918" s="3">
        <f t="shared" si="1117"/>
        <v>15</v>
      </c>
      <c r="J4918" s="3">
        <f t="shared" si="1118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19"/>
        <v>YES</v>
      </c>
      <c r="Q4918" t="str">
        <f t="shared" si="1120"/>
        <v>NO</v>
      </c>
      <c r="R4918" t="str">
        <f t="shared" si="1121"/>
        <v>NO</v>
      </c>
      <c r="T4918" t="s">
        <v>105</v>
      </c>
      <c r="U4918" t="str">
        <f t="shared" si="1108"/>
        <v>Broadway</v>
      </c>
      <c r="V4918" t="s">
        <v>342</v>
      </c>
      <c r="W4918" t="str">
        <f t="shared" si="1109"/>
        <v>Prospect St</v>
      </c>
      <c r="X4918" t="str">
        <f>IF(ISBLANK(S4918),"Intersection","Non-Intersection")</f>
        <v>Intersection</v>
      </c>
      <c r="Y4918" t="s">
        <v>343</v>
      </c>
      <c r="Z4918" t="str">
        <f t="shared" si="1110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11"/>
        <v>41275</v>
      </c>
      <c r="D4919" s="4">
        <f t="shared" si="1112"/>
        <v>0.20273972602739726</v>
      </c>
      <c r="E4919" s="3">
        <f t="shared" si="1113"/>
        <v>2013</v>
      </c>
      <c r="F4919" s="3">
        <f t="shared" si="1114"/>
        <v>3</v>
      </c>
      <c r="G4919" s="3">
        <f t="shared" si="1115"/>
        <v>16</v>
      </c>
      <c r="H4919" s="3">
        <f t="shared" si="1116"/>
        <v>1</v>
      </c>
      <c r="I4919" s="3">
        <f t="shared" si="1117"/>
        <v>40</v>
      </c>
      <c r="J4919" s="3">
        <f t="shared" si="1118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19"/>
        <v>YES</v>
      </c>
      <c r="Q4919" t="str">
        <f t="shared" si="1120"/>
        <v>NO</v>
      </c>
      <c r="R4919" t="str">
        <f t="shared" si="1121"/>
        <v>NO</v>
      </c>
      <c r="S4919">
        <v>11</v>
      </c>
      <c r="T4919" t="s">
        <v>935</v>
      </c>
      <c r="U4919" t="str">
        <f t="shared" si="1108"/>
        <v>Hawthorne St</v>
      </c>
      <c r="W4919" t="str">
        <f t="shared" si="1109"/>
        <v/>
      </c>
      <c r="X4919" t="str">
        <f>IF(ISBLANK(S4919),"Intersection","Non-Intersection")</f>
        <v>Non-Intersection</v>
      </c>
      <c r="Y4919" t="s">
        <v>5500</v>
      </c>
      <c r="Z4919" t="str">
        <f t="shared" si="1110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11"/>
        <v>41275</v>
      </c>
      <c r="D4920" s="4">
        <f t="shared" si="1112"/>
        <v>0.20273972602739726</v>
      </c>
      <c r="E4920" s="3">
        <f t="shared" si="1113"/>
        <v>2013</v>
      </c>
      <c r="F4920" s="3">
        <f t="shared" si="1114"/>
        <v>3</v>
      </c>
      <c r="G4920" s="3">
        <f t="shared" si="1115"/>
        <v>16</v>
      </c>
      <c r="H4920" s="3">
        <f t="shared" si="1116"/>
        <v>10</v>
      </c>
      <c r="I4920" s="3">
        <f t="shared" si="1117"/>
        <v>30</v>
      </c>
      <c r="J4920" s="3">
        <f t="shared" si="1118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19"/>
        <v>YES</v>
      </c>
      <c r="Q4920" t="str">
        <f t="shared" si="1120"/>
        <v>NO</v>
      </c>
      <c r="R4920" t="str">
        <f t="shared" si="1121"/>
        <v>NO</v>
      </c>
      <c r="S4920">
        <v>123</v>
      </c>
      <c r="T4920" t="s">
        <v>198</v>
      </c>
      <c r="U4920" t="str">
        <f t="shared" si="1108"/>
        <v>Mount Auburn St</v>
      </c>
      <c r="W4920" t="str">
        <f t="shared" si="1109"/>
        <v/>
      </c>
      <c r="X4920" t="str">
        <f>IF(ISBLANK(S4920),"Intersection","Non-Intersection")</f>
        <v>Non-Intersection</v>
      </c>
      <c r="Y4920" t="s">
        <v>5502</v>
      </c>
      <c r="Z4920" t="str">
        <f t="shared" si="1110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11"/>
        <v>41275</v>
      </c>
      <c r="D4921" s="4">
        <f t="shared" si="1112"/>
        <v>0.20273972602739726</v>
      </c>
      <c r="E4921" s="3">
        <f t="shared" si="1113"/>
        <v>2013</v>
      </c>
      <c r="F4921" s="3">
        <f t="shared" si="1114"/>
        <v>3</v>
      </c>
      <c r="G4921" s="3">
        <f t="shared" si="1115"/>
        <v>16</v>
      </c>
      <c r="H4921" s="3">
        <f t="shared" si="1116"/>
        <v>11</v>
      </c>
      <c r="I4921" s="3">
        <f t="shared" si="1117"/>
        <v>49</v>
      </c>
      <c r="J4921" s="3">
        <f t="shared" si="1118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19"/>
        <v>YES</v>
      </c>
      <c r="Q4921" t="str">
        <f t="shared" si="1120"/>
        <v>NO</v>
      </c>
      <c r="R4921" t="str">
        <f t="shared" si="1121"/>
        <v>NO</v>
      </c>
      <c r="S4921">
        <v>240</v>
      </c>
      <c r="T4921" t="s">
        <v>119</v>
      </c>
      <c r="U4921" t="str">
        <f t="shared" si="1108"/>
        <v>Albany St</v>
      </c>
      <c r="W4921" t="str">
        <f t="shared" si="1109"/>
        <v/>
      </c>
      <c r="X4921" t="str">
        <f>IF(ISBLANK(S4921),"Intersection","Non-Intersection")</f>
        <v>Non-Intersection</v>
      </c>
      <c r="Y4921" t="s">
        <v>4082</v>
      </c>
      <c r="Z4921" t="str">
        <f t="shared" si="1110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11"/>
        <v>41275</v>
      </c>
      <c r="D4922" s="4">
        <f t="shared" si="1112"/>
        <v>0.20547945205479451</v>
      </c>
      <c r="E4922" s="3">
        <f t="shared" si="1113"/>
        <v>2013</v>
      </c>
      <c r="F4922" s="3">
        <f t="shared" si="1114"/>
        <v>3</v>
      </c>
      <c r="G4922" s="3">
        <f t="shared" si="1115"/>
        <v>17</v>
      </c>
      <c r="H4922" s="3">
        <f t="shared" si="1116"/>
        <v>18</v>
      </c>
      <c r="I4922" s="3">
        <f t="shared" si="1117"/>
        <v>56</v>
      </c>
      <c r="J4922" s="3">
        <f t="shared" si="1118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19"/>
        <v>YES</v>
      </c>
      <c r="Q4922" t="str">
        <f t="shared" si="1120"/>
        <v>YES</v>
      </c>
      <c r="R4922" t="str">
        <f t="shared" si="1121"/>
        <v>NO</v>
      </c>
      <c r="T4922" t="s">
        <v>342</v>
      </c>
      <c r="U4922" t="str">
        <f t="shared" si="1108"/>
        <v>Prospect St</v>
      </c>
      <c r="V4922" t="s">
        <v>74</v>
      </c>
      <c r="W4922" t="str">
        <f t="shared" si="1109"/>
        <v>Hampshire St</v>
      </c>
      <c r="X4922" t="str">
        <f>IF(ISBLANK(S4922),"Intersection","Non-Intersection")</f>
        <v>Intersection</v>
      </c>
      <c r="Y4922" t="s">
        <v>964</v>
      </c>
      <c r="Z4922" t="str">
        <f t="shared" si="1110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11"/>
        <v>41275</v>
      </c>
      <c r="D4923" s="4">
        <f t="shared" si="1112"/>
        <v>0.20821917808219179</v>
      </c>
      <c r="E4923" s="3">
        <f t="shared" si="1113"/>
        <v>2013</v>
      </c>
      <c r="F4923" s="3">
        <f t="shared" si="1114"/>
        <v>3</v>
      </c>
      <c r="G4923" s="3">
        <f t="shared" si="1115"/>
        <v>18</v>
      </c>
      <c r="H4923" s="3">
        <f t="shared" si="1116"/>
        <v>10</v>
      </c>
      <c r="I4923" s="3">
        <f t="shared" si="1117"/>
        <v>15</v>
      </c>
      <c r="J4923" s="3">
        <f t="shared" si="1118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19"/>
        <v>YES</v>
      </c>
      <c r="Q4923" t="str">
        <f t="shared" si="1120"/>
        <v>NO</v>
      </c>
      <c r="R4923" t="str">
        <f t="shared" si="1121"/>
        <v>NO</v>
      </c>
      <c r="T4923" t="s">
        <v>5504</v>
      </c>
      <c r="U4923" t="str">
        <f t="shared" si="1108"/>
        <v>Kirkland Pl</v>
      </c>
      <c r="V4923" t="s">
        <v>1006</v>
      </c>
      <c r="W4923" t="str">
        <f t="shared" si="1109"/>
        <v>Irving St</v>
      </c>
      <c r="X4923" t="str">
        <f>IF(ISBLANK(S4923),"Intersection","Non-Intersection")</f>
        <v>Intersection</v>
      </c>
      <c r="Y4923" t="s">
        <v>5505</v>
      </c>
      <c r="Z4923" t="str">
        <f t="shared" si="1110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11"/>
        <v>41275</v>
      </c>
      <c r="D4924" s="4">
        <f t="shared" si="1112"/>
        <v>0.20821917808219179</v>
      </c>
      <c r="E4924" s="3">
        <f t="shared" si="1113"/>
        <v>2013</v>
      </c>
      <c r="F4924" s="3">
        <f t="shared" si="1114"/>
        <v>3</v>
      </c>
      <c r="G4924" s="3">
        <f t="shared" si="1115"/>
        <v>18</v>
      </c>
      <c r="H4924" s="3">
        <f t="shared" si="1116"/>
        <v>15</v>
      </c>
      <c r="I4924" s="3">
        <f t="shared" si="1117"/>
        <v>0</v>
      </c>
      <c r="J4924" s="3">
        <f t="shared" si="1118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19"/>
        <v>YES</v>
      </c>
      <c r="Q4924" t="str">
        <f t="shared" si="1120"/>
        <v>NO</v>
      </c>
      <c r="R4924" t="str">
        <f t="shared" si="1121"/>
        <v>NO</v>
      </c>
      <c r="T4924" t="s">
        <v>74</v>
      </c>
      <c r="U4924" t="str">
        <f t="shared" si="1108"/>
        <v>Hampshire St</v>
      </c>
      <c r="V4924" t="s">
        <v>667</v>
      </c>
      <c r="W4924" t="str">
        <f t="shared" si="1109"/>
        <v>Tremont St</v>
      </c>
      <c r="X4924" t="str">
        <f>IF(ISBLANK(S4924),"Intersection","Non-Intersection")</f>
        <v>Intersection</v>
      </c>
      <c r="Y4924" t="s">
        <v>668</v>
      </c>
      <c r="Z4924" t="str">
        <f t="shared" si="1110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11"/>
        <v>41275</v>
      </c>
      <c r="D4925" s="4">
        <f t="shared" si="1112"/>
        <v>0.20821917808219179</v>
      </c>
      <c r="E4925" s="3">
        <f t="shared" si="1113"/>
        <v>2013</v>
      </c>
      <c r="F4925" s="3">
        <f t="shared" si="1114"/>
        <v>3</v>
      </c>
      <c r="G4925" s="3">
        <f t="shared" si="1115"/>
        <v>18</v>
      </c>
      <c r="H4925" s="3">
        <f t="shared" si="1116"/>
        <v>15</v>
      </c>
      <c r="I4925" s="3">
        <f t="shared" si="1117"/>
        <v>45</v>
      </c>
      <c r="J4925" s="3">
        <f t="shared" si="1118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19"/>
        <v>YES</v>
      </c>
      <c r="Q4925" t="str">
        <f t="shared" si="1120"/>
        <v>NO</v>
      </c>
      <c r="R4925" t="str">
        <f t="shared" si="1121"/>
        <v>NO</v>
      </c>
      <c r="S4925">
        <v>8</v>
      </c>
      <c r="T4925" t="s">
        <v>325</v>
      </c>
      <c r="U4925" t="str">
        <f t="shared" si="1108"/>
        <v>Eliot St</v>
      </c>
      <c r="W4925" t="str">
        <f t="shared" si="1109"/>
        <v/>
      </c>
      <c r="X4925" t="str">
        <f>IF(ISBLANK(S4925),"Intersection","Non-Intersection")</f>
        <v>Non-Intersection</v>
      </c>
      <c r="Y4925" t="s">
        <v>5506</v>
      </c>
      <c r="Z4925" t="str">
        <f t="shared" si="1110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11"/>
        <v>41275</v>
      </c>
      <c r="D4926" s="4">
        <f t="shared" si="1112"/>
        <v>0.20821917808219179</v>
      </c>
      <c r="E4926" s="3">
        <f t="shared" si="1113"/>
        <v>2013</v>
      </c>
      <c r="F4926" s="3">
        <f t="shared" si="1114"/>
        <v>3</v>
      </c>
      <c r="G4926" s="3">
        <f t="shared" si="1115"/>
        <v>18</v>
      </c>
      <c r="H4926" s="3">
        <f t="shared" si="1116"/>
        <v>16</v>
      </c>
      <c r="I4926" s="3">
        <f t="shared" si="1117"/>
        <v>44</v>
      </c>
      <c r="J4926" s="3">
        <f t="shared" si="1118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19"/>
        <v>YES</v>
      </c>
      <c r="Q4926" t="str">
        <f t="shared" si="1120"/>
        <v>NO</v>
      </c>
      <c r="R4926" t="str">
        <f t="shared" si="1121"/>
        <v>NO</v>
      </c>
      <c r="S4926">
        <v>53</v>
      </c>
      <c r="T4926" t="s">
        <v>268</v>
      </c>
      <c r="U4926" t="str">
        <f t="shared" si="1108"/>
        <v>White St</v>
      </c>
      <c r="W4926" t="str">
        <f t="shared" si="1109"/>
        <v/>
      </c>
      <c r="X4926" t="str">
        <f>IF(ISBLANK(S4926),"Intersection","Non-Intersection")</f>
        <v>Non-Intersection</v>
      </c>
      <c r="Y4926" t="s">
        <v>4931</v>
      </c>
      <c r="Z4926" t="str">
        <f t="shared" si="1110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11"/>
        <v>41275</v>
      </c>
      <c r="D4927" s="4">
        <f t="shared" si="1112"/>
        <v>0.20821917808219179</v>
      </c>
      <c r="E4927" s="3">
        <f t="shared" si="1113"/>
        <v>2013</v>
      </c>
      <c r="F4927" s="3">
        <f t="shared" si="1114"/>
        <v>3</v>
      </c>
      <c r="G4927" s="3">
        <f t="shared" si="1115"/>
        <v>18</v>
      </c>
      <c r="H4927" s="3">
        <f t="shared" si="1116"/>
        <v>17</v>
      </c>
      <c r="I4927" s="3">
        <f t="shared" si="1117"/>
        <v>0</v>
      </c>
      <c r="J4927" s="3">
        <f t="shared" si="1118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19"/>
        <v>YES</v>
      </c>
      <c r="Q4927" t="str">
        <f t="shared" si="1120"/>
        <v>NO</v>
      </c>
      <c r="R4927" t="str">
        <f t="shared" si="1121"/>
        <v>NO</v>
      </c>
      <c r="T4927" t="s">
        <v>710</v>
      </c>
      <c r="U4927" t="str">
        <f t="shared" si="1108"/>
        <v>Fresh Pond Pky</v>
      </c>
      <c r="W4927" t="str">
        <f t="shared" si="1109"/>
        <v/>
      </c>
      <c r="X4927" t="str">
        <f>IF(ISBLANK(S4927),"Intersection","Non-Intersection")</f>
        <v>Intersection</v>
      </c>
      <c r="Y4927" t="s">
        <v>726</v>
      </c>
      <c r="Z4927" t="str">
        <f t="shared" si="1110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11"/>
        <v>41275</v>
      </c>
      <c r="D4928" s="4">
        <f t="shared" si="1112"/>
        <v>0.20821917808219179</v>
      </c>
      <c r="E4928" s="3">
        <f t="shared" si="1113"/>
        <v>2013</v>
      </c>
      <c r="F4928" s="3">
        <f t="shared" si="1114"/>
        <v>3</v>
      </c>
      <c r="G4928" s="3">
        <f t="shared" si="1115"/>
        <v>18</v>
      </c>
      <c r="H4928" s="3">
        <f t="shared" si="1116"/>
        <v>23</v>
      </c>
      <c r="I4928" s="3">
        <f t="shared" si="1117"/>
        <v>39</v>
      </c>
      <c r="J4928" s="3">
        <f t="shared" si="1118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19"/>
        <v>YES</v>
      </c>
      <c r="Q4928" t="str">
        <f t="shared" si="1120"/>
        <v>NO</v>
      </c>
      <c r="R4928" t="str">
        <f t="shared" si="1121"/>
        <v>NO</v>
      </c>
      <c r="T4928" t="s">
        <v>142</v>
      </c>
      <c r="U4928" t="str">
        <f t="shared" si="1108"/>
        <v>Huron Ave</v>
      </c>
      <c r="V4928" t="s">
        <v>1510</v>
      </c>
      <c r="W4928" t="str">
        <f t="shared" si="1109"/>
        <v>Reservoir St</v>
      </c>
      <c r="X4928" t="str">
        <f>IF(ISBLANK(S4928),"Intersection","Non-Intersection")</f>
        <v>Intersection</v>
      </c>
      <c r="Y4928" t="s">
        <v>2595</v>
      </c>
      <c r="Z4928" t="str">
        <f t="shared" si="1110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11"/>
        <v>41275</v>
      </c>
      <c r="D4929" s="4">
        <f t="shared" si="1112"/>
        <v>0.21095890410958903</v>
      </c>
      <c r="E4929" s="3">
        <f t="shared" si="1113"/>
        <v>2013</v>
      </c>
      <c r="F4929" s="3">
        <f t="shared" si="1114"/>
        <v>3</v>
      </c>
      <c r="G4929" s="3">
        <f t="shared" si="1115"/>
        <v>19</v>
      </c>
      <c r="H4929" s="3">
        <f t="shared" si="1116"/>
        <v>12</v>
      </c>
      <c r="I4929" s="3">
        <f t="shared" si="1117"/>
        <v>49</v>
      </c>
      <c r="J4929" s="3">
        <f t="shared" si="1118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19"/>
        <v>YES</v>
      </c>
      <c r="Q4929" t="str">
        <f t="shared" si="1120"/>
        <v>NO</v>
      </c>
      <c r="R4929" t="str">
        <f t="shared" si="1121"/>
        <v>NO</v>
      </c>
      <c r="S4929">
        <v>700</v>
      </c>
      <c r="T4929" t="s">
        <v>2524</v>
      </c>
      <c r="U4929" t="str">
        <f t="shared" si="1108"/>
        <v>Technology Sq</v>
      </c>
      <c r="V4929" t="s">
        <v>796</v>
      </c>
      <c r="W4929" t="str">
        <f t="shared" si="1109"/>
        <v>Portland St</v>
      </c>
      <c r="X4929" t="str">
        <f>IF(ISBLANK(S4929),"Intersection","Non-Intersection")</f>
        <v>Non-Intersection</v>
      </c>
      <c r="Y4929" t="s">
        <v>5508</v>
      </c>
      <c r="Z4929" t="str">
        <f t="shared" si="1110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11"/>
        <v>41275</v>
      </c>
      <c r="D4930" s="4">
        <f t="shared" si="1112"/>
        <v>0.21369863013698631</v>
      </c>
      <c r="E4930" s="3">
        <f t="shared" si="1113"/>
        <v>2013</v>
      </c>
      <c r="F4930" s="3">
        <f t="shared" si="1114"/>
        <v>3</v>
      </c>
      <c r="G4930" s="3">
        <f t="shared" si="1115"/>
        <v>20</v>
      </c>
      <c r="H4930" s="3">
        <f t="shared" si="1116"/>
        <v>11</v>
      </c>
      <c r="I4930" s="3">
        <f t="shared" si="1117"/>
        <v>48</v>
      </c>
      <c r="J4930" s="3">
        <f t="shared" si="1118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19"/>
        <v>YES</v>
      </c>
      <c r="Q4930" t="str">
        <f t="shared" si="1120"/>
        <v>NO</v>
      </c>
      <c r="R4930" t="str">
        <f t="shared" si="1121"/>
        <v>NO</v>
      </c>
      <c r="T4930" t="s">
        <v>170</v>
      </c>
      <c r="U4930" t="str">
        <f t="shared" si="1108"/>
        <v>Alewife Brook Pky</v>
      </c>
      <c r="W4930" t="str">
        <f t="shared" si="1109"/>
        <v/>
      </c>
      <c r="X4930" t="str">
        <f>IF(ISBLANK(S4930),"Intersection","Non-Intersection")</f>
        <v>Intersection</v>
      </c>
      <c r="Y4930" t="s">
        <v>604</v>
      </c>
      <c r="Z4930" t="str">
        <f t="shared" si="1110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11"/>
        <v>41275</v>
      </c>
      <c r="D4931" s="4">
        <f t="shared" si="1112"/>
        <v>0.21369863013698631</v>
      </c>
      <c r="E4931" s="3">
        <f t="shared" si="1113"/>
        <v>2013</v>
      </c>
      <c r="F4931" s="3">
        <f t="shared" si="1114"/>
        <v>3</v>
      </c>
      <c r="G4931" s="3">
        <f t="shared" si="1115"/>
        <v>20</v>
      </c>
      <c r="H4931" s="3">
        <f t="shared" si="1116"/>
        <v>15</v>
      </c>
      <c r="I4931" s="3">
        <f t="shared" si="1117"/>
        <v>0</v>
      </c>
      <c r="J4931" s="3">
        <f t="shared" si="1118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19"/>
        <v>YES</v>
      </c>
      <c r="Q4931" t="str">
        <f t="shared" si="1120"/>
        <v>NO</v>
      </c>
      <c r="R4931" t="str">
        <f t="shared" si="1121"/>
        <v>NO</v>
      </c>
      <c r="S4931">
        <v>725</v>
      </c>
      <c r="T4931" t="s">
        <v>186</v>
      </c>
      <c r="U4931" t="str">
        <f t="shared" ref="U4931:U4994" si="1122">TRIM(PROPER(T4931))</f>
        <v>Concord Ave</v>
      </c>
      <c r="W4931" t="str">
        <f t="shared" ref="W4931:W4994" si="1123">TRIM(PROPER(V4931))</f>
        <v/>
      </c>
      <c r="X4931" t="str">
        <f>IF(ISBLANK(S4931),"Intersection","Non-Intersection")</f>
        <v>Non-Intersection</v>
      </c>
      <c r="Y4931" t="s">
        <v>617</v>
      </c>
      <c r="Z4931" t="str">
        <f t="shared" ref="Z4931:Z4994" si="1124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11"/>
        <v>41275</v>
      </c>
      <c r="D4932" s="4">
        <f t="shared" si="1112"/>
        <v>0.21369863013698631</v>
      </c>
      <c r="E4932" s="3">
        <f t="shared" si="1113"/>
        <v>2013</v>
      </c>
      <c r="F4932" s="3">
        <f t="shared" si="1114"/>
        <v>3</v>
      </c>
      <c r="G4932" s="3">
        <f t="shared" si="1115"/>
        <v>20</v>
      </c>
      <c r="H4932" s="3">
        <f t="shared" si="1116"/>
        <v>20</v>
      </c>
      <c r="I4932" s="3">
        <f t="shared" si="1117"/>
        <v>1</v>
      </c>
      <c r="J4932" s="3">
        <f t="shared" si="1118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19"/>
        <v>YES</v>
      </c>
      <c r="Q4932" t="str">
        <f t="shared" si="1120"/>
        <v>NO</v>
      </c>
      <c r="R4932" t="str">
        <f t="shared" si="1121"/>
        <v>NO</v>
      </c>
      <c r="T4932" t="s">
        <v>209</v>
      </c>
      <c r="U4932" t="str">
        <f t="shared" si="1122"/>
        <v>Binney St</v>
      </c>
      <c r="V4932" t="s">
        <v>379</v>
      </c>
      <c r="W4932" t="str">
        <f t="shared" si="1123"/>
        <v>Second St</v>
      </c>
      <c r="X4932" t="str">
        <f>IF(ISBLANK(S4932),"Intersection","Non-Intersection")</f>
        <v>Intersection</v>
      </c>
      <c r="Y4932" t="s">
        <v>3870</v>
      </c>
      <c r="Z4932" t="str">
        <f t="shared" si="1124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11"/>
        <v>41275</v>
      </c>
      <c r="D4933" s="4">
        <f t="shared" si="1112"/>
        <v>0.21369863013698631</v>
      </c>
      <c r="E4933" s="3">
        <f t="shared" si="1113"/>
        <v>2013</v>
      </c>
      <c r="F4933" s="3">
        <f t="shared" si="1114"/>
        <v>3</v>
      </c>
      <c r="G4933" s="3">
        <f t="shared" si="1115"/>
        <v>20</v>
      </c>
      <c r="H4933" s="3">
        <f t="shared" si="1116"/>
        <v>10</v>
      </c>
      <c r="I4933" s="3">
        <f t="shared" si="1117"/>
        <v>19</v>
      </c>
      <c r="J4933" s="3">
        <f t="shared" si="1118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19"/>
        <v>YES</v>
      </c>
      <c r="Q4933" t="str">
        <f t="shared" si="1120"/>
        <v>NO</v>
      </c>
      <c r="R4933" t="str">
        <f t="shared" si="1121"/>
        <v>NO</v>
      </c>
      <c r="S4933">
        <v>152</v>
      </c>
      <c r="T4933" t="s">
        <v>198</v>
      </c>
      <c r="U4933" t="str">
        <f t="shared" si="1122"/>
        <v>Mount Auburn St</v>
      </c>
      <c r="W4933" t="str">
        <f t="shared" si="1123"/>
        <v/>
      </c>
      <c r="X4933" t="str">
        <f>IF(ISBLANK(S4933),"Intersection","Non-Intersection")</f>
        <v>Non-Intersection</v>
      </c>
      <c r="Y4933" t="s">
        <v>5510</v>
      </c>
      <c r="Z4933" t="str">
        <f t="shared" si="1124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11"/>
        <v>41275</v>
      </c>
      <c r="D4934" s="4">
        <f t="shared" si="1112"/>
        <v>0.21369863013698631</v>
      </c>
      <c r="E4934" s="3">
        <f t="shared" si="1113"/>
        <v>2013</v>
      </c>
      <c r="F4934" s="3">
        <f t="shared" si="1114"/>
        <v>3</v>
      </c>
      <c r="G4934" s="3">
        <f t="shared" si="1115"/>
        <v>20</v>
      </c>
      <c r="H4934" s="3">
        <f t="shared" si="1116"/>
        <v>20</v>
      </c>
      <c r="I4934" s="3">
        <f t="shared" si="1117"/>
        <v>0</v>
      </c>
      <c r="J4934" s="3">
        <f t="shared" si="1118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19"/>
        <v>YES</v>
      </c>
      <c r="Q4934" t="str">
        <f t="shared" si="1120"/>
        <v>NO</v>
      </c>
      <c r="R4934" t="str">
        <f t="shared" si="1121"/>
        <v>YES</v>
      </c>
      <c r="T4934" t="s">
        <v>133</v>
      </c>
      <c r="U4934" t="str">
        <f t="shared" si="1122"/>
        <v>Harvard St</v>
      </c>
      <c r="V4934" t="s">
        <v>745</v>
      </c>
      <c r="W4934" t="str">
        <f t="shared" si="1123"/>
        <v>Norfolk St</v>
      </c>
      <c r="X4934" t="str">
        <f>IF(ISBLANK(S4934),"Intersection","Non-Intersection")</f>
        <v>Intersection</v>
      </c>
      <c r="Y4934" t="s">
        <v>5512</v>
      </c>
      <c r="Z4934" t="str">
        <f t="shared" si="1124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11"/>
        <v>41275</v>
      </c>
      <c r="D4935" s="4">
        <f t="shared" si="1112"/>
        <v>0.21643835616438356</v>
      </c>
      <c r="E4935" s="3">
        <f t="shared" si="1113"/>
        <v>2013</v>
      </c>
      <c r="F4935" s="3">
        <f t="shared" si="1114"/>
        <v>3</v>
      </c>
      <c r="G4935" s="3">
        <f t="shared" si="1115"/>
        <v>21</v>
      </c>
      <c r="H4935" s="3">
        <f t="shared" si="1116"/>
        <v>7</v>
      </c>
      <c r="I4935" s="3">
        <f t="shared" si="1117"/>
        <v>40</v>
      </c>
      <c r="J4935" s="3">
        <f t="shared" si="1118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19"/>
        <v>YES</v>
      </c>
      <c r="Q4935" t="str">
        <f t="shared" si="1120"/>
        <v>YES</v>
      </c>
      <c r="R4935" t="str">
        <f t="shared" si="1121"/>
        <v>NO</v>
      </c>
      <c r="T4935" t="s">
        <v>15</v>
      </c>
      <c r="U4935" t="str">
        <f t="shared" si="1122"/>
        <v>Rindge Ave</v>
      </c>
      <c r="V4935" t="s">
        <v>1158</v>
      </c>
      <c r="W4935" t="str">
        <f t="shared" si="1123"/>
        <v>Clifton St</v>
      </c>
      <c r="X4935" t="str">
        <f>IF(ISBLANK(S4935),"Intersection","Non-Intersection")</f>
        <v>Intersection</v>
      </c>
      <c r="Y4935" t="s">
        <v>1159</v>
      </c>
      <c r="Z4935" t="str">
        <f t="shared" si="1124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11"/>
        <v>41275</v>
      </c>
      <c r="D4936" s="4">
        <f t="shared" si="1112"/>
        <v>0.21643835616438356</v>
      </c>
      <c r="E4936" s="3">
        <f t="shared" si="1113"/>
        <v>2013</v>
      </c>
      <c r="F4936" s="3">
        <f t="shared" si="1114"/>
        <v>3</v>
      </c>
      <c r="G4936" s="3">
        <f t="shared" si="1115"/>
        <v>21</v>
      </c>
      <c r="H4936" s="3">
        <f t="shared" si="1116"/>
        <v>9</v>
      </c>
      <c r="I4936" s="3">
        <f t="shared" si="1117"/>
        <v>0</v>
      </c>
      <c r="J4936" s="3">
        <f t="shared" si="1118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19"/>
        <v>YES</v>
      </c>
      <c r="Q4936" t="str">
        <f t="shared" si="1120"/>
        <v>YES</v>
      </c>
      <c r="R4936" t="str">
        <f t="shared" si="1121"/>
        <v>NO</v>
      </c>
      <c r="S4936">
        <v>1000</v>
      </c>
      <c r="T4936" t="s">
        <v>19</v>
      </c>
      <c r="U4936" t="str">
        <f t="shared" si="1122"/>
        <v>Cambridge St</v>
      </c>
      <c r="W4936" t="str">
        <f t="shared" si="1123"/>
        <v/>
      </c>
      <c r="X4936" t="str">
        <f>IF(ISBLANK(S4936),"Intersection","Non-Intersection")</f>
        <v>Non-Intersection</v>
      </c>
      <c r="Y4936" t="s">
        <v>3814</v>
      </c>
      <c r="Z4936" t="str">
        <f t="shared" si="1124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11"/>
        <v>41275</v>
      </c>
      <c r="D4937" s="4">
        <f t="shared" si="1112"/>
        <v>0.21643835616438356</v>
      </c>
      <c r="E4937" s="3">
        <f t="shared" si="1113"/>
        <v>2013</v>
      </c>
      <c r="F4937" s="3">
        <f t="shared" si="1114"/>
        <v>3</v>
      </c>
      <c r="G4937" s="3">
        <f t="shared" si="1115"/>
        <v>21</v>
      </c>
      <c r="H4937" s="3">
        <f t="shared" si="1116"/>
        <v>16</v>
      </c>
      <c r="I4937" s="3">
        <f t="shared" si="1117"/>
        <v>15</v>
      </c>
      <c r="J4937" s="3">
        <f t="shared" si="1118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19"/>
        <v>YES</v>
      </c>
      <c r="Q4937" t="str">
        <f t="shared" si="1120"/>
        <v>NO</v>
      </c>
      <c r="R4937" t="str">
        <f t="shared" si="1121"/>
        <v>NO</v>
      </c>
      <c r="T4937" t="s">
        <v>105</v>
      </c>
      <c r="U4937" t="str">
        <f t="shared" si="1122"/>
        <v>Broadway</v>
      </c>
      <c r="W4937" t="str">
        <f t="shared" si="1123"/>
        <v/>
      </c>
      <c r="X4937" t="str">
        <f>IF(ISBLANK(S4937),"Intersection","Non-Intersection")</f>
        <v>Intersection</v>
      </c>
      <c r="Y4937" t="s">
        <v>974</v>
      </c>
      <c r="Z4937" t="str">
        <f t="shared" si="1124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11"/>
        <v>41275</v>
      </c>
      <c r="D4938" s="4">
        <f t="shared" si="1112"/>
        <v>0.21643835616438356</v>
      </c>
      <c r="E4938" s="3">
        <f t="shared" si="1113"/>
        <v>2013</v>
      </c>
      <c r="F4938" s="3">
        <f t="shared" si="1114"/>
        <v>3</v>
      </c>
      <c r="G4938" s="3">
        <f t="shared" si="1115"/>
        <v>21</v>
      </c>
      <c r="H4938" s="3">
        <f t="shared" si="1116"/>
        <v>16</v>
      </c>
      <c r="I4938" s="3">
        <f t="shared" si="1117"/>
        <v>22</v>
      </c>
      <c r="J4938" s="3">
        <f t="shared" si="1118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19"/>
        <v>YES</v>
      </c>
      <c r="Q4938" t="str">
        <f t="shared" si="1120"/>
        <v>NO</v>
      </c>
      <c r="R4938" t="str">
        <f t="shared" si="1121"/>
        <v>NO</v>
      </c>
      <c r="S4938">
        <v>300</v>
      </c>
      <c r="T4938" t="s">
        <v>260</v>
      </c>
      <c r="U4938" t="str">
        <f t="shared" si="1122"/>
        <v>Third St</v>
      </c>
      <c r="V4938" t="s">
        <v>5514</v>
      </c>
      <c r="W4938" t="str">
        <f t="shared" si="1123"/>
        <v>Linsky Way</v>
      </c>
      <c r="X4938" t="str">
        <f>IF(ISBLANK(S4938),"Intersection","Non-Intersection")</f>
        <v>Non-Intersection</v>
      </c>
      <c r="Y4938" t="s">
        <v>5515</v>
      </c>
      <c r="Z4938" t="str">
        <f t="shared" si="1124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11"/>
        <v>41275</v>
      </c>
      <c r="D4939" s="4">
        <f t="shared" si="1112"/>
        <v>0.21643835616438356</v>
      </c>
      <c r="E4939" s="3">
        <f t="shared" si="1113"/>
        <v>2013</v>
      </c>
      <c r="F4939" s="3">
        <f t="shared" si="1114"/>
        <v>3</v>
      </c>
      <c r="G4939" s="3">
        <f t="shared" si="1115"/>
        <v>21</v>
      </c>
      <c r="H4939" s="3">
        <f t="shared" si="1116"/>
        <v>11</v>
      </c>
      <c r="I4939" s="3">
        <f t="shared" si="1117"/>
        <v>49</v>
      </c>
      <c r="J4939" s="3">
        <f t="shared" si="1118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19"/>
        <v>YES</v>
      </c>
      <c r="Q4939" t="str">
        <f t="shared" si="1120"/>
        <v>NO</v>
      </c>
      <c r="R4939" t="str">
        <f t="shared" si="1121"/>
        <v>NO</v>
      </c>
      <c r="S4939">
        <v>168</v>
      </c>
      <c r="T4939" t="s">
        <v>170</v>
      </c>
      <c r="U4939" t="str">
        <f t="shared" si="1122"/>
        <v>Alewife Brook Pky</v>
      </c>
      <c r="W4939" t="str">
        <f t="shared" si="1123"/>
        <v/>
      </c>
      <c r="X4939" t="str">
        <f>IF(ISBLANK(S4939),"Intersection","Non-Intersection")</f>
        <v>Non-Intersection</v>
      </c>
      <c r="Y4939" t="s">
        <v>2921</v>
      </c>
      <c r="Z4939" t="str">
        <f t="shared" si="1124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11"/>
        <v>41275</v>
      </c>
      <c r="D4940" s="4">
        <f t="shared" si="1112"/>
        <v>0.21917808219178081</v>
      </c>
      <c r="E4940" s="3">
        <f t="shared" si="1113"/>
        <v>2013</v>
      </c>
      <c r="F4940" s="3">
        <f t="shared" si="1114"/>
        <v>3</v>
      </c>
      <c r="G4940" s="3">
        <f t="shared" si="1115"/>
        <v>22</v>
      </c>
      <c r="H4940" s="3">
        <f t="shared" si="1116"/>
        <v>15</v>
      </c>
      <c r="I4940" s="3">
        <f t="shared" si="1117"/>
        <v>4</v>
      </c>
      <c r="J4940" s="3">
        <f t="shared" si="1118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19"/>
        <v>YES</v>
      </c>
      <c r="Q4940" t="str">
        <f t="shared" si="1120"/>
        <v>NO</v>
      </c>
      <c r="R4940" t="str">
        <f t="shared" si="1121"/>
        <v>NO</v>
      </c>
      <c r="T4940" t="s">
        <v>4196</v>
      </c>
      <c r="U4940" t="str">
        <f t="shared" si="1122"/>
        <v>Harrington Ter</v>
      </c>
      <c r="W4940" t="str">
        <f t="shared" si="1123"/>
        <v/>
      </c>
      <c r="X4940" t="str">
        <f>IF(ISBLANK(S4940),"Intersection","Non-Intersection")</f>
        <v>Intersection</v>
      </c>
      <c r="Y4940" t="s">
        <v>5517</v>
      </c>
      <c r="Z4940" t="str">
        <f t="shared" si="1124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11"/>
        <v>41275</v>
      </c>
      <c r="D4941" s="4">
        <f t="shared" si="1112"/>
        <v>0.21917808219178081</v>
      </c>
      <c r="E4941" s="3">
        <f t="shared" si="1113"/>
        <v>2013</v>
      </c>
      <c r="F4941" s="3">
        <f t="shared" si="1114"/>
        <v>3</v>
      </c>
      <c r="G4941" s="3">
        <f t="shared" si="1115"/>
        <v>22</v>
      </c>
      <c r="H4941" s="3">
        <f t="shared" si="1116"/>
        <v>15</v>
      </c>
      <c r="I4941" s="3">
        <f t="shared" si="1117"/>
        <v>59</v>
      </c>
      <c r="J4941" s="3">
        <f t="shared" si="1118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19"/>
        <v>YES</v>
      </c>
      <c r="Q4941" t="str">
        <f t="shared" si="1120"/>
        <v>NO</v>
      </c>
      <c r="R4941" t="str">
        <f t="shared" si="1121"/>
        <v>NO</v>
      </c>
      <c r="T4941" t="s">
        <v>41</v>
      </c>
      <c r="U4941" t="str">
        <f t="shared" si="1122"/>
        <v>River St</v>
      </c>
      <c r="V4941" t="s">
        <v>108</v>
      </c>
      <c r="W4941" t="str">
        <f t="shared" si="1123"/>
        <v>Franklin St</v>
      </c>
      <c r="X4941" t="str">
        <f>IF(ISBLANK(S4941),"Intersection","Non-Intersection")</f>
        <v>Intersection</v>
      </c>
      <c r="Y4941" t="s">
        <v>427</v>
      </c>
      <c r="Z4941" t="str">
        <f t="shared" si="1124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11"/>
        <v>41275</v>
      </c>
      <c r="D4942" s="4">
        <f t="shared" si="1112"/>
        <v>0.22191780821917809</v>
      </c>
      <c r="E4942" s="3">
        <f t="shared" si="1113"/>
        <v>2013</v>
      </c>
      <c r="F4942" s="3">
        <f t="shared" si="1114"/>
        <v>3</v>
      </c>
      <c r="G4942" s="3">
        <f t="shared" si="1115"/>
        <v>23</v>
      </c>
      <c r="H4942" s="3">
        <f t="shared" si="1116"/>
        <v>21</v>
      </c>
      <c r="I4942" s="3">
        <f t="shared" si="1117"/>
        <v>0</v>
      </c>
      <c r="J4942" s="3">
        <f t="shared" si="1118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19"/>
        <v>YES</v>
      </c>
      <c r="Q4942" t="str">
        <f t="shared" si="1120"/>
        <v>NO</v>
      </c>
      <c r="R4942" t="str">
        <f t="shared" si="1121"/>
        <v>NO</v>
      </c>
      <c r="S4942">
        <v>247</v>
      </c>
      <c r="T4942" t="s">
        <v>710</v>
      </c>
      <c r="U4942" t="str">
        <f t="shared" si="1122"/>
        <v>Fresh Pond Pky</v>
      </c>
      <c r="W4942" t="str">
        <f t="shared" si="1123"/>
        <v/>
      </c>
      <c r="X4942" t="str">
        <f>IF(ISBLANK(S4942),"Intersection","Non-Intersection")</f>
        <v>Non-Intersection</v>
      </c>
      <c r="Y4942" t="s">
        <v>5518</v>
      </c>
      <c r="Z4942" t="str">
        <f t="shared" si="1124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11"/>
        <v>41275</v>
      </c>
      <c r="D4943" s="4">
        <f t="shared" si="1112"/>
        <v>0.22465753424657534</v>
      </c>
      <c r="E4943" s="3">
        <f t="shared" si="1113"/>
        <v>2013</v>
      </c>
      <c r="F4943" s="3">
        <f t="shared" si="1114"/>
        <v>3</v>
      </c>
      <c r="G4943" s="3">
        <f t="shared" si="1115"/>
        <v>24</v>
      </c>
      <c r="H4943" s="3">
        <f t="shared" si="1116"/>
        <v>14</v>
      </c>
      <c r="I4943" s="3">
        <f t="shared" si="1117"/>
        <v>55</v>
      </c>
      <c r="J4943" s="3">
        <f t="shared" si="1118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19"/>
        <v>YES</v>
      </c>
      <c r="Q4943" t="str">
        <f t="shared" si="1120"/>
        <v>NO</v>
      </c>
      <c r="R4943" t="str">
        <f t="shared" si="1121"/>
        <v>NO</v>
      </c>
      <c r="T4943" t="s">
        <v>19</v>
      </c>
      <c r="U4943" t="str">
        <f t="shared" si="1122"/>
        <v>Cambridge St</v>
      </c>
      <c r="V4943" t="s">
        <v>3385</v>
      </c>
      <c r="W4943" t="str">
        <f t="shared" si="1123"/>
        <v>Seventh St</v>
      </c>
      <c r="X4943" t="str">
        <f>IF(ISBLANK(S4943),"Intersection","Non-Intersection")</f>
        <v>Intersection</v>
      </c>
      <c r="Y4943" t="s">
        <v>5520</v>
      </c>
      <c r="Z4943" t="str">
        <f t="shared" si="1124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11"/>
        <v>41275</v>
      </c>
      <c r="D4944" s="4">
        <f t="shared" si="1112"/>
        <v>0.22739726027397261</v>
      </c>
      <c r="E4944" s="3">
        <f t="shared" si="1113"/>
        <v>2013</v>
      </c>
      <c r="F4944" s="3">
        <f t="shared" si="1114"/>
        <v>3</v>
      </c>
      <c r="G4944" s="3">
        <f t="shared" si="1115"/>
        <v>25</v>
      </c>
      <c r="H4944" s="3">
        <f t="shared" si="1116"/>
        <v>12</v>
      </c>
      <c r="I4944" s="3">
        <f t="shared" si="1117"/>
        <v>30</v>
      </c>
      <c r="J4944" s="3">
        <f t="shared" si="1118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19"/>
        <v>YES</v>
      </c>
      <c r="Q4944" t="str">
        <f t="shared" si="1120"/>
        <v>NO</v>
      </c>
      <c r="R4944" t="str">
        <f t="shared" si="1121"/>
        <v>NO</v>
      </c>
      <c r="S4944">
        <v>11</v>
      </c>
      <c r="T4944" t="s">
        <v>902</v>
      </c>
      <c r="U4944" t="str">
        <f t="shared" si="1122"/>
        <v>Frost St</v>
      </c>
      <c r="W4944" t="str">
        <f t="shared" si="1123"/>
        <v/>
      </c>
      <c r="X4944" t="str">
        <f>IF(ISBLANK(S4944),"Intersection","Non-Intersection")</f>
        <v>Non-Intersection</v>
      </c>
      <c r="Y4944" t="s">
        <v>5522</v>
      </c>
      <c r="Z4944" t="str">
        <f t="shared" si="1124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11"/>
        <v>41275</v>
      </c>
      <c r="D4945" s="4">
        <f t="shared" si="1112"/>
        <v>0.23013698630136986</v>
      </c>
      <c r="E4945" s="3">
        <f t="shared" si="1113"/>
        <v>2013</v>
      </c>
      <c r="F4945" s="3">
        <f t="shared" si="1114"/>
        <v>3</v>
      </c>
      <c r="G4945" s="3">
        <f t="shared" si="1115"/>
        <v>26</v>
      </c>
      <c r="H4945" s="3">
        <f t="shared" si="1116"/>
        <v>15</v>
      </c>
      <c r="I4945" s="3">
        <f t="shared" si="1117"/>
        <v>59</v>
      </c>
      <c r="J4945" s="3">
        <f t="shared" si="1118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19"/>
        <v>YES</v>
      </c>
      <c r="Q4945" t="str">
        <f t="shared" si="1120"/>
        <v>NO</v>
      </c>
      <c r="R4945" t="str">
        <f t="shared" si="1121"/>
        <v>NO</v>
      </c>
      <c r="S4945">
        <v>100</v>
      </c>
      <c r="T4945" t="s">
        <v>1062</v>
      </c>
      <c r="U4945" t="str">
        <f t="shared" si="1122"/>
        <v>Cambridgeside Pl</v>
      </c>
      <c r="W4945" t="str">
        <f t="shared" si="1123"/>
        <v/>
      </c>
      <c r="X4945" t="str">
        <f>IF(ISBLANK(S4945),"Intersection","Non-Intersection")</f>
        <v>Non-Intersection</v>
      </c>
      <c r="Y4945" t="s">
        <v>1143</v>
      </c>
      <c r="Z4945" t="str">
        <f t="shared" si="1124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11"/>
        <v>41275</v>
      </c>
      <c r="D4946" s="4">
        <f t="shared" si="1112"/>
        <v>0.23013698630136986</v>
      </c>
      <c r="E4946" s="3">
        <f t="shared" si="1113"/>
        <v>2013</v>
      </c>
      <c r="F4946" s="3">
        <f t="shared" si="1114"/>
        <v>3</v>
      </c>
      <c r="G4946" s="3">
        <f t="shared" si="1115"/>
        <v>26</v>
      </c>
      <c r="H4946" s="3">
        <f t="shared" si="1116"/>
        <v>16</v>
      </c>
      <c r="I4946" s="3">
        <f t="shared" si="1117"/>
        <v>18</v>
      </c>
      <c r="J4946" s="3">
        <f t="shared" si="1118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19"/>
        <v>YES</v>
      </c>
      <c r="Q4946" t="str">
        <f t="shared" si="1120"/>
        <v>NO</v>
      </c>
      <c r="R4946" t="str">
        <f t="shared" si="1121"/>
        <v>NO</v>
      </c>
      <c r="T4946" t="s">
        <v>195</v>
      </c>
      <c r="U4946" t="str">
        <f t="shared" si="1122"/>
        <v>Sidney St</v>
      </c>
      <c r="V4946" t="s">
        <v>958</v>
      </c>
      <c r="W4946" t="str">
        <f t="shared" si="1123"/>
        <v>Pacific St</v>
      </c>
      <c r="X4946" t="str">
        <f>IF(ISBLANK(S4946),"Intersection","Non-Intersection")</f>
        <v>Intersection</v>
      </c>
      <c r="Y4946" t="s">
        <v>1415</v>
      </c>
      <c r="Z4946" t="str">
        <f t="shared" si="1124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11"/>
        <v>41275</v>
      </c>
      <c r="D4947" s="4">
        <f t="shared" si="1112"/>
        <v>0.23013698630136986</v>
      </c>
      <c r="E4947" s="3">
        <f t="shared" si="1113"/>
        <v>2013</v>
      </c>
      <c r="F4947" s="3">
        <f t="shared" si="1114"/>
        <v>3</v>
      </c>
      <c r="G4947" s="3">
        <f t="shared" si="1115"/>
        <v>26</v>
      </c>
      <c r="H4947" s="3">
        <f t="shared" si="1116"/>
        <v>12</v>
      </c>
      <c r="I4947" s="3">
        <f t="shared" si="1117"/>
        <v>45</v>
      </c>
      <c r="J4947" s="3">
        <f t="shared" si="1118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19"/>
        <v>YES</v>
      </c>
      <c r="Q4947" t="str">
        <f t="shared" si="1120"/>
        <v>NO</v>
      </c>
      <c r="R4947" t="str">
        <f t="shared" si="1121"/>
        <v>NO</v>
      </c>
      <c r="T4947" t="s">
        <v>19</v>
      </c>
      <c r="U4947" t="str">
        <f t="shared" si="1122"/>
        <v>Cambridge St</v>
      </c>
      <c r="V4947" t="s">
        <v>387</v>
      </c>
      <c r="W4947" t="str">
        <f t="shared" si="1123"/>
        <v>Antrim St</v>
      </c>
      <c r="X4947" t="str">
        <f>IF(ISBLANK(S4947),"Intersection","Non-Intersection")</f>
        <v>Intersection</v>
      </c>
      <c r="Y4947" t="s">
        <v>952</v>
      </c>
      <c r="Z4947" t="str">
        <f t="shared" si="1124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11"/>
        <v>41275</v>
      </c>
      <c r="D4948" s="4">
        <f t="shared" si="1112"/>
        <v>0.23287671232876711</v>
      </c>
      <c r="E4948" s="3">
        <f t="shared" si="1113"/>
        <v>2013</v>
      </c>
      <c r="F4948" s="3">
        <f t="shared" si="1114"/>
        <v>3</v>
      </c>
      <c r="G4948" s="3">
        <f t="shared" si="1115"/>
        <v>27</v>
      </c>
      <c r="H4948" s="3">
        <f t="shared" si="1116"/>
        <v>11</v>
      </c>
      <c r="I4948" s="3">
        <f t="shared" si="1117"/>
        <v>0</v>
      </c>
      <c r="J4948" s="3">
        <f t="shared" si="1118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19"/>
        <v>YES</v>
      </c>
      <c r="Q4948" t="str">
        <f t="shared" si="1120"/>
        <v>NO</v>
      </c>
      <c r="R4948" t="str">
        <f t="shared" si="1121"/>
        <v>NO</v>
      </c>
      <c r="T4948" t="s">
        <v>32</v>
      </c>
      <c r="U4948" t="str">
        <f t="shared" si="1122"/>
        <v>Main St</v>
      </c>
      <c r="V4948" t="s">
        <v>203</v>
      </c>
      <c r="W4948" t="str">
        <f t="shared" si="1123"/>
        <v>Memorial Dr</v>
      </c>
      <c r="X4948" t="str">
        <f>IF(ISBLANK(S4948),"Intersection","Non-Intersection")</f>
        <v>Intersection</v>
      </c>
      <c r="Y4948" t="s">
        <v>1872</v>
      </c>
      <c r="Z4948" t="str">
        <f t="shared" si="1124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11"/>
        <v>41275</v>
      </c>
      <c r="D4949" s="4">
        <f t="shared" si="1112"/>
        <v>0.23287671232876711</v>
      </c>
      <c r="E4949" s="3">
        <f t="shared" si="1113"/>
        <v>2013</v>
      </c>
      <c r="F4949" s="3">
        <f t="shared" si="1114"/>
        <v>3</v>
      </c>
      <c r="G4949" s="3">
        <f t="shared" si="1115"/>
        <v>27</v>
      </c>
      <c r="H4949" s="3">
        <f t="shared" si="1116"/>
        <v>14</v>
      </c>
      <c r="I4949" s="3">
        <f t="shared" si="1117"/>
        <v>3</v>
      </c>
      <c r="J4949" s="3">
        <f t="shared" si="1118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19"/>
        <v>YES</v>
      </c>
      <c r="Q4949" t="str">
        <f t="shared" si="1120"/>
        <v>NO</v>
      </c>
      <c r="R4949" t="str">
        <f t="shared" si="1121"/>
        <v>NO</v>
      </c>
      <c r="T4949" t="s">
        <v>42</v>
      </c>
      <c r="U4949" t="str">
        <f t="shared" si="1122"/>
        <v>Putnam Ave</v>
      </c>
      <c r="V4949" t="s">
        <v>1024</v>
      </c>
      <c r="W4949" t="str">
        <f t="shared" si="1123"/>
        <v>Kinnaird St</v>
      </c>
      <c r="X4949" t="str">
        <f>IF(ISBLANK(S4949),"Intersection","Non-Intersection")</f>
        <v>Intersection</v>
      </c>
      <c r="Y4949" t="s">
        <v>2183</v>
      </c>
      <c r="Z4949" t="str">
        <f t="shared" si="1124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11"/>
        <v>41275</v>
      </c>
      <c r="D4950" s="4">
        <f t="shared" si="1112"/>
        <v>0.23287671232876711</v>
      </c>
      <c r="E4950" s="3">
        <f t="shared" si="1113"/>
        <v>2013</v>
      </c>
      <c r="F4950" s="3">
        <f t="shared" si="1114"/>
        <v>3</v>
      </c>
      <c r="G4950" s="3">
        <f t="shared" si="1115"/>
        <v>27</v>
      </c>
      <c r="H4950" s="3">
        <f t="shared" si="1116"/>
        <v>18</v>
      </c>
      <c r="I4950" s="3">
        <f t="shared" si="1117"/>
        <v>0</v>
      </c>
      <c r="J4950" s="3">
        <f t="shared" si="1118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19"/>
        <v>YES</v>
      </c>
      <c r="Q4950" t="str">
        <f t="shared" si="1120"/>
        <v>NO</v>
      </c>
      <c r="R4950" t="str">
        <f t="shared" si="1121"/>
        <v>NO</v>
      </c>
      <c r="T4950" t="s">
        <v>587</v>
      </c>
      <c r="U4950" t="str">
        <f t="shared" si="1122"/>
        <v>Webster Ave</v>
      </c>
      <c r="V4950" t="s">
        <v>2344</v>
      </c>
      <c r="W4950" t="str">
        <f t="shared" si="1123"/>
        <v>Bristol St</v>
      </c>
      <c r="X4950" t="str">
        <f>IF(ISBLANK(S4950),"Intersection","Non-Intersection")</f>
        <v>Intersection</v>
      </c>
      <c r="Y4950" t="s">
        <v>2345</v>
      </c>
      <c r="Z4950" t="str">
        <f t="shared" si="1124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11"/>
        <v>41275</v>
      </c>
      <c r="D4951" s="4">
        <f t="shared" si="1112"/>
        <v>0.23287671232876711</v>
      </c>
      <c r="E4951" s="3">
        <f t="shared" si="1113"/>
        <v>2013</v>
      </c>
      <c r="F4951" s="3">
        <f t="shared" si="1114"/>
        <v>3</v>
      </c>
      <c r="G4951" s="3">
        <f t="shared" si="1115"/>
        <v>27</v>
      </c>
      <c r="H4951" s="3">
        <f t="shared" si="1116"/>
        <v>15</v>
      </c>
      <c r="I4951" s="3">
        <f t="shared" si="1117"/>
        <v>0</v>
      </c>
      <c r="J4951" s="3">
        <f t="shared" si="1118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19"/>
        <v>YES</v>
      </c>
      <c r="Q4951" t="str">
        <f t="shared" si="1120"/>
        <v>NO</v>
      </c>
      <c r="R4951" t="str">
        <f t="shared" si="1121"/>
        <v>NO</v>
      </c>
      <c r="S4951">
        <v>615</v>
      </c>
      <c r="T4951" t="s">
        <v>186</v>
      </c>
      <c r="U4951" t="str">
        <f t="shared" si="1122"/>
        <v>Concord Ave</v>
      </c>
      <c r="W4951" t="str">
        <f t="shared" si="1123"/>
        <v/>
      </c>
      <c r="X4951" t="str">
        <f>IF(ISBLANK(S4951),"Intersection","Non-Intersection")</f>
        <v>Non-Intersection</v>
      </c>
      <c r="Y4951" t="s">
        <v>2303</v>
      </c>
      <c r="Z4951" t="str">
        <f t="shared" si="1124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11"/>
        <v>41275</v>
      </c>
      <c r="D4952" s="4">
        <f t="shared" si="1112"/>
        <v>0.23561643835616439</v>
      </c>
      <c r="E4952" s="3">
        <f t="shared" si="1113"/>
        <v>2013</v>
      </c>
      <c r="F4952" s="3">
        <f t="shared" si="1114"/>
        <v>3</v>
      </c>
      <c r="G4952" s="3">
        <f t="shared" si="1115"/>
        <v>28</v>
      </c>
      <c r="H4952" s="3">
        <f t="shared" si="1116"/>
        <v>12</v>
      </c>
      <c r="I4952" s="3">
        <f t="shared" si="1117"/>
        <v>20</v>
      </c>
      <c r="J4952" s="3">
        <f t="shared" si="1118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19"/>
        <v>YES</v>
      </c>
      <c r="Q4952" t="str">
        <f t="shared" si="1120"/>
        <v>NO</v>
      </c>
      <c r="R4952" t="str">
        <f t="shared" si="1121"/>
        <v>YES</v>
      </c>
      <c r="T4952" t="s">
        <v>41</v>
      </c>
      <c r="U4952" t="str">
        <f t="shared" si="1122"/>
        <v>River St</v>
      </c>
      <c r="V4952" t="s">
        <v>312</v>
      </c>
      <c r="W4952" t="str">
        <f t="shared" si="1123"/>
        <v>Auburn St</v>
      </c>
      <c r="X4952" t="str">
        <f>IF(ISBLANK(S4952),"Intersection","Non-Intersection")</f>
        <v>Intersection</v>
      </c>
      <c r="Y4952" t="s">
        <v>3355</v>
      </c>
      <c r="Z4952" t="str">
        <f t="shared" si="1124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11"/>
        <v>41275</v>
      </c>
      <c r="D4953" s="4">
        <f t="shared" si="1112"/>
        <v>0.23561643835616439</v>
      </c>
      <c r="E4953" s="3">
        <f t="shared" si="1113"/>
        <v>2013</v>
      </c>
      <c r="F4953" s="3">
        <f t="shared" si="1114"/>
        <v>3</v>
      </c>
      <c r="G4953" s="3">
        <f t="shared" si="1115"/>
        <v>28</v>
      </c>
      <c r="H4953" s="3">
        <f t="shared" si="1116"/>
        <v>14</v>
      </c>
      <c r="I4953" s="3">
        <f t="shared" si="1117"/>
        <v>29</v>
      </c>
      <c r="J4953" s="3">
        <f t="shared" si="1118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19"/>
        <v>YES</v>
      </c>
      <c r="Q4953" t="str">
        <f t="shared" si="1120"/>
        <v>NO</v>
      </c>
      <c r="R4953" t="str">
        <f t="shared" si="1121"/>
        <v>NO</v>
      </c>
      <c r="S4953">
        <v>748</v>
      </c>
      <c r="T4953" t="s">
        <v>203</v>
      </c>
      <c r="U4953" t="str">
        <f t="shared" si="1122"/>
        <v>Memorial Dr</v>
      </c>
      <c r="W4953" t="str">
        <f t="shared" si="1123"/>
        <v/>
      </c>
      <c r="X4953" t="str">
        <f>IF(ISBLANK(S4953),"Intersection","Non-Intersection")</f>
        <v>Non-Intersection</v>
      </c>
      <c r="Y4953" t="s">
        <v>1731</v>
      </c>
      <c r="Z4953" t="str">
        <f t="shared" si="1124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11"/>
        <v>41275</v>
      </c>
      <c r="D4954" s="4">
        <f t="shared" si="1112"/>
        <v>0.23561643835616439</v>
      </c>
      <c r="E4954" s="3">
        <f t="shared" si="1113"/>
        <v>2013</v>
      </c>
      <c r="F4954" s="3">
        <f t="shared" si="1114"/>
        <v>3</v>
      </c>
      <c r="G4954" s="3">
        <f t="shared" si="1115"/>
        <v>28</v>
      </c>
      <c r="H4954" s="3">
        <f t="shared" si="1116"/>
        <v>14</v>
      </c>
      <c r="I4954" s="3">
        <f t="shared" si="1117"/>
        <v>29</v>
      </c>
      <c r="J4954" s="3">
        <f t="shared" si="1118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19"/>
        <v>YES</v>
      </c>
      <c r="Q4954" t="str">
        <f t="shared" si="1120"/>
        <v>NO</v>
      </c>
      <c r="R4954" t="str">
        <f t="shared" si="1121"/>
        <v>NO</v>
      </c>
      <c r="T4954" t="s">
        <v>1019</v>
      </c>
      <c r="U4954" t="str">
        <f t="shared" si="1122"/>
        <v>Sellers St</v>
      </c>
      <c r="V4954" t="s">
        <v>14</v>
      </c>
      <c r="W4954" t="str">
        <f t="shared" si="1123"/>
        <v>Massachusetts Ave</v>
      </c>
      <c r="X4954" t="str">
        <f>IF(ISBLANK(S4954),"Intersection","Non-Intersection")</f>
        <v>Intersection</v>
      </c>
      <c r="Y4954" t="s">
        <v>5524</v>
      </c>
      <c r="Z4954" t="str">
        <f t="shared" si="1124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11"/>
        <v>41275</v>
      </c>
      <c r="D4955" s="4">
        <f t="shared" si="1112"/>
        <v>0.23835616438356164</v>
      </c>
      <c r="E4955" s="3">
        <f t="shared" si="1113"/>
        <v>2013</v>
      </c>
      <c r="F4955" s="3">
        <f t="shared" si="1114"/>
        <v>3</v>
      </c>
      <c r="G4955" s="3">
        <f t="shared" si="1115"/>
        <v>29</v>
      </c>
      <c r="H4955" s="3">
        <f t="shared" si="1116"/>
        <v>6</v>
      </c>
      <c r="I4955" s="3">
        <f t="shared" si="1117"/>
        <v>59</v>
      </c>
      <c r="J4955" s="3">
        <f t="shared" si="1118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19"/>
        <v>YES</v>
      </c>
      <c r="Q4955" t="str">
        <f t="shared" si="1120"/>
        <v>NO</v>
      </c>
      <c r="R4955" t="str">
        <f t="shared" si="1121"/>
        <v>NO</v>
      </c>
      <c r="T4955" t="s">
        <v>105</v>
      </c>
      <c r="U4955" t="str">
        <f t="shared" si="1122"/>
        <v>Broadway</v>
      </c>
      <c r="V4955" t="s">
        <v>189</v>
      </c>
      <c r="W4955" t="str">
        <f t="shared" si="1123"/>
        <v>Windsor St</v>
      </c>
      <c r="X4955" t="str">
        <f>IF(ISBLANK(S4955),"Intersection","Non-Intersection")</f>
        <v>Intersection</v>
      </c>
      <c r="Y4955" t="s">
        <v>477</v>
      </c>
      <c r="Z4955" t="str">
        <f t="shared" si="1124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11"/>
        <v>41275</v>
      </c>
      <c r="D4956" s="4">
        <f t="shared" si="1112"/>
        <v>0.23835616438356164</v>
      </c>
      <c r="E4956" s="3">
        <f t="shared" si="1113"/>
        <v>2013</v>
      </c>
      <c r="F4956" s="3">
        <f t="shared" si="1114"/>
        <v>3</v>
      </c>
      <c r="G4956" s="3">
        <f t="shared" si="1115"/>
        <v>29</v>
      </c>
      <c r="H4956" s="3">
        <f t="shared" si="1116"/>
        <v>9</v>
      </c>
      <c r="I4956" s="3">
        <f t="shared" si="1117"/>
        <v>4</v>
      </c>
      <c r="J4956" s="3">
        <f t="shared" si="1118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19"/>
        <v>YES</v>
      </c>
      <c r="Q4956" t="str">
        <f t="shared" si="1120"/>
        <v>YES</v>
      </c>
      <c r="R4956" t="str">
        <f t="shared" si="1121"/>
        <v>NO</v>
      </c>
      <c r="T4956" t="s">
        <v>19</v>
      </c>
      <c r="U4956" t="str">
        <f t="shared" si="1122"/>
        <v>Cambridge St</v>
      </c>
      <c r="V4956" t="s">
        <v>260</v>
      </c>
      <c r="W4956" t="str">
        <f t="shared" si="1123"/>
        <v>Third St</v>
      </c>
      <c r="X4956" t="str">
        <f>IF(ISBLANK(S4956),"Intersection","Non-Intersection")</f>
        <v>Intersection</v>
      </c>
      <c r="Y4956" t="s">
        <v>640</v>
      </c>
      <c r="Z4956" t="str">
        <f t="shared" si="1124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11"/>
        <v>41275</v>
      </c>
      <c r="D4957" s="4">
        <f t="shared" si="1112"/>
        <v>0.23835616438356164</v>
      </c>
      <c r="E4957" s="3">
        <f t="shared" si="1113"/>
        <v>2013</v>
      </c>
      <c r="F4957" s="3">
        <f t="shared" si="1114"/>
        <v>3</v>
      </c>
      <c r="G4957" s="3">
        <f t="shared" si="1115"/>
        <v>29</v>
      </c>
      <c r="H4957" s="3">
        <f t="shared" si="1116"/>
        <v>9</v>
      </c>
      <c r="I4957" s="3">
        <f t="shared" si="1117"/>
        <v>40</v>
      </c>
      <c r="J4957" s="3">
        <f t="shared" si="1118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19"/>
        <v>YES</v>
      </c>
      <c r="Q4957" t="str">
        <f t="shared" si="1120"/>
        <v>NO</v>
      </c>
      <c r="R4957" t="str">
        <f t="shared" si="1121"/>
        <v>NO</v>
      </c>
      <c r="S4957">
        <v>1000</v>
      </c>
      <c r="T4957" t="s">
        <v>14</v>
      </c>
      <c r="U4957" t="str">
        <f t="shared" si="1122"/>
        <v>Massachusetts Ave</v>
      </c>
      <c r="V4957" t="s">
        <v>5525</v>
      </c>
      <c r="W4957" t="str">
        <f t="shared" si="1123"/>
        <v>Harwell Dr</v>
      </c>
      <c r="X4957" t="str">
        <f>IF(ISBLANK(S4957),"Intersection","Non-Intersection")</f>
        <v>Non-Intersection</v>
      </c>
      <c r="Y4957" t="s">
        <v>5024</v>
      </c>
      <c r="Z4957" t="str">
        <f t="shared" si="1124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11"/>
        <v>41275</v>
      </c>
      <c r="D4958" s="4">
        <f t="shared" si="1112"/>
        <v>0.23835616438356164</v>
      </c>
      <c r="E4958" s="3">
        <f t="shared" si="1113"/>
        <v>2013</v>
      </c>
      <c r="F4958" s="3">
        <f t="shared" si="1114"/>
        <v>3</v>
      </c>
      <c r="G4958" s="3">
        <f t="shared" si="1115"/>
        <v>29</v>
      </c>
      <c r="H4958" s="3">
        <f t="shared" si="1116"/>
        <v>14</v>
      </c>
      <c r="I4958" s="3">
        <f t="shared" si="1117"/>
        <v>15</v>
      </c>
      <c r="J4958" s="3">
        <f t="shared" si="1118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19"/>
        <v>YES</v>
      </c>
      <c r="Q4958" t="str">
        <f t="shared" si="1120"/>
        <v>NO</v>
      </c>
      <c r="R4958" t="str">
        <f t="shared" si="1121"/>
        <v>NO</v>
      </c>
      <c r="T4958" t="s">
        <v>142</v>
      </c>
      <c r="U4958" t="str">
        <f t="shared" si="1122"/>
        <v>Huron Ave</v>
      </c>
      <c r="V4958" t="s">
        <v>459</v>
      </c>
      <c r="W4958" t="str">
        <f t="shared" si="1123"/>
        <v>Fayerweather St</v>
      </c>
      <c r="X4958" t="str">
        <f>IF(ISBLANK(S4958),"Intersection","Non-Intersection")</f>
        <v>Intersection</v>
      </c>
      <c r="Y4958" t="s">
        <v>460</v>
      </c>
      <c r="Z4958" t="str">
        <f t="shared" si="1124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11"/>
        <v>41275</v>
      </c>
      <c r="D4959" s="4">
        <f t="shared" si="1112"/>
        <v>0.23835616438356164</v>
      </c>
      <c r="E4959" s="3">
        <f t="shared" si="1113"/>
        <v>2013</v>
      </c>
      <c r="F4959" s="3">
        <f t="shared" si="1114"/>
        <v>3</v>
      </c>
      <c r="G4959" s="3">
        <f t="shared" si="1115"/>
        <v>29</v>
      </c>
      <c r="H4959" s="3">
        <f t="shared" si="1116"/>
        <v>15</v>
      </c>
      <c r="I4959" s="3">
        <f t="shared" si="1117"/>
        <v>14</v>
      </c>
      <c r="J4959" s="3">
        <f t="shared" si="1118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19"/>
        <v>YES</v>
      </c>
      <c r="Q4959" t="str">
        <f t="shared" si="1120"/>
        <v>NO</v>
      </c>
      <c r="R4959" t="str">
        <f t="shared" si="1121"/>
        <v>NO</v>
      </c>
      <c r="T4959" t="s">
        <v>27</v>
      </c>
      <c r="U4959" t="str">
        <f t="shared" si="1122"/>
        <v>Western Ave</v>
      </c>
      <c r="V4959" t="s">
        <v>42</v>
      </c>
      <c r="W4959" t="str">
        <f t="shared" si="1123"/>
        <v>Putnam Ave</v>
      </c>
      <c r="X4959" t="str">
        <f>IF(ISBLANK(S4959),"Intersection","Non-Intersection")</f>
        <v>Intersection</v>
      </c>
      <c r="Y4959" t="s">
        <v>1022</v>
      </c>
      <c r="Z4959" t="str">
        <f t="shared" si="1124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11"/>
        <v>41275</v>
      </c>
      <c r="D4960" s="4">
        <f t="shared" si="1112"/>
        <v>0.24109589041095891</v>
      </c>
      <c r="E4960" s="3">
        <f t="shared" si="1113"/>
        <v>2013</v>
      </c>
      <c r="F4960" s="3">
        <f t="shared" si="1114"/>
        <v>3</v>
      </c>
      <c r="G4960" s="3">
        <f t="shared" si="1115"/>
        <v>30</v>
      </c>
      <c r="H4960" s="3">
        <f t="shared" si="1116"/>
        <v>9</v>
      </c>
      <c r="I4960" s="3">
        <f t="shared" si="1117"/>
        <v>56</v>
      </c>
      <c r="J4960" s="3">
        <f t="shared" si="1118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19"/>
        <v>YES</v>
      </c>
      <c r="Q4960" t="str">
        <f t="shared" si="1120"/>
        <v>NO</v>
      </c>
      <c r="R4960" t="str">
        <f t="shared" si="1121"/>
        <v>YES</v>
      </c>
      <c r="S4960">
        <v>199</v>
      </c>
      <c r="T4960" t="s">
        <v>170</v>
      </c>
      <c r="U4960" t="str">
        <f t="shared" si="1122"/>
        <v>Alewife Brook Pky</v>
      </c>
      <c r="W4960" t="str">
        <f t="shared" si="1123"/>
        <v/>
      </c>
      <c r="X4960" t="str">
        <f>IF(ISBLANK(S4960),"Intersection","Non-Intersection")</f>
        <v>Non-Intersection</v>
      </c>
      <c r="Y4960" t="s">
        <v>1513</v>
      </c>
      <c r="Z4960" t="str">
        <f t="shared" si="1124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11"/>
        <v>41275</v>
      </c>
      <c r="D4961" s="4">
        <f t="shared" si="1112"/>
        <v>0.24109589041095891</v>
      </c>
      <c r="E4961" s="3">
        <f t="shared" si="1113"/>
        <v>2013</v>
      </c>
      <c r="F4961" s="3">
        <f t="shared" si="1114"/>
        <v>3</v>
      </c>
      <c r="G4961" s="3">
        <f t="shared" si="1115"/>
        <v>30</v>
      </c>
      <c r="H4961" s="3">
        <f t="shared" si="1116"/>
        <v>18</v>
      </c>
      <c r="I4961" s="3">
        <f t="shared" si="1117"/>
        <v>59</v>
      </c>
      <c r="J4961" s="3">
        <f t="shared" si="1118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19"/>
        <v>YES</v>
      </c>
      <c r="Q4961" t="str">
        <f t="shared" si="1120"/>
        <v>NO</v>
      </c>
      <c r="R4961" t="str">
        <f t="shared" si="1121"/>
        <v>YES</v>
      </c>
      <c r="T4961" t="s">
        <v>15</v>
      </c>
      <c r="U4961" t="str">
        <f t="shared" si="1122"/>
        <v>Rindge Ave</v>
      </c>
      <c r="V4961" t="s">
        <v>4506</v>
      </c>
      <c r="W4961" t="str">
        <f t="shared" si="1123"/>
        <v>Haskell St</v>
      </c>
      <c r="X4961" t="str">
        <f>IF(ISBLANK(S4961),"Intersection","Non-Intersection")</f>
        <v>Intersection</v>
      </c>
      <c r="Y4961" t="s">
        <v>4719</v>
      </c>
      <c r="Z4961" t="str">
        <f t="shared" si="1124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11"/>
        <v>41275</v>
      </c>
      <c r="D4962" s="4">
        <f t="shared" si="1112"/>
        <v>0.24657534246575341</v>
      </c>
      <c r="E4962" s="3">
        <f t="shared" si="1113"/>
        <v>2013</v>
      </c>
      <c r="F4962" s="3">
        <f t="shared" si="1114"/>
        <v>4</v>
      </c>
      <c r="G4962" s="3">
        <f t="shared" si="1115"/>
        <v>1</v>
      </c>
      <c r="H4962" s="3">
        <f t="shared" si="1116"/>
        <v>8</v>
      </c>
      <c r="I4962" s="3">
        <f t="shared" si="1117"/>
        <v>29</v>
      </c>
      <c r="J4962" s="3">
        <f t="shared" si="1118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19"/>
        <v>YES</v>
      </c>
      <c r="Q4962" t="str">
        <f t="shared" si="1120"/>
        <v>NO</v>
      </c>
      <c r="R4962" t="str">
        <f t="shared" si="1121"/>
        <v>NO</v>
      </c>
      <c r="S4962">
        <v>572</v>
      </c>
      <c r="T4962" t="s">
        <v>108</v>
      </c>
      <c r="U4962" t="str">
        <f t="shared" si="1122"/>
        <v>Franklin St</v>
      </c>
      <c r="W4962" t="str">
        <f t="shared" si="1123"/>
        <v/>
      </c>
      <c r="X4962" t="str">
        <f>IF(ISBLANK(S4962),"Intersection","Non-Intersection")</f>
        <v>Non-Intersection</v>
      </c>
      <c r="Y4962" t="s">
        <v>5526</v>
      </c>
      <c r="Z4962" t="str">
        <f t="shared" si="1124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11"/>
        <v>41275</v>
      </c>
      <c r="D4963" s="4">
        <f t="shared" si="1112"/>
        <v>0.24657534246575341</v>
      </c>
      <c r="E4963" s="3">
        <f t="shared" si="1113"/>
        <v>2013</v>
      </c>
      <c r="F4963" s="3">
        <f t="shared" si="1114"/>
        <v>4</v>
      </c>
      <c r="G4963" s="3">
        <f t="shared" si="1115"/>
        <v>1</v>
      </c>
      <c r="H4963" s="3">
        <f t="shared" si="1116"/>
        <v>18</v>
      </c>
      <c r="I4963" s="3">
        <f t="shared" si="1117"/>
        <v>14</v>
      </c>
      <c r="J4963" s="3">
        <f t="shared" si="1118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19"/>
        <v>YES</v>
      </c>
      <c r="Q4963" t="str">
        <f t="shared" si="1120"/>
        <v>NO</v>
      </c>
      <c r="R4963" t="str">
        <f t="shared" si="1121"/>
        <v>NO</v>
      </c>
      <c r="S4963">
        <v>820</v>
      </c>
      <c r="T4963" t="s">
        <v>126</v>
      </c>
      <c r="U4963" t="str">
        <f t="shared" si="1122"/>
        <v>Somerville Ave</v>
      </c>
      <c r="W4963" t="str">
        <f t="shared" si="1123"/>
        <v/>
      </c>
      <c r="X4963" t="str">
        <f>IF(ISBLANK(S4963),"Intersection","Non-Intersection")</f>
        <v>Non-Intersection</v>
      </c>
      <c r="Y4963" t="s">
        <v>3204</v>
      </c>
      <c r="Z4963" t="str">
        <f t="shared" si="1124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11"/>
        <v>41275</v>
      </c>
      <c r="D4964" s="4">
        <f t="shared" si="1112"/>
        <v>0.24657534246575341</v>
      </c>
      <c r="E4964" s="3">
        <f t="shared" si="1113"/>
        <v>2013</v>
      </c>
      <c r="F4964" s="3">
        <f t="shared" si="1114"/>
        <v>4</v>
      </c>
      <c r="G4964" s="3">
        <f t="shared" si="1115"/>
        <v>1</v>
      </c>
      <c r="H4964" s="3">
        <f t="shared" si="1116"/>
        <v>9</v>
      </c>
      <c r="I4964" s="3">
        <f t="shared" si="1117"/>
        <v>59</v>
      </c>
      <c r="J4964" s="3">
        <f t="shared" si="1118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19"/>
        <v>YES</v>
      </c>
      <c r="Q4964" t="str">
        <f t="shared" si="1120"/>
        <v>NO</v>
      </c>
      <c r="R4964" t="str">
        <f t="shared" si="1121"/>
        <v>NO</v>
      </c>
      <c r="S4964">
        <v>364</v>
      </c>
      <c r="T4964" t="s">
        <v>186</v>
      </c>
      <c r="U4964" t="str">
        <f t="shared" si="1122"/>
        <v>Concord Ave</v>
      </c>
      <c r="W4964" t="str">
        <f t="shared" si="1123"/>
        <v/>
      </c>
      <c r="X4964" t="str">
        <f>IF(ISBLANK(S4964),"Intersection","Non-Intersection")</f>
        <v>Non-Intersection</v>
      </c>
      <c r="Y4964" t="s">
        <v>5528</v>
      </c>
      <c r="Z4964" t="str">
        <f t="shared" si="1124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11"/>
        <v>41275</v>
      </c>
      <c r="D4965" s="4">
        <f t="shared" si="1112"/>
        <v>0.24931506849315069</v>
      </c>
      <c r="E4965" s="3">
        <f t="shared" si="1113"/>
        <v>2013</v>
      </c>
      <c r="F4965" s="3">
        <f t="shared" si="1114"/>
        <v>4</v>
      </c>
      <c r="G4965" s="3">
        <f t="shared" si="1115"/>
        <v>2</v>
      </c>
      <c r="H4965" s="3">
        <f t="shared" si="1116"/>
        <v>11</v>
      </c>
      <c r="I4965" s="3">
        <f t="shared" si="1117"/>
        <v>25</v>
      </c>
      <c r="J4965" s="3">
        <f t="shared" si="1118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19"/>
        <v>YES</v>
      </c>
      <c r="Q4965" t="str">
        <f t="shared" si="1120"/>
        <v>NO</v>
      </c>
      <c r="R4965" t="str">
        <f t="shared" si="1121"/>
        <v>YES</v>
      </c>
      <c r="S4965">
        <v>1400</v>
      </c>
      <c r="T4965" t="s">
        <v>14</v>
      </c>
      <c r="U4965" t="str">
        <f t="shared" si="1122"/>
        <v>Massachusetts Ave</v>
      </c>
      <c r="W4965" t="str">
        <f t="shared" si="1123"/>
        <v/>
      </c>
      <c r="X4965" t="str">
        <f>IF(ISBLANK(S4965),"Intersection","Non-Intersection")</f>
        <v>Non-Intersection</v>
      </c>
      <c r="Y4965" t="s">
        <v>5530</v>
      </c>
      <c r="Z4965" t="str">
        <f t="shared" si="1124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11"/>
        <v>41275</v>
      </c>
      <c r="D4966" s="4">
        <f t="shared" si="1112"/>
        <v>0.24931506849315069</v>
      </c>
      <c r="E4966" s="3">
        <f t="shared" si="1113"/>
        <v>2013</v>
      </c>
      <c r="F4966" s="3">
        <f t="shared" si="1114"/>
        <v>4</v>
      </c>
      <c r="G4966" s="3">
        <f t="shared" si="1115"/>
        <v>2</v>
      </c>
      <c r="H4966" s="3">
        <f t="shared" si="1116"/>
        <v>16</v>
      </c>
      <c r="I4966" s="3">
        <f t="shared" si="1117"/>
        <v>50</v>
      </c>
      <c r="J4966" s="3">
        <f t="shared" si="1118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19"/>
        <v>YES</v>
      </c>
      <c r="Q4966" t="str">
        <f t="shared" si="1120"/>
        <v>NO</v>
      </c>
      <c r="R4966" t="str">
        <f t="shared" si="1121"/>
        <v>YES</v>
      </c>
      <c r="T4966" t="s">
        <v>37</v>
      </c>
      <c r="U4966" t="str">
        <f t="shared" si="1122"/>
        <v>Magazine St</v>
      </c>
      <c r="V4966" t="s">
        <v>3376</v>
      </c>
      <c r="W4966" t="str">
        <f t="shared" si="1123"/>
        <v>Chalk St</v>
      </c>
      <c r="X4966" t="str">
        <f>IF(ISBLANK(S4966),"Intersection","Non-Intersection")</f>
        <v>Intersection</v>
      </c>
      <c r="Y4966" t="s">
        <v>3377</v>
      </c>
      <c r="Z4966" t="str">
        <f t="shared" si="1124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11"/>
        <v>41275</v>
      </c>
      <c r="D4967" s="4">
        <f t="shared" si="1112"/>
        <v>0.24931506849315069</v>
      </c>
      <c r="E4967" s="3">
        <f t="shared" si="1113"/>
        <v>2013</v>
      </c>
      <c r="F4967" s="3">
        <f t="shared" si="1114"/>
        <v>4</v>
      </c>
      <c r="G4967" s="3">
        <f t="shared" si="1115"/>
        <v>2</v>
      </c>
      <c r="H4967" s="3">
        <f t="shared" si="1116"/>
        <v>21</v>
      </c>
      <c r="I4967" s="3">
        <f t="shared" si="1117"/>
        <v>45</v>
      </c>
      <c r="J4967" s="3">
        <f t="shared" si="1118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19"/>
        <v>YES</v>
      </c>
      <c r="Q4967" t="str">
        <f t="shared" si="1120"/>
        <v>YES</v>
      </c>
      <c r="R4967" t="str">
        <f t="shared" si="1121"/>
        <v>NO</v>
      </c>
      <c r="T4967" t="s">
        <v>19</v>
      </c>
      <c r="U4967" t="str">
        <f t="shared" si="1122"/>
        <v>Cambridge St</v>
      </c>
      <c r="V4967" t="s">
        <v>1174</v>
      </c>
      <c r="W4967" t="str">
        <f t="shared" si="1123"/>
        <v>Roberts Rd</v>
      </c>
      <c r="X4967" t="str">
        <f>IF(ISBLANK(S4967),"Intersection","Non-Intersection")</f>
        <v>Intersection</v>
      </c>
      <c r="Y4967" t="s">
        <v>1175</v>
      </c>
      <c r="Z4967" t="str">
        <f t="shared" si="1124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125">EOMONTH(B4968,MONTH(B4968)*-1)+1</f>
        <v>41275</v>
      </c>
      <c r="D4968" s="4">
        <f t="shared" ref="D4968:D5030" si="1126">YEARFRAC(C4968,B4968,1)</f>
        <v>0.24931506849315069</v>
      </c>
      <c r="E4968" s="3">
        <f t="shared" ref="E4968:E5030" si="1127">YEAR(B4968)</f>
        <v>2013</v>
      </c>
      <c r="F4968" s="3">
        <f t="shared" ref="F4968:F5030" si="1128">MONTH(B4968)</f>
        <v>4</v>
      </c>
      <c r="G4968" s="3">
        <f t="shared" ref="G4968:G5030" si="1129">DAY(B4968)</f>
        <v>2</v>
      </c>
      <c r="H4968" s="3">
        <f t="shared" ref="H4968:H5030" si="1130">HOUR(B4968)</f>
        <v>20</v>
      </c>
      <c r="I4968" s="3">
        <f t="shared" ref="I4968:I5030" si="1131">MINUTE(B4968)</f>
        <v>0</v>
      </c>
      <c r="J4968" s="3">
        <f t="shared" ref="J4968:J5030" si="1132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133">IF(OR(N4968="Auto",O4968="Auto"),"YES",IF(OR(N4968="Taxi",O4968="Taxi"),"YES",IF(OR(N4968="Van",O4968="Van"),"YES",IF(OR(N4968="Truck",O4968="Truck"),"YES","NO"))))</f>
        <v>YES</v>
      </c>
      <c r="Q4968" t="str">
        <f t="shared" ref="Q4968:Q5030" si="1134">IF(OR(N4968="Bicycle",O4968="Bicycle"),"YES","NO")</f>
        <v>NO</v>
      </c>
      <c r="R4968" t="str">
        <f t="shared" ref="R4968:R5030" si="1135">IF(OR(N4968="Pedestrian",O4968="Pedestrian"),"YES","NO")</f>
        <v>NO</v>
      </c>
      <c r="T4968" t="s">
        <v>509</v>
      </c>
      <c r="U4968" t="str">
        <f t="shared" si="1122"/>
        <v>Green St</v>
      </c>
      <c r="V4968" t="s">
        <v>42</v>
      </c>
      <c r="W4968" t="str">
        <f t="shared" si="1123"/>
        <v>Putnam Ave</v>
      </c>
      <c r="X4968" t="str">
        <f>IF(ISBLANK(S4968),"Intersection","Non-Intersection")</f>
        <v>Intersection</v>
      </c>
      <c r="Y4968" t="s">
        <v>2628</v>
      </c>
      <c r="Z4968" t="str">
        <f t="shared" si="1124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125"/>
        <v>41275</v>
      </c>
      <c r="D4969" s="4">
        <f t="shared" si="1126"/>
        <v>0.25205479452054796</v>
      </c>
      <c r="E4969" s="3">
        <f t="shared" si="1127"/>
        <v>2013</v>
      </c>
      <c r="F4969" s="3">
        <f t="shared" si="1128"/>
        <v>4</v>
      </c>
      <c r="G4969" s="3">
        <f t="shared" si="1129"/>
        <v>3</v>
      </c>
      <c r="H4969" s="3">
        <f t="shared" si="1130"/>
        <v>8</v>
      </c>
      <c r="I4969" s="3">
        <f t="shared" si="1131"/>
        <v>0</v>
      </c>
      <c r="J4969" s="3">
        <f t="shared" si="1132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133"/>
        <v>YES</v>
      </c>
      <c r="Q4969" t="str">
        <f t="shared" si="1134"/>
        <v>NO</v>
      </c>
      <c r="R4969" t="str">
        <f t="shared" si="1135"/>
        <v>NO</v>
      </c>
      <c r="T4969" t="s">
        <v>32</v>
      </c>
      <c r="U4969" t="str">
        <f t="shared" si="1122"/>
        <v>Main St</v>
      </c>
      <c r="V4969" t="s">
        <v>189</v>
      </c>
      <c r="W4969" t="str">
        <f t="shared" si="1123"/>
        <v>Windsor St</v>
      </c>
      <c r="X4969" t="str">
        <f>IF(ISBLANK(S4969),"Intersection","Non-Intersection")</f>
        <v>Intersection</v>
      </c>
      <c r="Y4969" t="s">
        <v>1737</v>
      </c>
      <c r="Z4969" t="str">
        <f t="shared" si="1124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125"/>
        <v>41275</v>
      </c>
      <c r="D4970" s="4">
        <f t="shared" si="1126"/>
        <v>0.25205479452054796</v>
      </c>
      <c r="E4970" s="3">
        <f t="shared" si="1127"/>
        <v>2013</v>
      </c>
      <c r="F4970" s="3">
        <f t="shared" si="1128"/>
        <v>4</v>
      </c>
      <c r="G4970" s="3">
        <f t="shared" si="1129"/>
        <v>3</v>
      </c>
      <c r="H4970" s="3">
        <f t="shared" si="1130"/>
        <v>9</v>
      </c>
      <c r="I4970" s="3">
        <f t="shared" si="1131"/>
        <v>59</v>
      </c>
      <c r="J4970" s="3">
        <f t="shared" si="1132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133"/>
        <v>YES</v>
      </c>
      <c r="Q4970" t="str">
        <f t="shared" si="1134"/>
        <v>NO</v>
      </c>
      <c r="R4970" t="str">
        <f t="shared" si="1135"/>
        <v>NO</v>
      </c>
      <c r="S4970">
        <v>58</v>
      </c>
      <c r="T4970" t="s">
        <v>5532</v>
      </c>
      <c r="U4970" t="str">
        <f t="shared" si="1122"/>
        <v>Jackson Cir</v>
      </c>
      <c r="W4970" t="str">
        <f t="shared" si="1123"/>
        <v/>
      </c>
      <c r="X4970" t="str">
        <f>IF(ISBLANK(S4970),"Intersection","Non-Intersection")</f>
        <v>Non-Intersection</v>
      </c>
      <c r="Y4970" t="s">
        <v>5533</v>
      </c>
      <c r="Z4970" t="str">
        <f t="shared" si="1124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125"/>
        <v>41275</v>
      </c>
      <c r="D4971" s="4">
        <f t="shared" si="1126"/>
        <v>0.25205479452054796</v>
      </c>
      <c r="E4971" s="3">
        <f t="shared" si="1127"/>
        <v>2013</v>
      </c>
      <c r="F4971" s="3">
        <f t="shared" si="1128"/>
        <v>4</v>
      </c>
      <c r="G4971" s="3">
        <f t="shared" si="1129"/>
        <v>3</v>
      </c>
      <c r="H4971" s="3">
        <f t="shared" si="1130"/>
        <v>16</v>
      </c>
      <c r="I4971" s="3">
        <f t="shared" si="1131"/>
        <v>9</v>
      </c>
      <c r="J4971" s="3">
        <f t="shared" si="1132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133"/>
        <v>YES</v>
      </c>
      <c r="Q4971" t="str">
        <f t="shared" si="1134"/>
        <v>NO</v>
      </c>
      <c r="R4971" t="str">
        <f t="shared" si="1135"/>
        <v>NO</v>
      </c>
      <c r="T4971" t="s">
        <v>260</v>
      </c>
      <c r="U4971" t="str">
        <f t="shared" si="1122"/>
        <v>Third St</v>
      </c>
      <c r="V4971" t="s">
        <v>1502</v>
      </c>
      <c r="W4971" t="str">
        <f t="shared" si="1123"/>
        <v>Gore St</v>
      </c>
      <c r="X4971" t="str">
        <f>IF(ISBLANK(S4971),"Intersection","Non-Intersection")</f>
        <v>Intersection</v>
      </c>
      <c r="Y4971" t="s">
        <v>1503</v>
      </c>
      <c r="Z4971" t="str">
        <f t="shared" si="1124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125"/>
        <v>41275</v>
      </c>
      <c r="D4972" s="4">
        <f t="shared" si="1126"/>
        <v>0.25205479452054796</v>
      </c>
      <c r="E4972" s="3">
        <f t="shared" si="1127"/>
        <v>2013</v>
      </c>
      <c r="F4972" s="3">
        <f t="shared" si="1128"/>
        <v>4</v>
      </c>
      <c r="G4972" s="3">
        <f t="shared" si="1129"/>
        <v>3</v>
      </c>
      <c r="H4972" s="3">
        <f t="shared" si="1130"/>
        <v>16</v>
      </c>
      <c r="I4972" s="3">
        <f t="shared" si="1131"/>
        <v>47</v>
      </c>
      <c r="J4972" s="3">
        <f t="shared" si="1132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133"/>
        <v>YES</v>
      </c>
      <c r="Q4972" t="str">
        <f t="shared" si="1134"/>
        <v>NO</v>
      </c>
      <c r="R4972" t="str">
        <f t="shared" si="1135"/>
        <v>NO</v>
      </c>
      <c r="T4972" t="s">
        <v>105</v>
      </c>
      <c r="U4972" t="str">
        <f t="shared" si="1122"/>
        <v>Broadway</v>
      </c>
      <c r="V4972" t="s">
        <v>342</v>
      </c>
      <c r="W4972" t="str">
        <f t="shared" si="1123"/>
        <v>Prospect St</v>
      </c>
      <c r="X4972" t="str">
        <f>IF(ISBLANK(S4972),"Intersection","Non-Intersection")</f>
        <v>Intersection</v>
      </c>
      <c r="Y4972" t="s">
        <v>343</v>
      </c>
      <c r="Z4972" t="str">
        <f t="shared" si="1124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125"/>
        <v>41275</v>
      </c>
      <c r="D4973" s="4">
        <f t="shared" si="1126"/>
        <v>0.25205479452054796</v>
      </c>
      <c r="E4973" s="3">
        <f t="shared" si="1127"/>
        <v>2013</v>
      </c>
      <c r="F4973" s="3">
        <f t="shared" si="1128"/>
        <v>4</v>
      </c>
      <c r="G4973" s="3">
        <f t="shared" si="1129"/>
        <v>3</v>
      </c>
      <c r="H4973" s="3">
        <f t="shared" si="1130"/>
        <v>17</v>
      </c>
      <c r="I4973" s="3">
        <f t="shared" si="1131"/>
        <v>29</v>
      </c>
      <c r="J4973" s="3">
        <f t="shared" si="1132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133"/>
        <v>YES</v>
      </c>
      <c r="Q4973" t="str">
        <f t="shared" si="1134"/>
        <v>NO</v>
      </c>
      <c r="R4973" t="str">
        <f t="shared" si="1135"/>
        <v>NO</v>
      </c>
      <c r="T4973" t="s">
        <v>737</v>
      </c>
      <c r="U4973" t="str">
        <f t="shared" si="1122"/>
        <v>Willow St</v>
      </c>
      <c r="V4973" t="s">
        <v>19</v>
      </c>
      <c r="W4973" t="str">
        <f t="shared" si="1123"/>
        <v>Cambridge St</v>
      </c>
      <c r="X4973" t="str">
        <f>IF(ISBLANK(S4973),"Intersection","Non-Intersection")</f>
        <v>Intersection</v>
      </c>
      <c r="Y4973" t="s">
        <v>5535</v>
      </c>
      <c r="Z4973" t="str">
        <f t="shared" si="1124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125"/>
        <v>41275</v>
      </c>
      <c r="D4974" s="4">
        <f t="shared" si="1126"/>
        <v>0.25205479452054796</v>
      </c>
      <c r="E4974" s="3">
        <f t="shared" si="1127"/>
        <v>2013</v>
      </c>
      <c r="F4974" s="3">
        <f t="shared" si="1128"/>
        <v>4</v>
      </c>
      <c r="G4974" s="3">
        <f t="shared" si="1129"/>
        <v>3</v>
      </c>
      <c r="H4974" s="3">
        <f t="shared" si="1130"/>
        <v>22</v>
      </c>
      <c r="I4974" s="3">
        <f t="shared" si="1131"/>
        <v>16</v>
      </c>
      <c r="J4974" s="3">
        <f t="shared" si="1132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133"/>
        <v>YES</v>
      </c>
      <c r="Q4974" t="str">
        <f t="shared" si="1134"/>
        <v>NO</v>
      </c>
      <c r="R4974" t="str">
        <f t="shared" si="1135"/>
        <v>NO</v>
      </c>
      <c r="S4974">
        <v>343</v>
      </c>
      <c r="T4974" t="s">
        <v>105</v>
      </c>
      <c r="U4974" t="str">
        <f t="shared" si="1122"/>
        <v>Broadway</v>
      </c>
      <c r="W4974" t="str">
        <f t="shared" si="1123"/>
        <v/>
      </c>
      <c r="X4974" t="str">
        <f>IF(ISBLANK(S4974),"Intersection","Non-Intersection")</f>
        <v>Non-Intersection</v>
      </c>
      <c r="Y4974" t="s">
        <v>5536</v>
      </c>
      <c r="Z4974" t="str">
        <f t="shared" si="1124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125"/>
        <v>41275</v>
      </c>
      <c r="D4975" s="4">
        <f t="shared" si="1126"/>
        <v>0.25479452054794521</v>
      </c>
      <c r="E4975" s="3">
        <f t="shared" si="1127"/>
        <v>2013</v>
      </c>
      <c r="F4975" s="3">
        <f t="shared" si="1128"/>
        <v>4</v>
      </c>
      <c r="G4975" s="3">
        <f t="shared" si="1129"/>
        <v>4</v>
      </c>
      <c r="H4975" s="3">
        <f t="shared" si="1130"/>
        <v>8</v>
      </c>
      <c r="I4975" s="3">
        <f t="shared" si="1131"/>
        <v>4</v>
      </c>
      <c r="J4975" s="3">
        <f t="shared" si="1132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133"/>
        <v>YES</v>
      </c>
      <c r="Q4975" t="str">
        <f t="shared" si="1134"/>
        <v>NO</v>
      </c>
      <c r="R4975" t="str">
        <f t="shared" si="1135"/>
        <v>NO</v>
      </c>
      <c r="S4975">
        <v>78</v>
      </c>
      <c r="T4975" t="s">
        <v>198</v>
      </c>
      <c r="U4975" t="str">
        <f t="shared" si="1122"/>
        <v>Mount Auburn St</v>
      </c>
      <c r="W4975" t="str">
        <f t="shared" si="1123"/>
        <v/>
      </c>
      <c r="X4975" t="str">
        <f>IF(ISBLANK(S4975),"Intersection","Non-Intersection")</f>
        <v>Non-Intersection</v>
      </c>
      <c r="Y4975" t="s">
        <v>357</v>
      </c>
      <c r="Z4975" t="str">
        <f t="shared" si="1124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125"/>
        <v>41275</v>
      </c>
      <c r="D4976" s="4">
        <f t="shared" si="1126"/>
        <v>0.25479452054794521</v>
      </c>
      <c r="E4976" s="3">
        <f t="shared" si="1127"/>
        <v>2013</v>
      </c>
      <c r="F4976" s="3">
        <f t="shared" si="1128"/>
        <v>4</v>
      </c>
      <c r="G4976" s="3">
        <f t="shared" si="1129"/>
        <v>4</v>
      </c>
      <c r="H4976" s="3">
        <f t="shared" si="1130"/>
        <v>9</v>
      </c>
      <c r="I4976" s="3">
        <f t="shared" si="1131"/>
        <v>30</v>
      </c>
      <c r="J4976" s="3">
        <f t="shared" si="1132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133"/>
        <v>YES</v>
      </c>
      <c r="Q4976" t="str">
        <f t="shared" si="1134"/>
        <v>NO</v>
      </c>
      <c r="R4976" t="str">
        <f t="shared" si="1135"/>
        <v>NO</v>
      </c>
      <c r="S4976">
        <v>89</v>
      </c>
      <c r="T4976" t="s">
        <v>1502</v>
      </c>
      <c r="U4976" t="str">
        <f t="shared" si="1122"/>
        <v>Gore St</v>
      </c>
      <c r="W4976" t="str">
        <f t="shared" si="1123"/>
        <v/>
      </c>
      <c r="X4976" t="str">
        <f>IF(ISBLANK(S4976),"Intersection","Non-Intersection")</f>
        <v>Non-Intersection</v>
      </c>
      <c r="Y4976" t="s">
        <v>5538</v>
      </c>
      <c r="Z4976" t="str">
        <f t="shared" si="1124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125"/>
        <v>41275</v>
      </c>
      <c r="D4977" s="4">
        <f t="shared" si="1126"/>
        <v>0.25479452054794521</v>
      </c>
      <c r="E4977" s="3">
        <f t="shared" si="1127"/>
        <v>2013</v>
      </c>
      <c r="F4977" s="3">
        <f t="shared" si="1128"/>
        <v>4</v>
      </c>
      <c r="G4977" s="3">
        <f t="shared" si="1129"/>
        <v>4</v>
      </c>
      <c r="H4977" s="3">
        <f t="shared" si="1130"/>
        <v>10</v>
      </c>
      <c r="I4977" s="3">
        <f t="shared" si="1131"/>
        <v>30</v>
      </c>
      <c r="J4977" s="3">
        <f t="shared" si="1132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133"/>
        <v>YES</v>
      </c>
      <c r="Q4977" t="str">
        <f t="shared" si="1134"/>
        <v>NO</v>
      </c>
      <c r="R4977" t="str">
        <f t="shared" si="1135"/>
        <v>NO</v>
      </c>
      <c r="T4977" t="s">
        <v>745</v>
      </c>
      <c r="U4977" t="str">
        <f t="shared" si="1122"/>
        <v>Norfolk St</v>
      </c>
      <c r="V4977" t="s">
        <v>19</v>
      </c>
      <c r="W4977" t="str">
        <f t="shared" si="1123"/>
        <v>Cambridge St</v>
      </c>
      <c r="X4977" t="str">
        <f>IF(ISBLANK(S4977),"Intersection","Non-Intersection")</f>
        <v>Intersection</v>
      </c>
      <c r="Y4977" t="s">
        <v>2106</v>
      </c>
      <c r="Z4977" t="str">
        <f t="shared" si="1124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125"/>
        <v>41275</v>
      </c>
      <c r="D4978" s="4">
        <f t="shared" si="1126"/>
        <v>0.25479452054794521</v>
      </c>
      <c r="E4978" s="3">
        <f t="shared" si="1127"/>
        <v>2013</v>
      </c>
      <c r="F4978" s="3">
        <f t="shared" si="1128"/>
        <v>4</v>
      </c>
      <c r="G4978" s="3">
        <f t="shared" si="1129"/>
        <v>4</v>
      </c>
      <c r="H4978" s="3">
        <f t="shared" si="1130"/>
        <v>11</v>
      </c>
      <c r="I4978" s="3">
        <f t="shared" si="1131"/>
        <v>0</v>
      </c>
      <c r="J4978" s="3">
        <f t="shared" si="1132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133"/>
        <v>YES</v>
      </c>
      <c r="Q4978" t="str">
        <f t="shared" si="1134"/>
        <v>NO</v>
      </c>
      <c r="R4978" t="str">
        <f t="shared" si="1135"/>
        <v>NO</v>
      </c>
      <c r="S4978">
        <v>301</v>
      </c>
      <c r="T4978" t="s">
        <v>209</v>
      </c>
      <c r="U4978" t="str">
        <f t="shared" si="1122"/>
        <v>Binney St</v>
      </c>
      <c r="W4978" t="str">
        <f t="shared" si="1123"/>
        <v/>
      </c>
      <c r="X4978" t="str">
        <f>IF(ISBLANK(S4978),"Intersection","Non-Intersection")</f>
        <v>Non-Intersection</v>
      </c>
      <c r="Y4978" t="s">
        <v>670</v>
      </c>
      <c r="Z4978" t="str">
        <f t="shared" si="1124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125"/>
        <v>41275</v>
      </c>
      <c r="D4979" s="4">
        <f t="shared" si="1126"/>
        <v>0.25479452054794521</v>
      </c>
      <c r="E4979" s="3">
        <f t="shared" si="1127"/>
        <v>2013</v>
      </c>
      <c r="F4979" s="3">
        <f t="shared" si="1128"/>
        <v>4</v>
      </c>
      <c r="G4979" s="3">
        <f t="shared" si="1129"/>
        <v>4</v>
      </c>
      <c r="H4979" s="3">
        <f t="shared" si="1130"/>
        <v>14</v>
      </c>
      <c r="I4979" s="3">
        <f t="shared" si="1131"/>
        <v>0</v>
      </c>
      <c r="J4979" s="3">
        <f t="shared" si="1132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133"/>
        <v>YES</v>
      </c>
      <c r="Q4979" t="str">
        <f t="shared" si="1134"/>
        <v>NO</v>
      </c>
      <c r="R4979" t="str">
        <f t="shared" si="1135"/>
        <v>NO</v>
      </c>
      <c r="T4979" t="s">
        <v>147</v>
      </c>
      <c r="U4979" t="str">
        <f t="shared" si="1122"/>
        <v>Sixth St</v>
      </c>
      <c r="V4979" t="s">
        <v>556</v>
      </c>
      <c r="W4979" t="str">
        <f t="shared" si="1123"/>
        <v>Bent St</v>
      </c>
      <c r="X4979" t="str">
        <f>IF(ISBLANK(S4979),"Intersection","Non-Intersection")</f>
        <v>Intersection</v>
      </c>
      <c r="Y4979" t="s">
        <v>557</v>
      </c>
      <c r="Z4979" t="str">
        <f t="shared" si="1124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125"/>
        <v>41275</v>
      </c>
      <c r="D4980" s="4">
        <f t="shared" si="1126"/>
        <v>0.25753424657534246</v>
      </c>
      <c r="E4980" s="3">
        <f t="shared" si="1127"/>
        <v>2013</v>
      </c>
      <c r="F4980" s="3">
        <f t="shared" si="1128"/>
        <v>4</v>
      </c>
      <c r="G4980" s="3">
        <f t="shared" si="1129"/>
        <v>5</v>
      </c>
      <c r="H4980" s="3">
        <f t="shared" si="1130"/>
        <v>8</v>
      </c>
      <c r="I4980" s="3">
        <f t="shared" si="1131"/>
        <v>0</v>
      </c>
      <c r="J4980" s="3">
        <f t="shared" si="1132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133"/>
        <v>YES</v>
      </c>
      <c r="Q4980" t="str">
        <f t="shared" si="1134"/>
        <v>NO</v>
      </c>
      <c r="R4980" t="str">
        <f t="shared" si="1135"/>
        <v>NO</v>
      </c>
      <c r="T4980" t="s">
        <v>479</v>
      </c>
      <c r="U4980" t="str">
        <f t="shared" si="1122"/>
        <v>Callender St</v>
      </c>
      <c r="V4980" t="s">
        <v>156</v>
      </c>
      <c r="W4980" t="str">
        <f t="shared" si="1123"/>
        <v>Magee St</v>
      </c>
      <c r="X4980" t="str">
        <f>IF(ISBLANK(S4980),"Intersection","Non-Intersection")</f>
        <v>Intersection</v>
      </c>
      <c r="Y4980" t="s">
        <v>480</v>
      </c>
      <c r="Z4980" t="str">
        <f t="shared" si="1124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125"/>
        <v>41275</v>
      </c>
      <c r="D4981" s="4">
        <f t="shared" si="1126"/>
        <v>0.25753424657534246</v>
      </c>
      <c r="E4981" s="3">
        <f t="shared" si="1127"/>
        <v>2013</v>
      </c>
      <c r="F4981" s="3">
        <f t="shared" si="1128"/>
        <v>4</v>
      </c>
      <c r="G4981" s="3">
        <f t="shared" si="1129"/>
        <v>5</v>
      </c>
      <c r="H4981" s="3">
        <f t="shared" si="1130"/>
        <v>8</v>
      </c>
      <c r="I4981" s="3">
        <f t="shared" si="1131"/>
        <v>0</v>
      </c>
      <c r="J4981" s="3">
        <f t="shared" si="1132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133"/>
        <v>YES</v>
      </c>
      <c r="Q4981" t="str">
        <f t="shared" si="1134"/>
        <v>NO</v>
      </c>
      <c r="R4981" t="str">
        <f t="shared" si="1135"/>
        <v>NO</v>
      </c>
      <c r="S4981">
        <v>172</v>
      </c>
      <c r="T4981" t="s">
        <v>42</v>
      </c>
      <c r="U4981" t="str">
        <f t="shared" si="1122"/>
        <v>Putnam Ave</v>
      </c>
      <c r="W4981" t="str">
        <f t="shared" si="1123"/>
        <v/>
      </c>
      <c r="X4981" t="str">
        <f>IF(ISBLANK(S4981),"Intersection","Non-Intersection")</f>
        <v>Non-Intersection</v>
      </c>
      <c r="Y4981" t="s">
        <v>5540</v>
      </c>
      <c r="Z4981" t="str">
        <f t="shared" si="1124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125"/>
        <v>41275</v>
      </c>
      <c r="D4982" s="4">
        <f t="shared" si="1126"/>
        <v>0.25753424657534246</v>
      </c>
      <c r="E4982" s="3">
        <f t="shared" si="1127"/>
        <v>2013</v>
      </c>
      <c r="F4982" s="3">
        <f t="shared" si="1128"/>
        <v>4</v>
      </c>
      <c r="G4982" s="3">
        <f t="shared" si="1129"/>
        <v>5</v>
      </c>
      <c r="H4982" s="3">
        <f t="shared" si="1130"/>
        <v>9</v>
      </c>
      <c r="I4982" s="3">
        <f t="shared" si="1131"/>
        <v>14</v>
      </c>
      <c r="J4982" s="3">
        <f t="shared" si="1132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133"/>
        <v>YES</v>
      </c>
      <c r="Q4982" t="str">
        <f t="shared" si="1134"/>
        <v>NO</v>
      </c>
      <c r="R4982" t="str">
        <f t="shared" si="1135"/>
        <v>NO</v>
      </c>
      <c r="S4982">
        <v>340</v>
      </c>
      <c r="T4982" t="s">
        <v>41</v>
      </c>
      <c r="U4982" t="str">
        <f t="shared" si="1122"/>
        <v>River St</v>
      </c>
      <c r="W4982" t="str">
        <f t="shared" si="1123"/>
        <v/>
      </c>
      <c r="X4982" t="str">
        <f>IF(ISBLANK(S4982),"Intersection","Non-Intersection")</f>
        <v>Non-Intersection</v>
      </c>
      <c r="Y4982" t="s">
        <v>696</v>
      </c>
      <c r="Z4982" t="str">
        <f t="shared" si="1124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125"/>
        <v>41275</v>
      </c>
      <c r="D4983" s="4">
        <f t="shared" si="1126"/>
        <v>0.25753424657534246</v>
      </c>
      <c r="E4983" s="3">
        <f t="shared" si="1127"/>
        <v>2013</v>
      </c>
      <c r="F4983" s="3">
        <f t="shared" si="1128"/>
        <v>4</v>
      </c>
      <c r="G4983" s="3">
        <f t="shared" si="1129"/>
        <v>5</v>
      </c>
      <c r="H4983" s="3">
        <f t="shared" si="1130"/>
        <v>8</v>
      </c>
      <c r="I4983" s="3">
        <f t="shared" si="1131"/>
        <v>25</v>
      </c>
      <c r="J4983" s="3">
        <f t="shared" si="1132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133"/>
        <v>YES</v>
      </c>
      <c r="Q4983" t="str">
        <f t="shared" si="1134"/>
        <v>NO</v>
      </c>
      <c r="R4983" t="str">
        <f t="shared" si="1135"/>
        <v>NO</v>
      </c>
      <c r="S4983">
        <v>2595</v>
      </c>
      <c r="T4983" t="s">
        <v>14</v>
      </c>
      <c r="U4983" t="str">
        <f t="shared" si="1122"/>
        <v>Massachusetts Ave</v>
      </c>
      <c r="W4983" t="str">
        <f t="shared" si="1123"/>
        <v/>
      </c>
      <c r="X4983" t="str">
        <f>IF(ISBLANK(S4983),"Intersection","Non-Intersection")</f>
        <v>Non-Intersection</v>
      </c>
      <c r="Y4983" t="s">
        <v>5542</v>
      </c>
      <c r="Z4983" t="str">
        <f t="shared" si="1124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125"/>
        <v>41275</v>
      </c>
      <c r="D4984" s="4">
        <f t="shared" si="1126"/>
        <v>0.25753424657534246</v>
      </c>
      <c r="E4984" s="3">
        <f t="shared" si="1127"/>
        <v>2013</v>
      </c>
      <c r="F4984" s="3">
        <f t="shared" si="1128"/>
        <v>4</v>
      </c>
      <c r="G4984" s="3">
        <f t="shared" si="1129"/>
        <v>5</v>
      </c>
      <c r="H4984" s="3">
        <f t="shared" si="1130"/>
        <v>0</v>
      </c>
      <c r="I4984" s="3">
        <f t="shared" si="1131"/>
        <v>14</v>
      </c>
      <c r="J4984" s="3">
        <f t="shared" si="1132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133"/>
        <v>YES</v>
      </c>
      <c r="Q4984" t="str">
        <f t="shared" si="1134"/>
        <v>NO</v>
      </c>
      <c r="R4984" t="str">
        <f t="shared" si="1135"/>
        <v>NO</v>
      </c>
      <c r="T4984" t="s">
        <v>840</v>
      </c>
      <c r="U4984" t="str">
        <f t="shared" si="1122"/>
        <v>Church St</v>
      </c>
      <c r="V4984" t="s">
        <v>1427</v>
      </c>
      <c r="W4984" t="str">
        <f t="shared" si="1123"/>
        <v>Harvard Sq</v>
      </c>
      <c r="X4984" t="str">
        <f>IF(ISBLANK(S4984),"Intersection","Non-Intersection")</f>
        <v>Intersection</v>
      </c>
      <c r="Y4984" t="s">
        <v>5544</v>
      </c>
      <c r="Z4984" t="str">
        <f t="shared" si="1124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125"/>
        <v>41275</v>
      </c>
      <c r="D4985" s="4">
        <f t="shared" si="1126"/>
        <v>0.25753424657534246</v>
      </c>
      <c r="E4985" s="3">
        <f t="shared" si="1127"/>
        <v>2013</v>
      </c>
      <c r="F4985" s="3">
        <f t="shared" si="1128"/>
        <v>4</v>
      </c>
      <c r="G4985" s="3">
        <f t="shared" si="1129"/>
        <v>5</v>
      </c>
      <c r="H4985" s="3">
        <f t="shared" si="1130"/>
        <v>7</v>
      </c>
      <c r="I4985" s="3">
        <f t="shared" si="1131"/>
        <v>30</v>
      </c>
      <c r="J4985" s="3">
        <f t="shared" si="1132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133"/>
        <v>YES</v>
      </c>
      <c r="Q4985" t="str">
        <f t="shared" si="1134"/>
        <v>NO</v>
      </c>
      <c r="R4985" t="str">
        <f t="shared" si="1135"/>
        <v>NO</v>
      </c>
      <c r="T4985" t="s">
        <v>567</v>
      </c>
      <c r="U4985" t="str">
        <f t="shared" si="1122"/>
        <v>Davis St</v>
      </c>
      <c r="V4985" t="s">
        <v>133</v>
      </c>
      <c r="W4985" t="str">
        <f t="shared" si="1123"/>
        <v>Harvard St</v>
      </c>
      <c r="X4985" t="str">
        <f>IF(ISBLANK(S4985),"Intersection","Non-Intersection")</f>
        <v>Intersection</v>
      </c>
      <c r="Y4985" t="s">
        <v>2858</v>
      </c>
      <c r="Z4985" t="str">
        <f t="shared" si="1124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125"/>
        <v>41275</v>
      </c>
      <c r="D4986" s="4">
        <f t="shared" si="1126"/>
        <v>0.25753424657534246</v>
      </c>
      <c r="E4986" s="3">
        <f t="shared" si="1127"/>
        <v>2013</v>
      </c>
      <c r="F4986" s="3">
        <f t="shared" si="1128"/>
        <v>4</v>
      </c>
      <c r="G4986" s="3">
        <f t="shared" si="1129"/>
        <v>5</v>
      </c>
      <c r="H4986" s="3">
        <f t="shared" si="1130"/>
        <v>13</v>
      </c>
      <c r="I4986" s="3">
        <f t="shared" si="1131"/>
        <v>5</v>
      </c>
      <c r="J4986" s="3">
        <f t="shared" si="1132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133"/>
        <v>YES</v>
      </c>
      <c r="Q4986" t="str">
        <f t="shared" si="1134"/>
        <v>NO</v>
      </c>
      <c r="R4986" t="str">
        <f t="shared" si="1135"/>
        <v>YES</v>
      </c>
      <c r="T4986" t="s">
        <v>142</v>
      </c>
      <c r="U4986" t="str">
        <f t="shared" si="1122"/>
        <v>Huron Ave</v>
      </c>
      <c r="V4986" t="s">
        <v>185</v>
      </c>
      <c r="W4986" t="str">
        <f t="shared" si="1123"/>
        <v>Garden St</v>
      </c>
      <c r="X4986" t="str">
        <f>IF(ISBLANK(S4986),"Intersection","Non-Intersection")</f>
        <v>Intersection</v>
      </c>
      <c r="Y4986" t="s">
        <v>3621</v>
      </c>
      <c r="Z4986" t="str">
        <f t="shared" si="1124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125"/>
        <v>41275</v>
      </c>
      <c r="D4987" s="4">
        <f t="shared" si="1126"/>
        <v>0.25753424657534246</v>
      </c>
      <c r="E4987" s="3">
        <f t="shared" si="1127"/>
        <v>2013</v>
      </c>
      <c r="F4987" s="3">
        <f t="shared" si="1128"/>
        <v>4</v>
      </c>
      <c r="G4987" s="3">
        <f t="shared" si="1129"/>
        <v>5</v>
      </c>
      <c r="H4987" s="3">
        <f t="shared" si="1130"/>
        <v>15</v>
      </c>
      <c r="I4987" s="3">
        <f t="shared" si="1131"/>
        <v>10</v>
      </c>
      <c r="J4987" s="3">
        <f t="shared" si="1132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133"/>
        <v>YES</v>
      </c>
      <c r="Q4987" t="str">
        <f t="shared" si="1134"/>
        <v>NO</v>
      </c>
      <c r="R4987" t="str">
        <f t="shared" si="1135"/>
        <v>NO</v>
      </c>
      <c r="S4987">
        <v>89</v>
      </c>
      <c r="T4987" t="s">
        <v>61</v>
      </c>
      <c r="U4987" t="str">
        <f t="shared" si="1122"/>
        <v>First St</v>
      </c>
      <c r="W4987" t="str">
        <f t="shared" si="1123"/>
        <v/>
      </c>
      <c r="X4987" t="str">
        <f>IF(ISBLANK(S4987),"Intersection","Non-Intersection")</f>
        <v>Non-Intersection</v>
      </c>
      <c r="Y4987" t="s">
        <v>1662</v>
      </c>
      <c r="Z4987" t="str">
        <f t="shared" si="1124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125"/>
        <v>41275</v>
      </c>
      <c r="D4988" s="4">
        <f t="shared" si="1126"/>
        <v>0.25753424657534246</v>
      </c>
      <c r="E4988" s="3">
        <f t="shared" si="1127"/>
        <v>2013</v>
      </c>
      <c r="F4988" s="3">
        <f t="shared" si="1128"/>
        <v>4</v>
      </c>
      <c r="G4988" s="3">
        <f t="shared" si="1129"/>
        <v>5</v>
      </c>
      <c r="H4988" s="3">
        <f t="shared" si="1130"/>
        <v>19</v>
      </c>
      <c r="I4988" s="3">
        <f t="shared" si="1131"/>
        <v>50</v>
      </c>
      <c r="J4988" s="3">
        <f t="shared" si="1132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133"/>
        <v>YES</v>
      </c>
      <c r="Q4988" t="str">
        <f t="shared" si="1134"/>
        <v>NO</v>
      </c>
      <c r="R4988" t="str">
        <f t="shared" si="1135"/>
        <v>NO</v>
      </c>
      <c r="S4988">
        <v>321</v>
      </c>
      <c r="T4988" t="s">
        <v>105</v>
      </c>
      <c r="U4988" t="str">
        <f t="shared" si="1122"/>
        <v>Broadway</v>
      </c>
      <c r="W4988" t="str">
        <f t="shared" si="1123"/>
        <v/>
      </c>
      <c r="X4988" t="str">
        <f>IF(ISBLANK(S4988),"Intersection","Non-Intersection")</f>
        <v>Non-Intersection</v>
      </c>
      <c r="Y4988" t="s">
        <v>1901</v>
      </c>
      <c r="Z4988" t="str">
        <f t="shared" si="1124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125"/>
        <v>41275</v>
      </c>
      <c r="D4989" s="4">
        <f t="shared" si="1126"/>
        <v>0.25753424657534246</v>
      </c>
      <c r="E4989" s="3">
        <f t="shared" si="1127"/>
        <v>2013</v>
      </c>
      <c r="F4989" s="3">
        <f t="shared" si="1128"/>
        <v>4</v>
      </c>
      <c r="G4989" s="3">
        <f t="shared" si="1129"/>
        <v>5</v>
      </c>
      <c r="H4989" s="3">
        <f t="shared" si="1130"/>
        <v>21</v>
      </c>
      <c r="I4989" s="3">
        <f t="shared" si="1131"/>
        <v>0</v>
      </c>
      <c r="J4989" s="3">
        <f t="shared" si="1132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133"/>
        <v>YES</v>
      </c>
      <c r="Q4989" t="str">
        <f t="shared" si="1134"/>
        <v>NO</v>
      </c>
      <c r="R4989" t="str">
        <f t="shared" si="1135"/>
        <v>NO</v>
      </c>
      <c r="T4989" t="s">
        <v>19</v>
      </c>
      <c r="U4989" t="str">
        <f t="shared" si="1122"/>
        <v>Cambridge St</v>
      </c>
      <c r="V4989" t="s">
        <v>134</v>
      </c>
      <c r="W4989" t="str">
        <f t="shared" si="1123"/>
        <v>Quincy St</v>
      </c>
      <c r="X4989" t="str">
        <f>IF(ISBLANK(S4989),"Intersection","Non-Intersection")</f>
        <v>Intersection</v>
      </c>
      <c r="Y4989" t="s">
        <v>150</v>
      </c>
      <c r="Z4989" t="str">
        <f t="shared" si="1124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125"/>
        <v>41275</v>
      </c>
      <c r="D4990" s="4">
        <f t="shared" si="1126"/>
        <v>0.26027397260273971</v>
      </c>
      <c r="E4990" s="3">
        <f t="shared" si="1127"/>
        <v>2013</v>
      </c>
      <c r="F4990" s="3">
        <f t="shared" si="1128"/>
        <v>4</v>
      </c>
      <c r="G4990" s="3">
        <f t="shared" si="1129"/>
        <v>6</v>
      </c>
      <c r="H4990" s="3">
        <f t="shared" si="1130"/>
        <v>8</v>
      </c>
      <c r="I4990" s="3">
        <f t="shared" si="1131"/>
        <v>29</v>
      </c>
      <c r="J4990" s="3">
        <f t="shared" si="1132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133"/>
        <v>YES</v>
      </c>
      <c r="Q4990" t="str">
        <f t="shared" si="1134"/>
        <v>NO</v>
      </c>
      <c r="R4990" t="str">
        <f t="shared" si="1135"/>
        <v>NO</v>
      </c>
      <c r="T4990" t="s">
        <v>260</v>
      </c>
      <c r="U4990" t="str">
        <f t="shared" si="1122"/>
        <v>Third St</v>
      </c>
      <c r="V4990" t="s">
        <v>53</v>
      </c>
      <c r="W4990" t="str">
        <f t="shared" si="1123"/>
        <v>Monsignor Obrien Hwy</v>
      </c>
      <c r="X4990" t="str">
        <f>IF(ISBLANK(S4990),"Intersection","Non-Intersection")</f>
        <v>Intersection</v>
      </c>
      <c r="Y4990" t="s">
        <v>763</v>
      </c>
      <c r="Z4990" t="str">
        <f t="shared" si="1124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125"/>
        <v>41275</v>
      </c>
      <c r="D4991" s="4">
        <f t="shared" si="1126"/>
        <v>0.26027397260273971</v>
      </c>
      <c r="E4991" s="3">
        <f t="shared" si="1127"/>
        <v>2013</v>
      </c>
      <c r="F4991" s="3">
        <f t="shared" si="1128"/>
        <v>4</v>
      </c>
      <c r="G4991" s="3">
        <f t="shared" si="1129"/>
        <v>6</v>
      </c>
      <c r="H4991" s="3">
        <f t="shared" si="1130"/>
        <v>2</v>
      </c>
      <c r="I4991" s="3">
        <f t="shared" si="1131"/>
        <v>16</v>
      </c>
      <c r="J4991" s="3">
        <f t="shared" si="1132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133"/>
        <v>YES</v>
      </c>
      <c r="Q4991" t="str">
        <f t="shared" si="1134"/>
        <v>NO</v>
      </c>
      <c r="R4991" t="str">
        <f t="shared" si="1135"/>
        <v>YES</v>
      </c>
      <c r="T4991" t="s">
        <v>342</v>
      </c>
      <c r="U4991" t="str">
        <f t="shared" si="1122"/>
        <v>Prospect St</v>
      </c>
      <c r="V4991" t="s">
        <v>74</v>
      </c>
      <c r="W4991" t="str">
        <f t="shared" si="1123"/>
        <v>Hampshire St</v>
      </c>
      <c r="X4991" t="str">
        <f>IF(ISBLANK(S4991),"Intersection","Non-Intersection")</f>
        <v>Intersection</v>
      </c>
      <c r="Y4991" t="s">
        <v>964</v>
      </c>
      <c r="Z4991" t="str">
        <f t="shared" si="1124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125"/>
        <v>41275</v>
      </c>
      <c r="D4992" s="4">
        <f t="shared" si="1126"/>
        <v>0.26301369863013696</v>
      </c>
      <c r="E4992" s="3">
        <f t="shared" si="1127"/>
        <v>2013</v>
      </c>
      <c r="F4992" s="3">
        <f t="shared" si="1128"/>
        <v>4</v>
      </c>
      <c r="G4992" s="3">
        <f t="shared" si="1129"/>
        <v>7</v>
      </c>
      <c r="H4992" s="3">
        <f t="shared" si="1130"/>
        <v>14</v>
      </c>
      <c r="I4992" s="3">
        <f t="shared" si="1131"/>
        <v>29</v>
      </c>
      <c r="J4992" s="3">
        <f t="shared" si="1132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133"/>
        <v>YES</v>
      </c>
      <c r="Q4992" t="str">
        <f t="shared" si="1134"/>
        <v>NO</v>
      </c>
      <c r="R4992" t="str">
        <f t="shared" si="1135"/>
        <v>NO</v>
      </c>
      <c r="S4992">
        <v>131</v>
      </c>
      <c r="T4992" t="s">
        <v>45</v>
      </c>
      <c r="U4992" t="str">
        <f t="shared" si="1122"/>
        <v>Sherman St</v>
      </c>
      <c r="W4992" t="str">
        <f t="shared" si="1123"/>
        <v/>
      </c>
      <c r="X4992" t="str">
        <f>IF(ISBLANK(S4992),"Intersection","Non-Intersection")</f>
        <v>Non-Intersection</v>
      </c>
      <c r="Y4992" t="s">
        <v>5292</v>
      </c>
      <c r="Z4992" t="str">
        <f t="shared" si="1124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125"/>
        <v>41275</v>
      </c>
      <c r="D4993" s="4">
        <f t="shared" si="1126"/>
        <v>0.26301369863013696</v>
      </c>
      <c r="E4993" s="3">
        <f t="shared" si="1127"/>
        <v>2013</v>
      </c>
      <c r="F4993" s="3">
        <f t="shared" si="1128"/>
        <v>4</v>
      </c>
      <c r="G4993" s="3">
        <f t="shared" si="1129"/>
        <v>7</v>
      </c>
      <c r="H4993" s="3">
        <f t="shared" si="1130"/>
        <v>15</v>
      </c>
      <c r="I4993" s="3">
        <f t="shared" si="1131"/>
        <v>11</v>
      </c>
      <c r="J4993" s="3">
        <f t="shared" si="1132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133"/>
        <v>YES</v>
      </c>
      <c r="Q4993" t="str">
        <f t="shared" si="1134"/>
        <v>NO</v>
      </c>
      <c r="R4993" t="str">
        <f t="shared" si="1135"/>
        <v>NO</v>
      </c>
      <c r="T4993" t="s">
        <v>70</v>
      </c>
      <c r="U4993" t="str">
        <f t="shared" si="1122"/>
        <v>Pearl St</v>
      </c>
      <c r="V4993" t="s">
        <v>1612</v>
      </c>
      <c r="W4993" t="str">
        <f t="shared" si="1123"/>
        <v>William St</v>
      </c>
      <c r="X4993" t="str">
        <f>IF(ISBLANK(S4993),"Intersection","Non-Intersection")</f>
        <v>Intersection</v>
      </c>
      <c r="Y4993" t="s">
        <v>5546</v>
      </c>
      <c r="Z4993" t="str">
        <f t="shared" si="1124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125"/>
        <v>41275</v>
      </c>
      <c r="D4994" s="4">
        <f t="shared" si="1126"/>
        <v>0.26301369863013696</v>
      </c>
      <c r="E4994" s="3">
        <f t="shared" si="1127"/>
        <v>2013</v>
      </c>
      <c r="F4994" s="3">
        <f t="shared" si="1128"/>
        <v>4</v>
      </c>
      <c r="G4994" s="3">
        <f t="shared" si="1129"/>
        <v>7</v>
      </c>
      <c r="H4994" s="3">
        <f t="shared" si="1130"/>
        <v>19</v>
      </c>
      <c r="I4994" s="3">
        <f t="shared" si="1131"/>
        <v>41</v>
      </c>
      <c r="J4994" s="3">
        <f t="shared" si="1132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133"/>
        <v>YES</v>
      </c>
      <c r="Q4994" t="str">
        <f t="shared" si="1134"/>
        <v>YES</v>
      </c>
      <c r="R4994" t="str">
        <f t="shared" si="1135"/>
        <v>NO</v>
      </c>
      <c r="T4994" t="s">
        <v>14</v>
      </c>
      <c r="U4994" t="str">
        <f t="shared" si="1122"/>
        <v>Massachusetts Ave</v>
      </c>
      <c r="V4994" t="s">
        <v>354</v>
      </c>
      <c r="W4994" t="str">
        <f t="shared" si="1123"/>
        <v>Linnaean St</v>
      </c>
      <c r="X4994" t="str">
        <f>IF(ISBLANK(S4994),"Intersection","Non-Intersection")</f>
        <v>Intersection</v>
      </c>
      <c r="Y4994" t="s">
        <v>1234</v>
      </c>
      <c r="Z4994" t="str">
        <f t="shared" si="1124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125"/>
        <v>41275</v>
      </c>
      <c r="D4995" s="4">
        <f t="shared" si="1126"/>
        <v>0.26575342465753427</v>
      </c>
      <c r="E4995" s="3">
        <f t="shared" si="1127"/>
        <v>2013</v>
      </c>
      <c r="F4995" s="3">
        <f t="shared" si="1128"/>
        <v>4</v>
      </c>
      <c r="G4995" s="3">
        <f t="shared" si="1129"/>
        <v>8</v>
      </c>
      <c r="H4995" s="3">
        <f t="shared" si="1130"/>
        <v>7</v>
      </c>
      <c r="I4995" s="3">
        <f t="shared" si="1131"/>
        <v>25</v>
      </c>
      <c r="J4995" s="3">
        <f t="shared" si="1132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133"/>
        <v>YES</v>
      </c>
      <c r="Q4995" t="str">
        <f t="shared" si="1134"/>
        <v>NO</v>
      </c>
      <c r="R4995" t="str">
        <f t="shared" si="1135"/>
        <v>NO</v>
      </c>
      <c r="S4995">
        <v>79</v>
      </c>
      <c r="T4995" t="s">
        <v>326</v>
      </c>
      <c r="U4995" t="str">
        <f t="shared" ref="U4995:U5058" si="1136">TRIM(PROPER(T4995))</f>
        <v>Jfk St</v>
      </c>
      <c r="W4995" t="str">
        <f t="shared" ref="W4995:W5058" si="1137">TRIM(PROPER(V4995))</f>
        <v/>
      </c>
      <c r="X4995" t="str">
        <f>IF(ISBLANK(S4995),"Intersection","Non-Intersection")</f>
        <v>Non-Intersection</v>
      </c>
      <c r="Y4995" t="s">
        <v>1851</v>
      </c>
      <c r="Z4995" t="str">
        <f t="shared" ref="Z4995:Z5058" si="1138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125"/>
        <v>41275</v>
      </c>
      <c r="D4996" s="4">
        <f t="shared" si="1126"/>
        <v>0.26575342465753427</v>
      </c>
      <c r="E4996" s="3">
        <f t="shared" si="1127"/>
        <v>2013</v>
      </c>
      <c r="F4996" s="3">
        <f t="shared" si="1128"/>
        <v>4</v>
      </c>
      <c r="G4996" s="3">
        <f t="shared" si="1129"/>
        <v>8</v>
      </c>
      <c r="H4996" s="3">
        <f t="shared" si="1130"/>
        <v>16</v>
      </c>
      <c r="I4996" s="3">
        <f t="shared" si="1131"/>
        <v>9</v>
      </c>
      <c r="J4996" s="3">
        <f t="shared" si="1132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133"/>
        <v>YES</v>
      </c>
      <c r="Q4996" t="str">
        <f t="shared" si="1134"/>
        <v>NO</v>
      </c>
      <c r="R4996" t="str">
        <f t="shared" si="1135"/>
        <v>NO</v>
      </c>
      <c r="S4996">
        <v>155</v>
      </c>
      <c r="T4996" t="s">
        <v>342</v>
      </c>
      <c r="U4996" t="str">
        <f t="shared" si="1136"/>
        <v>Prospect St</v>
      </c>
      <c r="W4996" t="str">
        <f t="shared" si="1137"/>
        <v/>
      </c>
      <c r="X4996" t="str">
        <f>IF(ISBLANK(S4996),"Intersection","Non-Intersection")</f>
        <v>Non-Intersection</v>
      </c>
      <c r="Y4996" t="s">
        <v>5548</v>
      </c>
      <c r="Z4996" t="str">
        <f t="shared" si="1138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125"/>
        <v>41275</v>
      </c>
      <c r="D4997" s="4">
        <f t="shared" si="1126"/>
        <v>0.26575342465753427</v>
      </c>
      <c r="E4997" s="3">
        <f t="shared" si="1127"/>
        <v>2013</v>
      </c>
      <c r="F4997" s="3">
        <f t="shared" si="1128"/>
        <v>4</v>
      </c>
      <c r="G4997" s="3">
        <f t="shared" si="1129"/>
        <v>8</v>
      </c>
      <c r="H4997" s="3">
        <f t="shared" si="1130"/>
        <v>18</v>
      </c>
      <c r="I4997" s="3">
        <f t="shared" si="1131"/>
        <v>45</v>
      </c>
      <c r="J4997" s="3">
        <f t="shared" si="1132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133"/>
        <v>YES</v>
      </c>
      <c r="Q4997" t="str">
        <f t="shared" si="1134"/>
        <v>NO</v>
      </c>
      <c r="R4997" t="str">
        <f t="shared" si="1135"/>
        <v>NO</v>
      </c>
      <c r="T4997" t="s">
        <v>316</v>
      </c>
      <c r="U4997" t="str">
        <f t="shared" si="1136"/>
        <v>Bishop Allen Dr</v>
      </c>
      <c r="V4997" t="s">
        <v>101</v>
      </c>
      <c r="W4997" t="str">
        <f t="shared" si="1137"/>
        <v>Columbia St</v>
      </c>
      <c r="X4997" t="str">
        <f>IF(ISBLANK(S4997),"Intersection","Non-Intersection")</f>
        <v>Intersection</v>
      </c>
      <c r="Y4997" t="s">
        <v>688</v>
      </c>
      <c r="Z4997" t="str">
        <f t="shared" si="1138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125"/>
        <v>41275</v>
      </c>
      <c r="D4998" s="4">
        <f t="shared" si="1126"/>
        <v>0.26849315068493151</v>
      </c>
      <c r="E4998" s="3">
        <f t="shared" si="1127"/>
        <v>2013</v>
      </c>
      <c r="F4998" s="3">
        <f t="shared" si="1128"/>
        <v>4</v>
      </c>
      <c r="G4998" s="3">
        <f t="shared" si="1129"/>
        <v>9</v>
      </c>
      <c r="H4998" s="3">
        <f t="shared" si="1130"/>
        <v>11</v>
      </c>
      <c r="I4998" s="3">
        <f t="shared" si="1131"/>
        <v>19</v>
      </c>
      <c r="J4998" s="3">
        <f t="shared" si="1132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133"/>
        <v>YES</v>
      </c>
      <c r="Q4998" t="str">
        <f t="shared" si="1134"/>
        <v>NO</v>
      </c>
      <c r="R4998" t="str">
        <f t="shared" si="1135"/>
        <v>NO</v>
      </c>
      <c r="S4998">
        <v>344</v>
      </c>
      <c r="T4998" t="s">
        <v>105</v>
      </c>
      <c r="U4998" t="str">
        <f t="shared" si="1136"/>
        <v>Broadway</v>
      </c>
      <c r="W4998" t="str">
        <f t="shared" si="1137"/>
        <v/>
      </c>
      <c r="X4998" t="str">
        <f>IF(ISBLANK(S4998),"Intersection","Non-Intersection")</f>
        <v>Non-Intersection</v>
      </c>
      <c r="Y4998" t="s">
        <v>3795</v>
      </c>
      <c r="Z4998" t="str">
        <f t="shared" si="1138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125"/>
        <v>41275</v>
      </c>
      <c r="D4999" s="4">
        <f t="shared" si="1126"/>
        <v>0.26849315068493151</v>
      </c>
      <c r="E4999" s="3">
        <f t="shared" si="1127"/>
        <v>2013</v>
      </c>
      <c r="F4999" s="3">
        <f t="shared" si="1128"/>
        <v>4</v>
      </c>
      <c r="G4999" s="3">
        <f t="shared" si="1129"/>
        <v>9</v>
      </c>
      <c r="H4999" s="3">
        <f t="shared" si="1130"/>
        <v>16</v>
      </c>
      <c r="I4999" s="3">
        <f t="shared" si="1131"/>
        <v>30</v>
      </c>
      <c r="J4999" s="3">
        <f t="shared" si="1132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133"/>
        <v>YES</v>
      </c>
      <c r="Q4999" t="str">
        <f t="shared" si="1134"/>
        <v>NO</v>
      </c>
      <c r="R4999" t="str">
        <f t="shared" si="1135"/>
        <v>NO</v>
      </c>
      <c r="T4999" t="s">
        <v>14</v>
      </c>
      <c r="U4999" t="str">
        <f t="shared" si="1136"/>
        <v>Massachusetts Ave</v>
      </c>
      <c r="V4999" t="s">
        <v>202</v>
      </c>
      <c r="W4999" t="str">
        <f t="shared" si="1137"/>
        <v>Vassar St</v>
      </c>
      <c r="X4999" t="str">
        <f>IF(ISBLANK(S4999),"Intersection","Non-Intersection")</f>
        <v>Intersection</v>
      </c>
      <c r="Y4999" t="s">
        <v>361</v>
      </c>
      <c r="Z4999" t="str">
        <f t="shared" si="1138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125"/>
        <v>41275</v>
      </c>
      <c r="D5000" s="4">
        <f t="shared" si="1126"/>
        <v>0.26849315068493151</v>
      </c>
      <c r="E5000" s="3">
        <f t="shared" si="1127"/>
        <v>2013</v>
      </c>
      <c r="F5000" s="3">
        <f t="shared" si="1128"/>
        <v>4</v>
      </c>
      <c r="G5000" s="3">
        <f t="shared" si="1129"/>
        <v>9</v>
      </c>
      <c r="H5000" s="3">
        <f t="shared" si="1130"/>
        <v>15</v>
      </c>
      <c r="I5000" s="3">
        <f t="shared" si="1131"/>
        <v>14</v>
      </c>
      <c r="J5000" s="3">
        <f t="shared" si="1132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133"/>
        <v>YES</v>
      </c>
      <c r="Q5000" t="str">
        <f t="shared" si="1134"/>
        <v>NO</v>
      </c>
      <c r="R5000" t="str">
        <f t="shared" si="1135"/>
        <v>NO</v>
      </c>
      <c r="S5000">
        <v>40</v>
      </c>
      <c r="T5000" t="s">
        <v>698</v>
      </c>
      <c r="U5000" t="str">
        <f t="shared" si="1136"/>
        <v>Thorndike St</v>
      </c>
      <c r="W5000" t="str">
        <f t="shared" si="1137"/>
        <v/>
      </c>
      <c r="X5000" t="str">
        <f>IF(ISBLANK(S5000),"Intersection","Non-Intersection")</f>
        <v>Non-Intersection</v>
      </c>
      <c r="Y5000" t="s">
        <v>3221</v>
      </c>
      <c r="Z5000" t="str">
        <f t="shared" si="1138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125"/>
        <v>41275</v>
      </c>
      <c r="D5001" s="4">
        <f t="shared" si="1126"/>
        <v>0.27123287671232876</v>
      </c>
      <c r="E5001" s="3">
        <f t="shared" si="1127"/>
        <v>2013</v>
      </c>
      <c r="F5001" s="3">
        <f t="shared" si="1128"/>
        <v>4</v>
      </c>
      <c r="G5001" s="3">
        <f t="shared" si="1129"/>
        <v>10</v>
      </c>
      <c r="H5001" s="3">
        <f t="shared" si="1130"/>
        <v>7</v>
      </c>
      <c r="I5001" s="3">
        <f t="shared" si="1131"/>
        <v>50</v>
      </c>
      <c r="J5001" s="3">
        <f t="shared" si="1132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133"/>
        <v>YES</v>
      </c>
      <c r="Q5001" t="str">
        <f t="shared" si="1134"/>
        <v>NO</v>
      </c>
      <c r="R5001" t="str">
        <f t="shared" si="1135"/>
        <v>NO</v>
      </c>
      <c r="S5001">
        <v>243</v>
      </c>
      <c r="T5001" t="s">
        <v>189</v>
      </c>
      <c r="U5001" t="str">
        <f t="shared" si="1136"/>
        <v>Windsor St</v>
      </c>
      <c r="V5001" t="s">
        <v>105</v>
      </c>
      <c r="W5001" t="str">
        <f t="shared" si="1137"/>
        <v>Broadway</v>
      </c>
      <c r="X5001" t="str">
        <f>IF(ISBLANK(S5001),"Intersection","Non-Intersection")</f>
        <v>Non-Intersection</v>
      </c>
      <c r="Y5001" t="s">
        <v>5550</v>
      </c>
      <c r="Z5001" t="str">
        <f t="shared" si="1138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125"/>
        <v>41275</v>
      </c>
      <c r="D5002" s="4">
        <f t="shared" si="1126"/>
        <v>0.27123287671232876</v>
      </c>
      <c r="E5002" s="3">
        <f t="shared" si="1127"/>
        <v>2013</v>
      </c>
      <c r="F5002" s="3">
        <f t="shared" si="1128"/>
        <v>4</v>
      </c>
      <c r="G5002" s="3">
        <f t="shared" si="1129"/>
        <v>10</v>
      </c>
      <c r="H5002" s="3">
        <f t="shared" si="1130"/>
        <v>9</v>
      </c>
      <c r="I5002" s="3">
        <f t="shared" si="1131"/>
        <v>30</v>
      </c>
      <c r="J5002" s="3">
        <f t="shared" si="1132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133"/>
        <v>YES</v>
      </c>
      <c r="Q5002" t="str">
        <f t="shared" si="1134"/>
        <v>NO</v>
      </c>
      <c r="R5002" t="str">
        <f t="shared" si="1135"/>
        <v>NO</v>
      </c>
      <c r="S5002">
        <v>1575</v>
      </c>
      <c r="T5002" t="s">
        <v>19</v>
      </c>
      <c r="U5002" t="str">
        <f t="shared" si="1136"/>
        <v>Cambridge St</v>
      </c>
      <c r="W5002" t="str">
        <f t="shared" si="1137"/>
        <v/>
      </c>
      <c r="X5002" t="str">
        <f>IF(ISBLANK(S5002),"Intersection","Non-Intersection")</f>
        <v>Non-Intersection</v>
      </c>
      <c r="Y5002" t="s">
        <v>64</v>
      </c>
      <c r="Z5002" t="str">
        <f t="shared" si="1138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125"/>
        <v>41275</v>
      </c>
      <c r="D5003" s="4">
        <f t="shared" si="1126"/>
        <v>0.27123287671232876</v>
      </c>
      <c r="E5003" s="3">
        <f t="shared" si="1127"/>
        <v>2013</v>
      </c>
      <c r="F5003" s="3">
        <f t="shared" si="1128"/>
        <v>4</v>
      </c>
      <c r="G5003" s="3">
        <f t="shared" si="1129"/>
        <v>10</v>
      </c>
      <c r="H5003" s="3">
        <f t="shared" si="1130"/>
        <v>21</v>
      </c>
      <c r="I5003" s="3">
        <f t="shared" si="1131"/>
        <v>58</v>
      </c>
      <c r="J5003" s="3">
        <f t="shared" si="1132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133"/>
        <v>YES</v>
      </c>
      <c r="Q5003" t="str">
        <f t="shared" si="1134"/>
        <v>NO</v>
      </c>
      <c r="R5003" t="str">
        <f t="shared" si="1135"/>
        <v>NO</v>
      </c>
      <c r="T5003" t="s">
        <v>42</v>
      </c>
      <c r="U5003" t="str">
        <f t="shared" si="1136"/>
        <v>Putnam Ave</v>
      </c>
      <c r="V5003" t="s">
        <v>37</v>
      </c>
      <c r="W5003" t="str">
        <f t="shared" si="1137"/>
        <v>Magazine St</v>
      </c>
      <c r="X5003" t="str">
        <f>IF(ISBLANK(S5003),"Intersection","Non-Intersection")</f>
        <v>Intersection</v>
      </c>
      <c r="Y5003" t="s">
        <v>5552</v>
      </c>
      <c r="Z5003" t="str">
        <f t="shared" si="1138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125"/>
        <v>41275</v>
      </c>
      <c r="D5004" s="4">
        <f t="shared" si="1126"/>
        <v>0.27123287671232876</v>
      </c>
      <c r="E5004" s="3">
        <f t="shared" si="1127"/>
        <v>2013</v>
      </c>
      <c r="F5004" s="3">
        <f t="shared" si="1128"/>
        <v>4</v>
      </c>
      <c r="G5004" s="3">
        <f t="shared" si="1129"/>
        <v>10</v>
      </c>
      <c r="H5004" s="3">
        <f t="shared" si="1130"/>
        <v>15</v>
      </c>
      <c r="I5004" s="3">
        <f t="shared" si="1131"/>
        <v>49</v>
      </c>
      <c r="J5004" s="3">
        <f t="shared" si="1132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133"/>
        <v>YES</v>
      </c>
      <c r="Q5004" t="str">
        <f t="shared" si="1134"/>
        <v>NO</v>
      </c>
      <c r="R5004" t="str">
        <f t="shared" si="1135"/>
        <v>NO</v>
      </c>
      <c r="T5004" t="s">
        <v>14</v>
      </c>
      <c r="U5004" t="str">
        <f t="shared" si="1136"/>
        <v>Massachusetts Ave</v>
      </c>
      <c r="V5004" t="s">
        <v>185</v>
      </c>
      <c r="W5004" t="str">
        <f t="shared" si="1137"/>
        <v>Garden St</v>
      </c>
      <c r="X5004" t="str">
        <f>IF(ISBLANK(S5004),"Intersection","Non-Intersection")</f>
        <v>Intersection</v>
      </c>
      <c r="Y5004" t="s">
        <v>1247</v>
      </c>
      <c r="Z5004" t="str">
        <f t="shared" si="1138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125"/>
        <v>41275</v>
      </c>
      <c r="D5005" s="4">
        <f t="shared" si="1126"/>
        <v>0.27123287671232876</v>
      </c>
      <c r="E5005" s="3">
        <f t="shared" si="1127"/>
        <v>2013</v>
      </c>
      <c r="F5005" s="3">
        <f t="shared" si="1128"/>
        <v>4</v>
      </c>
      <c r="G5005" s="3">
        <f t="shared" si="1129"/>
        <v>10</v>
      </c>
      <c r="H5005" s="3">
        <f t="shared" si="1130"/>
        <v>6</v>
      </c>
      <c r="I5005" s="3">
        <f t="shared" si="1131"/>
        <v>59</v>
      </c>
      <c r="J5005" s="3">
        <f t="shared" si="1132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133"/>
        <v>YES</v>
      </c>
      <c r="Q5005" t="str">
        <f t="shared" si="1134"/>
        <v>NO</v>
      </c>
      <c r="R5005" t="str">
        <f t="shared" si="1135"/>
        <v>NO</v>
      </c>
      <c r="S5005">
        <v>11</v>
      </c>
      <c r="T5005" t="s">
        <v>1823</v>
      </c>
      <c r="U5005" t="str">
        <f t="shared" si="1136"/>
        <v>Walden Square Rd</v>
      </c>
      <c r="W5005" t="str">
        <f t="shared" si="1137"/>
        <v/>
      </c>
      <c r="X5005" t="str">
        <f>IF(ISBLANK(S5005),"Intersection","Non-Intersection")</f>
        <v>Non-Intersection</v>
      </c>
      <c r="Y5005" t="s">
        <v>5553</v>
      </c>
      <c r="Z5005" t="str">
        <f t="shared" si="1138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125"/>
        <v>41275</v>
      </c>
      <c r="D5006" s="4">
        <f t="shared" si="1126"/>
        <v>0.27397260273972601</v>
      </c>
      <c r="E5006" s="3">
        <f t="shared" si="1127"/>
        <v>2013</v>
      </c>
      <c r="F5006" s="3">
        <f t="shared" si="1128"/>
        <v>4</v>
      </c>
      <c r="G5006" s="3">
        <f t="shared" si="1129"/>
        <v>11</v>
      </c>
      <c r="H5006" s="3">
        <f t="shared" si="1130"/>
        <v>5</v>
      </c>
      <c r="I5006" s="3">
        <f t="shared" si="1131"/>
        <v>29</v>
      </c>
      <c r="J5006" s="3">
        <f t="shared" si="1132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133"/>
        <v>YES</v>
      </c>
      <c r="Q5006" t="str">
        <f t="shared" si="1134"/>
        <v>NO</v>
      </c>
      <c r="R5006" t="str">
        <f t="shared" si="1135"/>
        <v>NO</v>
      </c>
      <c r="T5006" t="s">
        <v>342</v>
      </c>
      <c r="U5006" t="str">
        <f t="shared" si="1136"/>
        <v>Prospect St</v>
      </c>
      <c r="V5006" t="s">
        <v>105</v>
      </c>
      <c r="W5006" t="str">
        <f t="shared" si="1137"/>
        <v>Broadway</v>
      </c>
      <c r="X5006" t="str">
        <f>IF(ISBLANK(S5006),"Intersection","Non-Intersection")</f>
        <v>Intersection</v>
      </c>
      <c r="Y5006" t="s">
        <v>725</v>
      </c>
      <c r="Z5006" t="str">
        <f t="shared" si="1138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125"/>
        <v>41275</v>
      </c>
      <c r="D5007" s="4">
        <f t="shared" si="1126"/>
        <v>0.27397260273972601</v>
      </c>
      <c r="E5007" s="3">
        <f t="shared" si="1127"/>
        <v>2013</v>
      </c>
      <c r="F5007" s="3">
        <f t="shared" si="1128"/>
        <v>4</v>
      </c>
      <c r="G5007" s="3">
        <f t="shared" si="1129"/>
        <v>11</v>
      </c>
      <c r="H5007" s="3">
        <f t="shared" si="1130"/>
        <v>8</v>
      </c>
      <c r="I5007" s="3">
        <f t="shared" si="1131"/>
        <v>49</v>
      </c>
      <c r="J5007" s="3">
        <f t="shared" si="1132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133"/>
        <v>YES</v>
      </c>
      <c r="Q5007" t="str">
        <f t="shared" si="1134"/>
        <v>NO</v>
      </c>
      <c r="R5007" t="str">
        <f t="shared" si="1135"/>
        <v>YES</v>
      </c>
      <c r="T5007" t="s">
        <v>14</v>
      </c>
      <c r="U5007" t="str">
        <f t="shared" si="1136"/>
        <v>Massachusetts Ave</v>
      </c>
      <c r="V5007" t="s">
        <v>745</v>
      </c>
      <c r="W5007" t="str">
        <f t="shared" si="1137"/>
        <v>Norfolk St</v>
      </c>
      <c r="X5007" t="str">
        <f>IF(ISBLANK(S5007),"Intersection","Non-Intersection")</f>
        <v>Intersection</v>
      </c>
      <c r="Y5007" t="s">
        <v>873</v>
      </c>
      <c r="Z5007" t="str">
        <f t="shared" si="1138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125"/>
        <v>41275</v>
      </c>
      <c r="D5008" s="4">
        <f t="shared" si="1126"/>
        <v>0.27397260273972601</v>
      </c>
      <c r="E5008" s="3">
        <f t="shared" si="1127"/>
        <v>2013</v>
      </c>
      <c r="F5008" s="3">
        <f t="shared" si="1128"/>
        <v>4</v>
      </c>
      <c r="G5008" s="3">
        <f t="shared" si="1129"/>
        <v>11</v>
      </c>
      <c r="H5008" s="3">
        <f t="shared" si="1130"/>
        <v>18</v>
      </c>
      <c r="I5008" s="3">
        <f t="shared" si="1131"/>
        <v>30</v>
      </c>
      <c r="J5008" s="3">
        <f t="shared" si="1132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133"/>
        <v>YES</v>
      </c>
      <c r="Q5008" t="str">
        <f t="shared" si="1134"/>
        <v>NO</v>
      </c>
      <c r="R5008" t="str">
        <f t="shared" si="1135"/>
        <v>YES</v>
      </c>
      <c r="T5008" t="s">
        <v>3431</v>
      </c>
      <c r="U5008" t="str">
        <f t="shared" si="1136"/>
        <v>Park Ave</v>
      </c>
      <c r="V5008" t="s">
        <v>3430</v>
      </c>
      <c r="W5008" t="str">
        <f t="shared" si="1137"/>
        <v>High St</v>
      </c>
      <c r="X5008" t="str">
        <f>IF(ISBLANK(S5008),"Intersection","Non-Intersection")</f>
        <v>Intersection</v>
      </c>
      <c r="Y5008" t="s">
        <v>5555</v>
      </c>
      <c r="Z5008" t="str">
        <f t="shared" si="1138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125"/>
        <v>41275</v>
      </c>
      <c r="D5009" s="4">
        <f t="shared" si="1126"/>
        <v>0.27397260273972601</v>
      </c>
      <c r="E5009" s="3">
        <f t="shared" si="1127"/>
        <v>2013</v>
      </c>
      <c r="F5009" s="3">
        <f t="shared" si="1128"/>
        <v>4</v>
      </c>
      <c r="G5009" s="3">
        <f t="shared" si="1129"/>
        <v>11</v>
      </c>
      <c r="H5009" s="3">
        <f t="shared" si="1130"/>
        <v>22</v>
      </c>
      <c r="I5009" s="3">
        <f t="shared" si="1131"/>
        <v>54</v>
      </c>
      <c r="J5009" s="3">
        <f t="shared" si="1132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133"/>
        <v>YES</v>
      </c>
      <c r="Q5009" t="str">
        <f t="shared" si="1134"/>
        <v>NO</v>
      </c>
      <c r="R5009" t="str">
        <f t="shared" si="1135"/>
        <v>YES</v>
      </c>
      <c r="S5009">
        <v>1400</v>
      </c>
      <c r="T5009" t="s">
        <v>14</v>
      </c>
      <c r="U5009" t="str">
        <f t="shared" si="1136"/>
        <v>Massachusetts Ave</v>
      </c>
      <c r="W5009" t="str">
        <f t="shared" si="1137"/>
        <v/>
      </c>
      <c r="X5009" t="str">
        <f>IF(ISBLANK(S5009),"Intersection","Non-Intersection")</f>
        <v>Non-Intersection</v>
      </c>
      <c r="Y5009" t="s">
        <v>5530</v>
      </c>
      <c r="Z5009" t="str">
        <f t="shared" si="1138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125"/>
        <v>41275</v>
      </c>
      <c r="D5010" s="4">
        <f t="shared" si="1126"/>
        <v>0.27397260273972601</v>
      </c>
      <c r="E5010" s="3">
        <f t="shared" si="1127"/>
        <v>2013</v>
      </c>
      <c r="F5010" s="3">
        <f t="shared" si="1128"/>
        <v>4</v>
      </c>
      <c r="G5010" s="3">
        <f t="shared" si="1129"/>
        <v>11</v>
      </c>
      <c r="H5010" s="3">
        <f t="shared" si="1130"/>
        <v>12</v>
      </c>
      <c r="I5010" s="3">
        <f t="shared" si="1131"/>
        <v>0</v>
      </c>
      <c r="J5010" s="3">
        <f t="shared" si="1132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133"/>
        <v>YES</v>
      </c>
      <c r="Q5010" t="str">
        <f t="shared" si="1134"/>
        <v>NO</v>
      </c>
      <c r="R5010" t="str">
        <f t="shared" si="1135"/>
        <v>NO</v>
      </c>
      <c r="T5010" t="s">
        <v>487</v>
      </c>
      <c r="U5010" t="str">
        <f t="shared" si="1136"/>
        <v>Beech St</v>
      </c>
      <c r="V5010" t="s">
        <v>1976</v>
      </c>
      <c r="W5010" t="str">
        <f t="shared" si="1137"/>
        <v>Orchard St</v>
      </c>
      <c r="X5010" t="str">
        <f>IF(ISBLANK(S5010),"Intersection","Non-Intersection")</f>
        <v>Intersection</v>
      </c>
      <c r="Y5010" t="s">
        <v>1977</v>
      </c>
      <c r="Z5010" t="str">
        <f t="shared" si="1138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125"/>
        <v>41275</v>
      </c>
      <c r="D5011" s="4">
        <f t="shared" si="1126"/>
        <v>0.27397260273972601</v>
      </c>
      <c r="E5011" s="3">
        <f t="shared" si="1127"/>
        <v>2013</v>
      </c>
      <c r="F5011" s="3">
        <f t="shared" si="1128"/>
        <v>4</v>
      </c>
      <c r="G5011" s="3">
        <f t="shared" si="1129"/>
        <v>11</v>
      </c>
      <c r="H5011" s="3">
        <f t="shared" si="1130"/>
        <v>11</v>
      </c>
      <c r="I5011" s="3">
        <f t="shared" si="1131"/>
        <v>51</v>
      </c>
      <c r="J5011" s="3">
        <f t="shared" si="1132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133"/>
        <v>YES</v>
      </c>
      <c r="Q5011" t="str">
        <f t="shared" si="1134"/>
        <v>NO</v>
      </c>
      <c r="R5011" t="str">
        <f t="shared" si="1135"/>
        <v>NO</v>
      </c>
      <c r="T5011" t="s">
        <v>988</v>
      </c>
      <c r="U5011" t="str">
        <f t="shared" si="1136"/>
        <v>Bond St</v>
      </c>
      <c r="V5011" t="s">
        <v>186</v>
      </c>
      <c r="W5011" t="str">
        <f t="shared" si="1137"/>
        <v>Concord Ave</v>
      </c>
      <c r="X5011" t="str">
        <f>IF(ISBLANK(S5011),"Intersection","Non-Intersection")</f>
        <v>Intersection</v>
      </c>
      <c r="Y5011" t="s">
        <v>5556</v>
      </c>
      <c r="Z5011" t="str">
        <f t="shared" si="1138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125"/>
        <v>41275</v>
      </c>
      <c r="D5012" s="4">
        <f t="shared" si="1126"/>
        <v>0.27671232876712326</v>
      </c>
      <c r="E5012" s="3">
        <f t="shared" si="1127"/>
        <v>2013</v>
      </c>
      <c r="F5012" s="3">
        <f t="shared" si="1128"/>
        <v>4</v>
      </c>
      <c r="G5012" s="3">
        <f t="shared" si="1129"/>
        <v>12</v>
      </c>
      <c r="H5012" s="3">
        <f t="shared" si="1130"/>
        <v>19</v>
      </c>
      <c r="I5012" s="3">
        <f t="shared" si="1131"/>
        <v>40</v>
      </c>
      <c r="J5012" s="3">
        <f t="shared" si="1132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133"/>
        <v>YES</v>
      </c>
      <c r="Q5012" t="str">
        <f t="shared" si="1134"/>
        <v>NO</v>
      </c>
      <c r="R5012" t="str">
        <f t="shared" si="1135"/>
        <v>NO</v>
      </c>
      <c r="T5012" t="s">
        <v>198</v>
      </c>
      <c r="U5012" t="str">
        <f t="shared" si="1136"/>
        <v>Mount Auburn St</v>
      </c>
      <c r="V5012" t="s">
        <v>4487</v>
      </c>
      <c r="W5012" t="str">
        <f t="shared" si="1137"/>
        <v>Coolidge Hill Rd</v>
      </c>
      <c r="X5012" t="str">
        <f>IF(ISBLANK(S5012),"Intersection","Non-Intersection")</f>
        <v>Intersection</v>
      </c>
      <c r="Y5012" t="s">
        <v>4488</v>
      </c>
      <c r="Z5012" t="str">
        <f t="shared" si="1138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125"/>
        <v>41275</v>
      </c>
      <c r="D5013" s="4">
        <f t="shared" si="1126"/>
        <v>0.27671232876712326</v>
      </c>
      <c r="E5013" s="3">
        <f t="shared" si="1127"/>
        <v>2013</v>
      </c>
      <c r="F5013" s="3">
        <f t="shared" si="1128"/>
        <v>4</v>
      </c>
      <c r="G5013" s="3">
        <f t="shared" si="1129"/>
        <v>12</v>
      </c>
      <c r="H5013" s="3">
        <f t="shared" si="1130"/>
        <v>16</v>
      </c>
      <c r="I5013" s="3">
        <f t="shared" si="1131"/>
        <v>24</v>
      </c>
      <c r="J5013" s="3">
        <f t="shared" si="1132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133"/>
        <v>YES</v>
      </c>
      <c r="Q5013" t="str">
        <f t="shared" si="1134"/>
        <v>NO</v>
      </c>
      <c r="R5013" t="str">
        <f t="shared" si="1135"/>
        <v>YES</v>
      </c>
      <c r="T5013" t="s">
        <v>1438</v>
      </c>
      <c r="U5013" t="str">
        <f t="shared" si="1136"/>
        <v>Dunster St</v>
      </c>
      <c r="V5013" t="s">
        <v>198</v>
      </c>
      <c r="W5013" t="str">
        <f t="shared" si="1137"/>
        <v>Mount Auburn St</v>
      </c>
      <c r="X5013" t="str">
        <f>IF(ISBLANK(S5013),"Intersection","Non-Intersection")</f>
        <v>Intersection</v>
      </c>
      <c r="Y5013" t="s">
        <v>1786</v>
      </c>
      <c r="Z5013" t="str">
        <f t="shared" si="1138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125"/>
        <v>41275</v>
      </c>
      <c r="D5014" s="4">
        <f t="shared" si="1126"/>
        <v>0.27671232876712326</v>
      </c>
      <c r="E5014" s="3">
        <f t="shared" si="1127"/>
        <v>2013</v>
      </c>
      <c r="F5014" s="3">
        <f t="shared" si="1128"/>
        <v>4</v>
      </c>
      <c r="G5014" s="3">
        <f t="shared" si="1129"/>
        <v>12</v>
      </c>
      <c r="H5014" s="3">
        <f t="shared" si="1130"/>
        <v>6</v>
      </c>
      <c r="I5014" s="3">
        <f t="shared" si="1131"/>
        <v>40</v>
      </c>
      <c r="J5014" s="3">
        <f t="shared" si="1132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133"/>
        <v>YES</v>
      </c>
      <c r="Q5014" t="str">
        <f t="shared" si="1134"/>
        <v>NO</v>
      </c>
      <c r="R5014" t="str">
        <f t="shared" si="1135"/>
        <v>NO</v>
      </c>
      <c r="T5014" t="s">
        <v>186</v>
      </c>
      <c r="U5014" t="str">
        <f t="shared" si="1136"/>
        <v>Concord Ave</v>
      </c>
      <c r="V5014" t="s">
        <v>142</v>
      </c>
      <c r="W5014" t="str">
        <f t="shared" si="1137"/>
        <v>Huron Ave</v>
      </c>
      <c r="X5014" t="str">
        <f>IF(ISBLANK(S5014),"Intersection","Non-Intersection")</f>
        <v>Intersection</v>
      </c>
      <c r="Y5014" t="s">
        <v>3373</v>
      </c>
      <c r="Z5014" t="str">
        <f t="shared" si="1138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125"/>
        <v>41275</v>
      </c>
      <c r="D5015" s="4">
        <f t="shared" si="1126"/>
        <v>0.27945205479452057</v>
      </c>
      <c r="E5015" s="3">
        <f t="shared" si="1127"/>
        <v>2013</v>
      </c>
      <c r="F5015" s="3">
        <f t="shared" si="1128"/>
        <v>4</v>
      </c>
      <c r="G5015" s="3">
        <f t="shared" si="1129"/>
        <v>13</v>
      </c>
      <c r="H5015" s="3">
        <f t="shared" si="1130"/>
        <v>18</v>
      </c>
      <c r="I5015" s="3">
        <f t="shared" si="1131"/>
        <v>4</v>
      </c>
      <c r="J5015" s="3">
        <f t="shared" si="1132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133"/>
        <v>YES</v>
      </c>
      <c r="Q5015" t="str">
        <f t="shared" si="1134"/>
        <v>NO</v>
      </c>
      <c r="R5015" t="str">
        <f t="shared" si="1135"/>
        <v>NO</v>
      </c>
      <c r="S5015">
        <v>304</v>
      </c>
      <c r="T5015" t="s">
        <v>202</v>
      </c>
      <c r="U5015" t="str">
        <f t="shared" si="1136"/>
        <v>Vassar St</v>
      </c>
      <c r="W5015" t="str">
        <f t="shared" si="1137"/>
        <v/>
      </c>
      <c r="X5015" t="str">
        <f>IF(ISBLANK(S5015),"Intersection","Non-Intersection")</f>
        <v>Non-Intersection</v>
      </c>
      <c r="Y5015" t="s">
        <v>5557</v>
      </c>
      <c r="Z5015" t="str">
        <f t="shared" si="1138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125"/>
        <v>41275</v>
      </c>
      <c r="D5016" s="4">
        <f t="shared" si="1126"/>
        <v>0.27945205479452057</v>
      </c>
      <c r="E5016" s="3">
        <f t="shared" si="1127"/>
        <v>2013</v>
      </c>
      <c r="F5016" s="3">
        <f t="shared" si="1128"/>
        <v>4</v>
      </c>
      <c r="G5016" s="3">
        <f t="shared" si="1129"/>
        <v>13</v>
      </c>
      <c r="H5016" s="3">
        <f t="shared" si="1130"/>
        <v>17</v>
      </c>
      <c r="I5016" s="3">
        <f t="shared" si="1131"/>
        <v>39</v>
      </c>
      <c r="J5016" s="3">
        <f t="shared" si="1132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133"/>
        <v>YES</v>
      </c>
      <c r="Q5016" t="str">
        <f t="shared" si="1134"/>
        <v>NO</v>
      </c>
      <c r="R5016" t="str">
        <f t="shared" si="1135"/>
        <v>YES</v>
      </c>
      <c r="T5016" t="s">
        <v>186</v>
      </c>
      <c r="U5016" t="str">
        <f t="shared" si="1136"/>
        <v>Concord Ave</v>
      </c>
      <c r="V5016" t="s">
        <v>1132</v>
      </c>
      <c r="W5016" t="str">
        <f t="shared" si="1137"/>
        <v>Moulton St</v>
      </c>
      <c r="X5016" t="str">
        <f>IF(ISBLANK(S5016),"Intersection","Non-Intersection")</f>
        <v>Intersection</v>
      </c>
      <c r="Y5016" t="s">
        <v>1133</v>
      </c>
      <c r="Z5016" t="str">
        <f t="shared" si="1138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125"/>
        <v>41275</v>
      </c>
      <c r="D5017" s="4">
        <f t="shared" si="1126"/>
        <v>0.27945205479452057</v>
      </c>
      <c r="E5017" s="3">
        <f t="shared" si="1127"/>
        <v>2013</v>
      </c>
      <c r="F5017" s="3">
        <f t="shared" si="1128"/>
        <v>4</v>
      </c>
      <c r="G5017" s="3">
        <f t="shared" si="1129"/>
        <v>13</v>
      </c>
      <c r="H5017" s="3">
        <f t="shared" si="1130"/>
        <v>19</v>
      </c>
      <c r="I5017" s="3">
        <f t="shared" si="1131"/>
        <v>45</v>
      </c>
      <c r="J5017" s="3">
        <f t="shared" si="1132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133"/>
        <v>YES</v>
      </c>
      <c r="Q5017" t="str">
        <f t="shared" si="1134"/>
        <v>NO</v>
      </c>
      <c r="R5017" t="str">
        <f t="shared" si="1135"/>
        <v>NO</v>
      </c>
      <c r="T5017" t="s">
        <v>14</v>
      </c>
      <c r="U5017" t="str">
        <f t="shared" si="1136"/>
        <v>Massachusetts Ave</v>
      </c>
      <c r="V5017" t="s">
        <v>66</v>
      </c>
      <c r="W5017" t="str">
        <f t="shared" si="1137"/>
        <v>Dudley St</v>
      </c>
      <c r="X5017" t="str">
        <f>IF(ISBLANK(S5017),"Intersection","Non-Intersection")</f>
        <v>Intersection</v>
      </c>
      <c r="Y5017" t="s">
        <v>5032</v>
      </c>
      <c r="Z5017" t="str">
        <f t="shared" si="1138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125"/>
        <v>41275</v>
      </c>
      <c r="D5018" s="4">
        <f t="shared" si="1126"/>
        <v>0.27945205479452057</v>
      </c>
      <c r="E5018" s="3">
        <f t="shared" si="1127"/>
        <v>2013</v>
      </c>
      <c r="F5018" s="3">
        <f t="shared" si="1128"/>
        <v>4</v>
      </c>
      <c r="G5018" s="3">
        <f t="shared" si="1129"/>
        <v>13</v>
      </c>
      <c r="H5018" s="3">
        <f t="shared" si="1130"/>
        <v>17</v>
      </c>
      <c r="I5018" s="3">
        <f t="shared" si="1131"/>
        <v>45</v>
      </c>
      <c r="J5018" s="3">
        <f t="shared" si="1132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133"/>
        <v>YES</v>
      </c>
      <c r="Q5018" t="str">
        <f t="shared" si="1134"/>
        <v>NO</v>
      </c>
      <c r="R5018" t="str">
        <f t="shared" si="1135"/>
        <v>NO</v>
      </c>
      <c r="S5018">
        <v>2225</v>
      </c>
      <c r="T5018" t="s">
        <v>14</v>
      </c>
      <c r="U5018" t="str">
        <f t="shared" si="1136"/>
        <v>Massachusetts Ave</v>
      </c>
      <c r="W5018" t="str">
        <f t="shared" si="1137"/>
        <v/>
      </c>
      <c r="X5018" t="str">
        <f>IF(ISBLANK(S5018),"Intersection","Non-Intersection")</f>
        <v>Non-Intersection</v>
      </c>
      <c r="Y5018" t="s">
        <v>2195</v>
      </c>
      <c r="Z5018" t="str">
        <f t="shared" si="1138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125"/>
        <v>41275</v>
      </c>
      <c r="D5019" s="4">
        <f t="shared" si="1126"/>
        <v>0.28219178082191781</v>
      </c>
      <c r="E5019" s="3">
        <f t="shared" si="1127"/>
        <v>2013</v>
      </c>
      <c r="F5019" s="3">
        <f t="shared" si="1128"/>
        <v>4</v>
      </c>
      <c r="G5019" s="3">
        <f t="shared" si="1129"/>
        <v>14</v>
      </c>
      <c r="H5019" s="3">
        <f t="shared" si="1130"/>
        <v>15</v>
      </c>
      <c r="I5019" s="3">
        <f t="shared" si="1131"/>
        <v>13</v>
      </c>
      <c r="J5019" s="3">
        <f t="shared" si="1132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133"/>
        <v>YES</v>
      </c>
      <c r="Q5019" t="str">
        <f t="shared" si="1134"/>
        <v>NO</v>
      </c>
      <c r="R5019" t="str">
        <f t="shared" si="1135"/>
        <v>NO</v>
      </c>
      <c r="S5019">
        <v>1511</v>
      </c>
      <c r="T5019" t="s">
        <v>14</v>
      </c>
      <c r="U5019" t="str">
        <f t="shared" si="1136"/>
        <v>Massachusetts Ave</v>
      </c>
      <c r="W5019" t="str">
        <f t="shared" si="1137"/>
        <v/>
      </c>
      <c r="X5019" t="str">
        <f>IF(ISBLANK(S5019),"Intersection","Non-Intersection")</f>
        <v>Non-Intersection</v>
      </c>
      <c r="Y5019" t="s">
        <v>5559</v>
      </c>
      <c r="Z5019" t="str">
        <f t="shared" si="1138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125"/>
        <v>41275</v>
      </c>
      <c r="D5020" s="4">
        <f t="shared" si="1126"/>
        <v>0.28219178082191781</v>
      </c>
      <c r="E5020" s="3">
        <f t="shared" si="1127"/>
        <v>2013</v>
      </c>
      <c r="F5020" s="3">
        <f t="shared" si="1128"/>
        <v>4</v>
      </c>
      <c r="G5020" s="3">
        <f t="shared" si="1129"/>
        <v>14</v>
      </c>
      <c r="H5020" s="3">
        <f t="shared" si="1130"/>
        <v>18</v>
      </c>
      <c r="I5020" s="3">
        <f t="shared" si="1131"/>
        <v>20</v>
      </c>
      <c r="J5020" s="3">
        <f t="shared" si="1132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133"/>
        <v>YES</v>
      </c>
      <c r="Q5020" t="str">
        <f t="shared" si="1134"/>
        <v>YES</v>
      </c>
      <c r="R5020" t="str">
        <f t="shared" si="1135"/>
        <v>NO</v>
      </c>
      <c r="S5020">
        <v>229</v>
      </c>
      <c r="T5020" t="s">
        <v>133</v>
      </c>
      <c r="U5020" t="str">
        <f t="shared" si="1136"/>
        <v>Harvard St</v>
      </c>
      <c r="W5020" t="str">
        <f t="shared" si="1137"/>
        <v/>
      </c>
      <c r="X5020" t="str">
        <f>IF(ISBLANK(S5020),"Intersection","Non-Intersection")</f>
        <v>Non-Intersection</v>
      </c>
      <c r="Y5020" t="s">
        <v>5561</v>
      </c>
      <c r="Z5020" t="str">
        <f t="shared" si="1138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125"/>
        <v>41275</v>
      </c>
      <c r="D5021" s="4">
        <f t="shared" si="1126"/>
        <v>0.28219178082191781</v>
      </c>
      <c r="E5021" s="3">
        <f t="shared" si="1127"/>
        <v>2013</v>
      </c>
      <c r="F5021" s="3">
        <f t="shared" si="1128"/>
        <v>4</v>
      </c>
      <c r="G5021" s="3">
        <f t="shared" si="1129"/>
        <v>14</v>
      </c>
      <c r="H5021" s="3">
        <f t="shared" si="1130"/>
        <v>16</v>
      </c>
      <c r="I5021" s="3">
        <f t="shared" si="1131"/>
        <v>44</v>
      </c>
      <c r="J5021" s="3">
        <f t="shared" si="1132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133"/>
        <v>YES</v>
      </c>
      <c r="Q5021" t="str">
        <f t="shared" si="1134"/>
        <v>NO</v>
      </c>
      <c r="R5021" t="str">
        <f t="shared" si="1135"/>
        <v>NO</v>
      </c>
      <c r="T5021" t="s">
        <v>19</v>
      </c>
      <c r="U5021" t="str">
        <f t="shared" si="1136"/>
        <v>Cambridge St</v>
      </c>
      <c r="V5021" t="s">
        <v>134</v>
      </c>
      <c r="W5021" t="str">
        <f t="shared" si="1137"/>
        <v>Quincy St</v>
      </c>
      <c r="X5021" t="str">
        <f>IF(ISBLANK(S5021),"Intersection","Non-Intersection")</f>
        <v>Intersection</v>
      </c>
      <c r="Y5021" t="s">
        <v>150</v>
      </c>
      <c r="Z5021" t="str">
        <f t="shared" si="1138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125"/>
        <v>41275</v>
      </c>
      <c r="D5022" s="4">
        <f t="shared" si="1126"/>
        <v>0.28493150684931506</v>
      </c>
      <c r="E5022" s="3">
        <f t="shared" si="1127"/>
        <v>2013</v>
      </c>
      <c r="F5022" s="3">
        <f t="shared" si="1128"/>
        <v>4</v>
      </c>
      <c r="G5022" s="3">
        <f t="shared" si="1129"/>
        <v>15</v>
      </c>
      <c r="H5022" s="3">
        <f t="shared" si="1130"/>
        <v>9</v>
      </c>
      <c r="I5022" s="3">
        <f t="shared" si="1131"/>
        <v>30</v>
      </c>
      <c r="J5022" s="3">
        <f t="shared" si="1132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133"/>
        <v>YES</v>
      </c>
      <c r="Q5022" t="str">
        <f t="shared" si="1134"/>
        <v>NO</v>
      </c>
      <c r="R5022" t="str">
        <f t="shared" si="1135"/>
        <v>NO</v>
      </c>
      <c r="S5022">
        <v>701</v>
      </c>
      <c r="T5022" t="s">
        <v>186</v>
      </c>
      <c r="U5022" t="str">
        <f t="shared" si="1136"/>
        <v>Concord Ave</v>
      </c>
      <c r="W5022" t="str">
        <f t="shared" si="1137"/>
        <v/>
      </c>
      <c r="X5022" t="str">
        <f>IF(ISBLANK(S5022),"Intersection","Non-Intersection")</f>
        <v>Non-Intersection</v>
      </c>
      <c r="Y5022" t="s">
        <v>5265</v>
      </c>
      <c r="Z5022" t="str">
        <f t="shared" si="1138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125"/>
        <v>41275</v>
      </c>
      <c r="D5023" s="4">
        <f t="shared" si="1126"/>
        <v>0.28493150684931506</v>
      </c>
      <c r="E5023" s="3">
        <f t="shared" si="1127"/>
        <v>2013</v>
      </c>
      <c r="F5023" s="3">
        <f t="shared" si="1128"/>
        <v>4</v>
      </c>
      <c r="G5023" s="3">
        <f t="shared" si="1129"/>
        <v>15</v>
      </c>
      <c r="H5023" s="3">
        <f t="shared" si="1130"/>
        <v>13</v>
      </c>
      <c r="I5023" s="3">
        <f t="shared" si="1131"/>
        <v>30</v>
      </c>
      <c r="J5023" s="3">
        <f t="shared" si="1132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133"/>
        <v>YES</v>
      </c>
      <c r="Q5023" t="str">
        <f t="shared" si="1134"/>
        <v>NO</v>
      </c>
      <c r="R5023" t="str">
        <f t="shared" si="1135"/>
        <v>NO</v>
      </c>
      <c r="T5023" t="s">
        <v>19</v>
      </c>
      <c r="U5023" t="str">
        <f t="shared" si="1136"/>
        <v>Cambridge St</v>
      </c>
      <c r="V5023" t="s">
        <v>74</v>
      </c>
      <c r="W5023" t="str">
        <f t="shared" si="1137"/>
        <v>Hampshire St</v>
      </c>
      <c r="X5023" t="str">
        <f>IF(ISBLANK(S5023),"Intersection","Non-Intersection")</f>
        <v>Intersection</v>
      </c>
      <c r="Y5023" t="s">
        <v>111</v>
      </c>
      <c r="Z5023" t="str">
        <f t="shared" si="1138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125"/>
        <v>41275</v>
      </c>
      <c r="D5024" s="4">
        <f t="shared" si="1126"/>
        <v>0.28767123287671231</v>
      </c>
      <c r="E5024" s="3">
        <f t="shared" si="1127"/>
        <v>2013</v>
      </c>
      <c r="F5024" s="3">
        <f t="shared" si="1128"/>
        <v>4</v>
      </c>
      <c r="G5024" s="3">
        <f t="shared" si="1129"/>
        <v>16</v>
      </c>
      <c r="H5024" s="3">
        <f t="shared" si="1130"/>
        <v>3</v>
      </c>
      <c r="I5024" s="3">
        <f t="shared" si="1131"/>
        <v>46</v>
      </c>
      <c r="J5024" s="3">
        <f t="shared" si="1132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133"/>
        <v>YES</v>
      </c>
      <c r="Q5024" t="str">
        <f t="shared" si="1134"/>
        <v>NO</v>
      </c>
      <c r="R5024" t="str">
        <f t="shared" si="1135"/>
        <v>NO</v>
      </c>
      <c r="S5024">
        <v>119</v>
      </c>
      <c r="T5024" t="s">
        <v>189</v>
      </c>
      <c r="U5024" t="str">
        <f t="shared" si="1136"/>
        <v>Windsor St</v>
      </c>
      <c r="W5024" t="str">
        <f t="shared" si="1137"/>
        <v/>
      </c>
      <c r="X5024" t="str">
        <f>IF(ISBLANK(S5024),"Intersection","Non-Intersection")</f>
        <v>Non-Intersection</v>
      </c>
      <c r="Y5024" t="s">
        <v>1030</v>
      </c>
      <c r="Z5024" t="str">
        <f t="shared" si="1138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125"/>
        <v>41275</v>
      </c>
      <c r="D5025" s="4">
        <f t="shared" si="1126"/>
        <v>0.28767123287671231</v>
      </c>
      <c r="E5025" s="3">
        <f t="shared" si="1127"/>
        <v>2013</v>
      </c>
      <c r="F5025" s="3">
        <f t="shared" si="1128"/>
        <v>4</v>
      </c>
      <c r="G5025" s="3">
        <f t="shared" si="1129"/>
        <v>16</v>
      </c>
      <c r="H5025" s="3">
        <f t="shared" si="1130"/>
        <v>12</v>
      </c>
      <c r="I5025" s="3">
        <f t="shared" si="1131"/>
        <v>1</v>
      </c>
      <c r="J5025" s="3">
        <f t="shared" si="1132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133"/>
        <v>YES</v>
      </c>
      <c r="Q5025" t="str">
        <f t="shared" si="1134"/>
        <v>NO</v>
      </c>
      <c r="R5025" t="str">
        <f t="shared" si="1135"/>
        <v>NO</v>
      </c>
      <c r="T5025" t="s">
        <v>268</v>
      </c>
      <c r="U5025" t="str">
        <f t="shared" si="1136"/>
        <v>White St</v>
      </c>
      <c r="W5025" t="str">
        <f t="shared" si="1137"/>
        <v/>
      </c>
      <c r="X5025" t="str">
        <f>IF(ISBLANK(S5025),"Intersection","Non-Intersection")</f>
        <v>Intersection</v>
      </c>
      <c r="Y5025" t="s">
        <v>949</v>
      </c>
      <c r="Z5025" t="str">
        <f t="shared" si="1138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125"/>
        <v>41275</v>
      </c>
      <c r="D5026" s="4">
        <f t="shared" si="1126"/>
        <v>0.28767123287671231</v>
      </c>
      <c r="E5026" s="3">
        <f t="shared" si="1127"/>
        <v>2013</v>
      </c>
      <c r="F5026" s="3">
        <f t="shared" si="1128"/>
        <v>4</v>
      </c>
      <c r="G5026" s="3">
        <f t="shared" si="1129"/>
        <v>16</v>
      </c>
      <c r="H5026" s="3">
        <f t="shared" si="1130"/>
        <v>9</v>
      </c>
      <c r="I5026" s="3">
        <f t="shared" si="1131"/>
        <v>0</v>
      </c>
      <c r="J5026" s="3">
        <f t="shared" si="1132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133"/>
        <v>YES</v>
      </c>
      <c r="Q5026" t="str">
        <f t="shared" si="1134"/>
        <v>NO</v>
      </c>
      <c r="R5026" t="str">
        <f t="shared" si="1135"/>
        <v>NO</v>
      </c>
      <c r="T5026" t="s">
        <v>1545</v>
      </c>
      <c r="U5026" t="str">
        <f t="shared" si="1136"/>
        <v>Washington St</v>
      </c>
      <c r="V5026" t="s">
        <v>189</v>
      </c>
      <c r="W5026" t="str">
        <f t="shared" si="1137"/>
        <v>Windsor St</v>
      </c>
      <c r="X5026" t="str">
        <f>IF(ISBLANK(S5026),"Intersection","Non-Intersection")</f>
        <v>Intersection</v>
      </c>
      <c r="Y5026" t="s">
        <v>5563</v>
      </c>
      <c r="Z5026" t="str">
        <f t="shared" si="1138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125"/>
        <v>41275</v>
      </c>
      <c r="D5027" s="4">
        <f t="shared" si="1126"/>
        <v>0.28767123287671231</v>
      </c>
      <c r="E5027" s="3">
        <f t="shared" si="1127"/>
        <v>2013</v>
      </c>
      <c r="F5027" s="3">
        <f t="shared" si="1128"/>
        <v>4</v>
      </c>
      <c r="G5027" s="3">
        <f t="shared" si="1129"/>
        <v>16</v>
      </c>
      <c r="H5027" s="3">
        <f t="shared" si="1130"/>
        <v>12</v>
      </c>
      <c r="I5027" s="3">
        <f t="shared" si="1131"/>
        <v>0</v>
      </c>
      <c r="J5027" s="3">
        <f t="shared" si="1132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133"/>
        <v>YES</v>
      </c>
      <c r="Q5027" t="str">
        <f t="shared" si="1134"/>
        <v>NO</v>
      </c>
      <c r="R5027" t="str">
        <f t="shared" si="1135"/>
        <v>NO</v>
      </c>
      <c r="T5027" t="s">
        <v>260</v>
      </c>
      <c r="U5027" t="str">
        <f t="shared" si="1136"/>
        <v>Third St</v>
      </c>
      <c r="V5027" t="s">
        <v>146</v>
      </c>
      <c r="W5027" t="str">
        <f t="shared" si="1137"/>
        <v>Spring St</v>
      </c>
      <c r="X5027" t="str">
        <f>IF(ISBLANK(S5027),"Intersection","Non-Intersection")</f>
        <v>Intersection</v>
      </c>
      <c r="Y5027" t="s">
        <v>544</v>
      </c>
      <c r="Z5027" t="str">
        <f t="shared" si="1138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125"/>
        <v>41275</v>
      </c>
      <c r="D5028" s="4">
        <f t="shared" si="1126"/>
        <v>0.28767123287671231</v>
      </c>
      <c r="E5028" s="3">
        <f t="shared" si="1127"/>
        <v>2013</v>
      </c>
      <c r="F5028" s="3">
        <f t="shared" si="1128"/>
        <v>4</v>
      </c>
      <c r="G5028" s="3">
        <f t="shared" si="1129"/>
        <v>16</v>
      </c>
      <c r="H5028" s="3">
        <f t="shared" si="1130"/>
        <v>11</v>
      </c>
      <c r="I5028" s="3">
        <f t="shared" si="1131"/>
        <v>48</v>
      </c>
      <c r="J5028" s="3">
        <f t="shared" si="1132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133"/>
        <v>YES</v>
      </c>
      <c r="Q5028" t="str">
        <f t="shared" si="1134"/>
        <v>NO</v>
      </c>
      <c r="R5028" t="str">
        <f t="shared" si="1135"/>
        <v>NO</v>
      </c>
      <c r="S5028">
        <v>160</v>
      </c>
      <c r="T5028" t="s">
        <v>170</v>
      </c>
      <c r="U5028" t="str">
        <f t="shared" si="1136"/>
        <v>Alewife Brook Pky</v>
      </c>
      <c r="W5028" t="str">
        <f t="shared" si="1137"/>
        <v/>
      </c>
      <c r="X5028" t="str">
        <f>IF(ISBLANK(S5028),"Intersection","Non-Intersection")</f>
        <v>Non-Intersection</v>
      </c>
      <c r="Y5028" t="s">
        <v>3629</v>
      </c>
      <c r="Z5028" t="str">
        <f t="shared" si="1138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125"/>
        <v>41275</v>
      </c>
      <c r="D5029" s="4">
        <f t="shared" si="1126"/>
        <v>0.28767123287671231</v>
      </c>
      <c r="E5029" s="3">
        <f t="shared" si="1127"/>
        <v>2013</v>
      </c>
      <c r="F5029" s="3">
        <f t="shared" si="1128"/>
        <v>4</v>
      </c>
      <c r="G5029" s="3">
        <f t="shared" si="1129"/>
        <v>16</v>
      </c>
      <c r="H5029" s="3">
        <f t="shared" si="1130"/>
        <v>12</v>
      </c>
      <c r="I5029" s="3">
        <f t="shared" si="1131"/>
        <v>53</v>
      </c>
      <c r="J5029" s="3">
        <f t="shared" si="1132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133"/>
        <v>YES</v>
      </c>
      <c r="Q5029" t="str">
        <f t="shared" si="1134"/>
        <v>NO</v>
      </c>
      <c r="R5029" t="str">
        <f t="shared" si="1135"/>
        <v>NO</v>
      </c>
      <c r="S5029">
        <v>125</v>
      </c>
      <c r="T5029" t="s">
        <v>41</v>
      </c>
      <c r="U5029" t="str">
        <f t="shared" si="1136"/>
        <v>River St</v>
      </c>
      <c r="W5029" t="str">
        <f t="shared" si="1137"/>
        <v/>
      </c>
      <c r="X5029" t="str">
        <f>IF(ISBLANK(S5029),"Intersection","Non-Intersection")</f>
        <v>Non-Intersection</v>
      </c>
      <c r="Y5029" t="s">
        <v>5564</v>
      </c>
      <c r="Z5029" t="str">
        <f t="shared" si="1138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125"/>
        <v>41275</v>
      </c>
      <c r="D5030" s="4">
        <f t="shared" si="1126"/>
        <v>0.28767123287671231</v>
      </c>
      <c r="E5030" s="3">
        <f t="shared" si="1127"/>
        <v>2013</v>
      </c>
      <c r="F5030" s="3">
        <f t="shared" si="1128"/>
        <v>4</v>
      </c>
      <c r="G5030" s="3">
        <f t="shared" si="1129"/>
        <v>16</v>
      </c>
      <c r="H5030" s="3">
        <f t="shared" si="1130"/>
        <v>7</v>
      </c>
      <c r="I5030" s="3">
        <f t="shared" si="1131"/>
        <v>21</v>
      </c>
      <c r="J5030" s="3">
        <f t="shared" si="1132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133"/>
        <v>YES</v>
      </c>
      <c r="Q5030" t="str">
        <f t="shared" si="1134"/>
        <v>NO</v>
      </c>
      <c r="R5030" t="str">
        <f t="shared" si="1135"/>
        <v>NO</v>
      </c>
      <c r="T5030" t="s">
        <v>14</v>
      </c>
      <c r="U5030" t="str">
        <f t="shared" si="1136"/>
        <v>Massachusetts Ave</v>
      </c>
      <c r="V5030" t="s">
        <v>2737</v>
      </c>
      <c r="W5030" t="str">
        <f t="shared" si="1137"/>
        <v>Woodbridge St</v>
      </c>
      <c r="X5030" t="str">
        <f>IF(ISBLANK(S5030),"Intersection","Non-Intersection")</f>
        <v>Intersection</v>
      </c>
      <c r="Y5030" t="s">
        <v>3994</v>
      </c>
      <c r="Z5030" t="str">
        <f t="shared" si="1138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139">EOMONTH(B5031,MONTH(B5031)*-1)+1</f>
        <v>41275</v>
      </c>
      <c r="D5031" s="4">
        <f t="shared" ref="D5031:D5094" si="1140">YEARFRAC(C5031,B5031,1)</f>
        <v>0.29041095890410956</v>
      </c>
      <c r="E5031" s="3">
        <f t="shared" ref="E5031:E5094" si="1141">YEAR(B5031)</f>
        <v>2013</v>
      </c>
      <c r="F5031" s="3">
        <f t="shared" ref="F5031:F5094" si="1142">MONTH(B5031)</f>
        <v>4</v>
      </c>
      <c r="G5031" s="3">
        <f t="shared" ref="G5031:G5094" si="1143">DAY(B5031)</f>
        <v>17</v>
      </c>
      <c r="H5031" s="3">
        <f t="shared" ref="H5031:H5094" si="1144">HOUR(B5031)</f>
        <v>18</v>
      </c>
      <c r="I5031" s="3">
        <f t="shared" ref="I5031:I5094" si="1145">MINUTE(B5031)</f>
        <v>4</v>
      </c>
      <c r="J5031" s="3">
        <f t="shared" ref="J5031:J5094" si="1146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147">IF(OR(N5031="Auto",O5031="Auto"),"YES",IF(OR(N5031="Taxi",O5031="Taxi"),"YES",IF(OR(N5031="Van",O5031="Van"),"YES",IF(OR(N5031="Truck",O5031="Truck"),"YES","NO"))))</f>
        <v>YES</v>
      </c>
      <c r="Q5031" t="str">
        <f t="shared" ref="Q5031:Q5094" si="1148">IF(OR(N5031="Bicycle",O5031="Bicycle"),"YES","NO")</f>
        <v>NO</v>
      </c>
      <c r="R5031" t="str">
        <f t="shared" ref="R5031:R5094" si="1149">IF(OR(N5031="Pedestrian",O5031="Pedestrian"),"YES","NO")</f>
        <v>NO</v>
      </c>
      <c r="T5031" t="s">
        <v>3803</v>
      </c>
      <c r="U5031" t="str">
        <f t="shared" si="1136"/>
        <v>Kendall St</v>
      </c>
      <c r="W5031" t="str">
        <f t="shared" si="1137"/>
        <v/>
      </c>
      <c r="X5031" t="str">
        <f>IF(ISBLANK(S5031),"Intersection","Non-Intersection")</f>
        <v>Intersection</v>
      </c>
      <c r="Y5031" t="s">
        <v>5566</v>
      </c>
      <c r="Z5031" t="str">
        <f t="shared" si="1138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139"/>
        <v>41275</v>
      </c>
      <c r="D5032" s="4">
        <f t="shared" si="1140"/>
        <v>0.29041095890410956</v>
      </c>
      <c r="E5032" s="3">
        <f t="shared" si="1141"/>
        <v>2013</v>
      </c>
      <c r="F5032" s="3">
        <f t="shared" si="1142"/>
        <v>4</v>
      </c>
      <c r="G5032" s="3">
        <f t="shared" si="1143"/>
        <v>17</v>
      </c>
      <c r="H5032" s="3">
        <f t="shared" si="1144"/>
        <v>23</v>
      </c>
      <c r="I5032" s="3">
        <f t="shared" si="1145"/>
        <v>55</v>
      </c>
      <c r="J5032" s="3">
        <f t="shared" si="1146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147"/>
        <v>YES</v>
      </c>
      <c r="Q5032" t="str">
        <f t="shared" si="1148"/>
        <v>NO</v>
      </c>
      <c r="R5032" t="str">
        <f t="shared" si="1149"/>
        <v>NO</v>
      </c>
      <c r="T5032" t="s">
        <v>326</v>
      </c>
      <c r="U5032" t="str">
        <f t="shared" si="1136"/>
        <v>Jfk St</v>
      </c>
      <c r="V5032" t="s">
        <v>325</v>
      </c>
      <c r="W5032" t="str">
        <f t="shared" si="1137"/>
        <v>Eliot St</v>
      </c>
      <c r="X5032" t="str">
        <f>IF(ISBLANK(S5032),"Intersection","Non-Intersection")</f>
        <v>Intersection</v>
      </c>
      <c r="Y5032" t="s">
        <v>1420</v>
      </c>
      <c r="Z5032" t="str">
        <f t="shared" si="1138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139"/>
        <v>41275</v>
      </c>
      <c r="D5033" s="4">
        <f t="shared" si="1140"/>
        <v>0.29041095890410956</v>
      </c>
      <c r="E5033" s="3">
        <f t="shared" si="1141"/>
        <v>2013</v>
      </c>
      <c r="F5033" s="3">
        <f t="shared" si="1142"/>
        <v>4</v>
      </c>
      <c r="G5033" s="3">
        <f t="shared" si="1143"/>
        <v>17</v>
      </c>
      <c r="H5033" s="3">
        <f t="shared" si="1144"/>
        <v>17</v>
      </c>
      <c r="I5033" s="3">
        <f t="shared" si="1145"/>
        <v>29</v>
      </c>
      <c r="J5033" s="3">
        <f t="shared" si="1146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147"/>
        <v>YES</v>
      </c>
      <c r="Q5033" t="str">
        <f t="shared" si="1148"/>
        <v>NO</v>
      </c>
      <c r="R5033" t="str">
        <f t="shared" si="1149"/>
        <v>NO</v>
      </c>
      <c r="T5033" t="s">
        <v>14</v>
      </c>
      <c r="U5033" t="str">
        <f t="shared" si="1136"/>
        <v>Massachusetts Ave</v>
      </c>
      <c r="V5033" t="s">
        <v>192</v>
      </c>
      <c r="W5033" t="str">
        <f t="shared" si="1137"/>
        <v>Hancock St</v>
      </c>
      <c r="X5033" t="str">
        <f>IF(ISBLANK(S5033),"Intersection","Non-Intersection")</f>
        <v>Intersection</v>
      </c>
      <c r="Y5033" t="s">
        <v>193</v>
      </c>
      <c r="Z5033" t="str">
        <f t="shared" si="1138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139"/>
        <v>41275</v>
      </c>
      <c r="D5034" s="4">
        <f t="shared" si="1140"/>
        <v>0.29315068493150687</v>
      </c>
      <c r="E5034" s="3">
        <f t="shared" si="1141"/>
        <v>2013</v>
      </c>
      <c r="F5034" s="3">
        <f t="shared" si="1142"/>
        <v>4</v>
      </c>
      <c r="G5034" s="3">
        <f t="shared" si="1143"/>
        <v>18</v>
      </c>
      <c r="H5034" s="3">
        <f t="shared" si="1144"/>
        <v>7</v>
      </c>
      <c r="I5034" s="3">
        <f t="shared" si="1145"/>
        <v>44</v>
      </c>
      <c r="J5034" s="3">
        <f t="shared" si="1146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147"/>
        <v>YES</v>
      </c>
      <c r="Q5034" t="str">
        <f t="shared" si="1148"/>
        <v>NO</v>
      </c>
      <c r="R5034" t="str">
        <f t="shared" si="1149"/>
        <v>YES</v>
      </c>
      <c r="T5034" t="s">
        <v>74</v>
      </c>
      <c r="U5034" t="str">
        <f t="shared" si="1136"/>
        <v>Hampshire St</v>
      </c>
      <c r="V5034" t="s">
        <v>667</v>
      </c>
      <c r="W5034" t="str">
        <f t="shared" si="1137"/>
        <v>Tremont St</v>
      </c>
      <c r="X5034" t="str">
        <f>IF(ISBLANK(S5034),"Intersection","Non-Intersection")</f>
        <v>Intersection</v>
      </c>
      <c r="Y5034" t="s">
        <v>668</v>
      </c>
      <c r="Z5034" t="str">
        <f t="shared" si="1138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139"/>
        <v>41275</v>
      </c>
      <c r="D5035" s="4">
        <f t="shared" si="1140"/>
        <v>0.29315068493150687</v>
      </c>
      <c r="E5035" s="3">
        <f t="shared" si="1141"/>
        <v>2013</v>
      </c>
      <c r="F5035" s="3">
        <f t="shared" si="1142"/>
        <v>4</v>
      </c>
      <c r="G5035" s="3">
        <f t="shared" si="1143"/>
        <v>18</v>
      </c>
      <c r="H5035" s="3">
        <f t="shared" si="1144"/>
        <v>18</v>
      </c>
      <c r="I5035" s="3">
        <f t="shared" si="1145"/>
        <v>59</v>
      </c>
      <c r="J5035" s="3">
        <f t="shared" si="1146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147"/>
        <v>NO</v>
      </c>
      <c r="Q5035" t="str">
        <f t="shared" si="1148"/>
        <v>NO</v>
      </c>
      <c r="R5035" t="str">
        <f t="shared" si="1149"/>
        <v>NO</v>
      </c>
      <c r="U5035" t="str">
        <f t="shared" si="1136"/>
        <v/>
      </c>
      <c r="W5035" t="str">
        <f t="shared" si="1137"/>
        <v/>
      </c>
      <c r="X5035" t="str">
        <f>IF(ISBLANK(S5035),"Intersection","Non-Intersection")</f>
        <v>Intersection</v>
      </c>
      <c r="Y5035" t="s">
        <v>717</v>
      </c>
      <c r="Z5035" t="str">
        <f t="shared" si="1138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139"/>
        <v>41275</v>
      </c>
      <c r="D5036" s="4">
        <f t="shared" si="1140"/>
        <v>0.29315068493150687</v>
      </c>
      <c r="E5036" s="3">
        <f t="shared" si="1141"/>
        <v>2013</v>
      </c>
      <c r="F5036" s="3">
        <f t="shared" si="1142"/>
        <v>4</v>
      </c>
      <c r="G5036" s="3">
        <f t="shared" si="1143"/>
        <v>18</v>
      </c>
      <c r="H5036" s="3">
        <f t="shared" si="1144"/>
        <v>18</v>
      </c>
      <c r="I5036" s="3">
        <f t="shared" si="1145"/>
        <v>59</v>
      </c>
      <c r="J5036" s="3">
        <f t="shared" si="1146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147"/>
        <v>YES</v>
      </c>
      <c r="Q5036" t="str">
        <f t="shared" si="1148"/>
        <v>NO</v>
      </c>
      <c r="R5036" t="str">
        <f t="shared" si="1149"/>
        <v>NO</v>
      </c>
      <c r="T5036" t="s">
        <v>108</v>
      </c>
      <c r="U5036" t="str">
        <f t="shared" si="1136"/>
        <v>Franklin St</v>
      </c>
      <c r="V5036" t="s">
        <v>453</v>
      </c>
      <c r="W5036" t="str">
        <f t="shared" si="1137"/>
        <v>Brookline St</v>
      </c>
      <c r="X5036" t="str">
        <f>IF(ISBLANK(S5036),"Intersection","Non-Intersection")</f>
        <v>Intersection</v>
      </c>
      <c r="Y5036" t="s">
        <v>3050</v>
      </c>
      <c r="Z5036" t="str">
        <f t="shared" si="1138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139"/>
        <v>41275</v>
      </c>
      <c r="D5037" s="4">
        <f t="shared" si="1140"/>
        <v>0.29315068493150687</v>
      </c>
      <c r="E5037" s="3">
        <f t="shared" si="1141"/>
        <v>2013</v>
      </c>
      <c r="F5037" s="3">
        <f t="shared" si="1142"/>
        <v>4</v>
      </c>
      <c r="G5037" s="3">
        <f t="shared" si="1143"/>
        <v>18</v>
      </c>
      <c r="H5037" s="3">
        <f t="shared" si="1144"/>
        <v>19</v>
      </c>
      <c r="I5037" s="3">
        <f t="shared" si="1145"/>
        <v>25</v>
      </c>
      <c r="J5037" s="3">
        <f t="shared" si="1146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147"/>
        <v>YES</v>
      </c>
      <c r="Q5037" t="str">
        <f t="shared" si="1148"/>
        <v>YES</v>
      </c>
      <c r="R5037" t="str">
        <f t="shared" si="1149"/>
        <v>NO</v>
      </c>
      <c r="T5037" t="s">
        <v>14</v>
      </c>
      <c r="U5037" t="str">
        <f t="shared" si="1136"/>
        <v>Massachusetts Ave</v>
      </c>
      <c r="V5037" t="s">
        <v>1316</v>
      </c>
      <c r="W5037" t="str">
        <f t="shared" si="1137"/>
        <v>State St</v>
      </c>
      <c r="X5037" t="str">
        <f>IF(ISBLANK(S5037),"Intersection","Non-Intersection")</f>
        <v>Intersection</v>
      </c>
      <c r="Y5037" t="s">
        <v>1317</v>
      </c>
      <c r="Z5037" t="str">
        <f t="shared" si="1138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139"/>
        <v>41275</v>
      </c>
      <c r="D5038" s="4">
        <f t="shared" si="1140"/>
        <v>0.29863013698630136</v>
      </c>
      <c r="E5038" s="3">
        <f t="shared" si="1141"/>
        <v>2013</v>
      </c>
      <c r="F5038" s="3">
        <f t="shared" si="1142"/>
        <v>4</v>
      </c>
      <c r="G5038" s="3">
        <f t="shared" si="1143"/>
        <v>20</v>
      </c>
      <c r="H5038" s="3">
        <f t="shared" si="1144"/>
        <v>12</v>
      </c>
      <c r="I5038" s="3">
        <f t="shared" si="1145"/>
        <v>40</v>
      </c>
      <c r="J5038" s="3">
        <f t="shared" si="1146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147"/>
        <v>YES</v>
      </c>
      <c r="Q5038" t="str">
        <f t="shared" si="1148"/>
        <v>NO</v>
      </c>
      <c r="R5038" t="str">
        <f t="shared" si="1149"/>
        <v>NO</v>
      </c>
      <c r="T5038" t="s">
        <v>42</v>
      </c>
      <c r="U5038" t="str">
        <f t="shared" si="1136"/>
        <v>Putnam Ave</v>
      </c>
      <c r="V5038" t="s">
        <v>479</v>
      </c>
      <c r="W5038" t="str">
        <f t="shared" si="1137"/>
        <v>Callender St</v>
      </c>
      <c r="X5038" t="str">
        <f>IF(ISBLANK(S5038),"Intersection","Non-Intersection")</f>
        <v>Intersection</v>
      </c>
      <c r="Y5038" t="s">
        <v>5567</v>
      </c>
      <c r="Z5038" t="str">
        <f t="shared" si="1138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139"/>
        <v>41275</v>
      </c>
      <c r="D5039" s="4">
        <f t="shared" si="1140"/>
        <v>0.29863013698630136</v>
      </c>
      <c r="E5039" s="3">
        <f t="shared" si="1141"/>
        <v>2013</v>
      </c>
      <c r="F5039" s="3">
        <f t="shared" si="1142"/>
        <v>4</v>
      </c>
      <c r="G5039" s="3">
        <f t="shared" si="1143"/>
        <v>20</v>
      </c>
      <c r="H5039" s="3">
        <f t="shared" si="1144"/>
        <v>12</v>
      </c>
      <c r="I5039" s="3">
        <f t="shared" si="1145"/>
        <v>49</v>
      </c>
      <c r="J5039" s="3">
        <f t="shared" si="1146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147"/>
        <v>YES</v>
      </c>
      <c r="Q5039" t="str">
        <f t="shared" si="1148"/>
        <v>NO</v>
      </c>
      <c r="R5039" t="str">
        <f t="shared" si="1149"/>
        <v>NO</v>
      </c>
      <c r="T5039" t="s">
        <v>105</v>
      </c>
      <c r="U5039" t="str">
        <f t="shared" si="1136"/>
        <v>Broadway</v>
      </c>
      <c r="V5039" t="s">
        <v>745</v>
      </c>
      <c r="W5039" t="str">
        <f t="shared" si="1137"/>
        <v>Norfolk St</v>
      </c>
      <c r="X5039" t="str">
        <f>IF(ISBLANK(S5039),"Intersection","Non-Intersection")</f>
        <v>Intersection</v>
      </c>
      <c r="Y5039" t="s">
        <v>1070</v>
      </c>
      <c r="Z5039" t="str">
        <f t="shared" si="1138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139"/>
        <v>41275</v>
      </c>
      <c r="D5040" s="4">
        <f t="shared" si="1140"/>
        <v>0.29863013698630136</v>
      </c>
      <c r="E5040" s="3">
        <f t="shared" si="1141"/>
        <v>2013</v>
      </c>
      <c r="F5040" s="3">
        <f t="shared" si="1142"/>
        <v>4</v>
      </c>
      <c r="G5040" s="3">
        <f t="shared" si="1143"/>
        <v>20</v>
      </c>
      <c r="H5040" s="3">
        <f t="shared" si="1144"/>
        <v>15</v>
      </c>
      <c r="I5040" s="3">
        <f t="shared" si="1145"/>
        <v>0</v>
      </c>
      <c r="J5040" s="3">
        <f t="shared" si="1146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147"/>
        <v>YES</v>
      </c>
      <c r="Q5040" t="str">
        <f t="shared" si="1148"/>
        <v>YES</v>
      </c>
      <c r="R5040" t="str">
        <f t="shared" si="1149"/>
        <v>NO</v>
      </c>
      <c r="S5040">
        <v>1736</v>
      </c>
      <c r="T5040" t="s">
        <v>14</v>
      </c>
      <c r="U5040" t="str">
        <f t="shared" si="1136"/>
        <v>Massachusetts Ave</v>
      </c>
      <c r="W5040" t="str">
        <f t="shared" si="1137"/>
        <v/>
      </c>
      <c r="X5040" t="str">
        <f>IF(ISBLANK(S5040),"Intersection","Non-Intersection")</f>
        <v>Non-Intersection</v>
      </c>
      <c r="Y5040" t="s">
        <v>5569</v>
      </c>
      <c r="Z5040" t="str">
        <f t="shared" si="1138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139"/>
        <v>41275</v>
      </c>
      <c r="D5041" s="4">
        <f t="shared" si="1140"/>
        <v>0.29863013698630136</v>
      </c>
      <c r="E5041" s="3">
        <f t="shared" si="1141"/>
        <v>2013</v>
      </c>
      <c r="F5041" s="3">
        <f t="shared" si="1142"/>
        <v>4</v>
      </c>
      <c r="G5041" s="3">
        <f t="shared" si="1143"/>
        <v>20</v>
      </c>
      <c r="H5041" s="3">
        <f t="shared" si="1144"/>
        <v>18</v>
      </c>
      <c r="I5041" s="3">
        <f t="shared" si="1145"/>
        <v>30</v>
      </c>
      <c r="J5041" s="3">
        <f t="shared" si="1146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147"/>
        <v>YES</v>
      </c>
      <c r="Q5041" t="str">
        <f t="shared" si="1148"/>
        <v>NO</v>
      </c>
      <c r="R5041" t="str">
        <f t="shared" si="1149"/>
        <v>NO</v>
      </c>
      <c r="T5041" t="s">
        <v>74</v>
      </c>
      <c r="U5041" t="str">
        <f t="shared" si="1136"/>
        <v>Hampshire St</v>
      </c>
      <c r="V5041" t="s">
        <v>796</v>
      </c>
      <c r="W5041" t="str">
        <f t="shared" si="1137"/>
        <v>Portland St</v>
      </c>
      <c r="X5041" t="str">
        <f>IF(ISBLANK(S5041),"Intersection","Non-Intersection")</f>
        <v>Intersection</v>
      </c>
      <c r="Y5041" t="s">
        <v>3889</v>
      </c>
      <c r="Z5041" t="str">
        <f t="shared" si="1138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139"/>
        <v>41275</v>
      </c>
      <c r="D5042" s="4">
        <f t="shared" si="1140"/>
        <v>0.30136986301369861</v>
      </c>
      <c r="E5042" s="3">
        <f t="shared" si="1141"/>
        <v>2013</v>
      </c>
      <c r="F5042" s="3">
        <f t="shared" si="1142"/>
        <v>4</v>
      </c>
      <c r="G5042" s="3">
        <f t="shared" si="1143"/>
        <v>21</v>
      </c>
      <c r="H5042" s="3">
        <f t="shared" si="1144"/>
        <v>0</v>
      </c>
      <c r="I5042" s="3">
        <f t="shared" si="1145"/>
        <v>59</v>
      </c>
      <c r="J5042" s="3">
        <f t="shared" si="1146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147"/>
        <v>YES</v>
      </c>
      <c r="Q5042" t="str">
        <f t="shared" si="1148"/>
        <v>NO</v>
      </c>
      <c r="R5042" t="str">
        <f t="shared" si="1149"/>
        <v>NO</v>
      </c>
      <c r="S5042">
        <v>198</v>
      </c>
      <c r="T5042" t="s">
        <v>170</v>
      </c>
      <c r="U5042" t="str">
        <f t="shared" si="1136"/>
        <v>Alewife Brook Pky</v>
      </c>
      <c r="W5042" t="str">
        <f t="shared" si="1137"/>
        <v/>
      </c>
      <c r="X5042" t="str">
        <f>IF(ISBLANK(S5042),"Intersection","Non-Intersection")</f>
        <v>Non-Intersection</v>
      </c>
      <c r="Y5042" t="s">
        <v>4345</v>
      </c>
      <c r="Z5042" t="str">
        <f t="shared" si="1138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139"/>
        <v>41275</v>
      </c>
      <c r="D5043" s="4">
        <f t="shared" si="1140"/>
        <v>0.30136986301369861</v>
      </c>
      <c r="E5043" s="3">
        <f t="shared" si="1141"/>
        <v>2013</v>
      </c>
      <c r="F5043" s="3">
        <f t="shared" si="1142"/>
        <v>4</v>
      </c>
      <c r="G5043" s="3">
        <f t="shared" si="1143"/>
        <v>21</v>
      </c>
      <c r="H5043" s="3">
        <f t="shared" si="1144"/>
        <v>15</v>
      </c>
      <c r="I5043" s="3">
        <f t="shared" si="1145"/>
        <v>40</v>
      </c>
      <c r="J5043" s="3">
        <f t="shared" si="1146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147"/>
        <v>YES</v>
      </c>
      <c r="Q5043" t="str">
        <f t="shared" si="1148"/>
        <v>NO</v>
      </c>
      <c r="R5043" t="str">
        <f t="shared" si="1149"/>
        <v>NO</v>
      </c>
      <c r="S5043">
        <v>113</v>
      </c>
      <c r="T5043" t="s">
        <v>199</v>
      </c>
      <c r="U5043" t="str">
        <f t="shared" si="1136"/>
        <v>Brattle St</v>
      </c>
      <c r="W5043" t="str">
        <f t="shared" si="1137"/>
        <v/>
      </c>
      <c r="X5043" t="str">
        <f>IF(ISBLANK(S5043),"Intersection","Non-Intersection")</f>
        <v>Non-Intersection</v>
      </c>
      <c r="Y5043" t="s">
        <v>5571</v>
      </c>
      <c r="Z5043" t="str">
        <f t="shared" si="1138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139"/>
        <v>41275</v>
      </c>
      <c r="D5044" s="4">
        <f t="shared" si="1140"/>
        <v>0.30136986301369861</v>
      </c>
      <c r="E5044" s="3">
        <f t="shared" si="1141"/>
        <v>2013</v>
      </c>
      <c r="F5044" s="3">
        <f t="shared" si="1142"/>
        <v>4</v>
      </c>
      <c r="G5044" s="3">
        <f t="shared" si="1143"/>
        <v>21</v>
      </c>
      <c r="H5044" s="3">
        <f t="shared" si="1144"/>
        <v>17</v>
      </c>
      <c r="I5044" s="3">
        <f t="shared" si="1145"/>
        <v>35</v>
      </c>
      <c r="J5044" s="3">
        <f t="shared" si="1146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147"/>
        <v>YES</v>
      </c>
      <c r="Q5044" t="str">
        <f t="shared" si="1148"/>
        <v>YES</v>
      </c>
      <c r="R5044" t="str">
        <f t="shared" si="1149"/>
        <v>NO</v>
      </c>
      <c r="S5044">
        <v>1821</v>
      </c>
      <c r="T5044" t="s">
        <v>14</v>
      </c>
      <c r="U5044" t="str">
        <f t="shared" si="1136"/>
        <v>Massachusetts Ave</v>
      </c>
      <c r="W5044" t="str">
        <f t="shared" si="1137"/>
        <v/>
      </c>
      <c r="X5044" t="str">
        <f>IF(ISBLANK(S5044),"Intersection","Non-Intersection")</f>
        <v>Non-Intersection</v>
      </c>
      <c r="Y5044" t="s">
        <v>5573</v>
      </c>
      <c r="Z5044" t="str">
        <f t="shared" si="1138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139"/>
        <v>41275</v>
      </c>
      <c r="D5045" s="4">
        <f t="shared" si="1140"/>
        <v>0.30136986301369861</v>
      </c>
      <c r="E5045" s="3">
        <f t="shared" si="1141"/>
        <v>2013</v>
      </c>
      <c r="F5045" s="3">
        <f t="shared" si="1142"/>
        <v>4</v>
      </c>
      <c r="G5045" s="3">
        <f t="shared" si="1143"/>
        <v>21</v>
      </c>
      <c r="H5045" s="3">
        <f t="shared" si="1144"/>
        <v>22</v>
      </c>
      <c r="I5045" s="3">
        <f t="shared" si="1145"/>
        <v>25</v>
      </c>
      <c r="J5045" s="3">
        <f t="shared" si="1146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147"/>
        <v>YES</v>
      </c>
      <c r="Q5045" t="str">
        <f t="shared" si="1148"/>
        <v>NO</v>
      </c>
      <c r="R5045" t="str">
        <f t="shared" si="1149"/>
        <v>NO</v>
      </c>
      <c r="T5045" t="s">
        <v>14</v>
      </c>
      <c r="U5045" t="str">
        <f t="shared" si="1136"/>
        <v>Massachusetts Ave</v>
      </c>
      <c r="V5045" t="s">
        <v>249</v>
      </c>
      <c r="W5045" t="str">
        <f t="shared" si="1137"/>
        <v>Landsdowne St</v>
      </c>
      <c r="X5045" t="str">
        <f>IF(ISBLANK(S5045),"Intersection","Non-Intersection")</f>
        <v>Intersection</v>
      </c>
      <c r="Y5045" t="s">
        <v>250</v>
      </c>
      <c r="Z5045" t="str">
        <f t="shared" si="1138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139"/>
        <v>41275</v>
      </c>
      <c r="D5046" s="4">
        <f t="shared" si="1140"/>
        <v>0.30136986301369861</v>
      </c>
      <c r="E5046" s="3">
        <f t="shared" si="1141"/>
        <v>2013</v>
      </c>
      <c r="F5046" s="3">
        <f t="shared" si="1142"/>
        <v>4</v>
      </c>
      <c r="G5046" s="3">
        <f t="shared" si="1143"/>
        <v>21</v>
      </c>
      <c r="H5046" s="3">
        <f t="shared" si="1144"/>
        <v>12</v>
      </c>
      <c r="I5046" s="3">
        <f t="shared" si="1145"/>
        <v>59</v>
      </c>
      <c r="J5046" s="3">
        <f t="shared" si="1146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147"/>
        <v>YES</v>
      </c>
      <c r="Q5046" t="str">
        <f t="shared" si="1148"/>
        <v>NO</v>
      </c>
      <c r="R5046" t="str">
        <f t="shared" si="1149"/>
        <v>NO</v>
      </c>
      <c r="S5046">
        <v>350</v>
      </c>
      <c r="T5046" t="s">
        <v>260</v>
      </c>
      <c r="U5046" t="str">
        <f t="shared" si="1136"/>
        <v>Third St</v>
      </c>
      <c r="W5046" t="str">
        <f t="shared" si="1137"/>
        <v/>
      </c>
      <c r="X5046" t="str">
        <f>IF(ISBLANK(S5046),"Intersection","Non-Intersection")</f>
        <v>Non-Intersection</v>
      </c>
      <c r="Y5046" t="s">
        <v>3969</v>
      </c>
      <c r="Z5046" t="str">
        <f t="shared" si="1138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139"/>
        <v>41275</v>
      </c>
      <c r="D5047" s="4">
        <f t="shared" si="1140"/>
        <v>0.30410958904109592</v>
      </c>
      <c r="E5047" s="3">
        <f t="shared" si="1141"/>
        <v>2013</v>
      </c>
      <c r="F5047" s="3">
        <f t="shared" si="1142"/>
        <v>4</v>
      </c>
      <c r="G5047" s="3">
        <f t="shared" si="1143"/>
        <v>22</v>
      </c>
      <c r="H5047" s="3">
        <f t="shared" si="1144"/>
        <v>10</v>
      </c>
      <c r="I5047" s="3">
        <f t="shared" si="1145"/>
        <v>25</v>
      </c>
      <c r="J5047" s="3">
        <f t="shared" si="1146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147"/>
        <v>YES</v>
      </c>
      <c r="Q5047" t="str">
        <f t="shared" si="1148"/>
        <v>YES</v>
      </c>
      <c r="R5047" t="str">
        <f t="shared" si="1149"/>
        <v>NO</v>
      </c>
      <c r="T5047" t="s">
        <v>104</v>
      </c>
      <c r="U5047" t="str">
        <f t="shared" si="1136"/>
        <v>Inman St</v>
      </c>
      <c r="V5047" t="s">
        <v>2563</v>
      </c>
      <c r="W5047" t="str">
        <f t="shared" si="1137"/>
        <v>Inman Pl</v>
      </c>
      <c r="X5047" t="str">
        <f>IF(ISBLANK(S5047),"Intersection","Non-Intersection")</f>
        <v>Intersection</v>
      </c>
      <c r="Y5047" t="s">
        <v>5574</v>
      </c>
      <c r="Z5047" t="str">
        <f t="shared" si="1138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139"/>
        <v>41275</v>
      </c>
      <c r="D5048" s="4">
        <f t="shared" si="1140"/>
        <v>0.30410958904109592</v>
      </c>
      <c r="E5048" s="3">
        <f t="shared" si="1141"/>
        <v>2013</v>
      </c>
      <c r="F5048" s="3">
        <f t="shared" si="1142"/>
        <v>4</v>
      </c>
      <c r="G5048" s="3">
        <f t="shared" si="1143"/>
        <v>22</v>
      </c>
      <c r="H5048" s="3">
        <f t="shared" si="1144"/>
        <v>11</v>
      </c>
      <c r="I5048" s="3">
        <f t="shared" si="1145"/>
        <v>15</v>
      </c>
      <c r="J5048" s="3">
        <f t="shared" si="1146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147"/>
        <v>YES</v>
      </c>
      <c r="Q5048" t="str">
        <f t="shared" si="1148"/>
        <v>NO</v>
      </c>
      <c r="R5048" t="str">
        <f t="shared" si="1149"/>
        <v>NO</v>
      </c>
      <c r="T5048" t="s">
        <v>216</v>
      </c>
      <c r="U5048" t="str">
        <f t="shared" si="1136"/>
        <v>Washington Ave</v>
      </c>
      <c r="V5048" t="s">
        <v>745</v>
      </c>
      <c r="W5048" t="str">
        <f t="shared" si="1137"/>
        <v>Norfolk St</v>
      </c>
      <c r="X5048" t="str">
        <f>IF(ISBLANK(S5048),"Intersection","Non-Intersection")</f>
        <v>Intersection</v>
      </c>
      <c r="Y5048" t="s">
        <v>1485</v>
      </c>
      <c r="Z5048" t="str">
        <f t="shared" si="1138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139"/>
        <v>41275</v>
      </c>
      <c r="D5049" s="4">
        <f t="shared" si="1140"/>
        <v>0.30410958904109592</v>
      </c>
      <c r="E5049" s="3">
        <f t="shared" si="1141"/>
        <v>2013</v>
      </c>
      <c r="F5049" s="3">
        <f t="shared" si="1142"/>
        <v>4</v>
      </c>
      <c r="G5049" s="3">
        <f t="shared" si="1143"/>
        <v>22</v>
      </c>
      <c r="H5049" s="3">
        <f t="shared" si="1144"/>
        <v>12</v>
      </c>
      <c r="I5049" s="3">
        <f t="shared" si="1145"/>
        <v>0</v>
      </c>
      <c r="J5049" s="3">
        <f t="shared" si="1146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147"/>
        <v>YES</v>
      </c>
      <c r="Q5049" t="str">
        <f t="shared" si="1148"/>
        <v>NO</v>
      </c>
      <c r="R5049" t="str">
        <f t="shared" si="1149"/>
        <v>NO</v>
      </c>
      <c r="S5049">
        <v>17</v>
      </c>
      <c r="T5049" t="s">
        <v>45</v>
      </c>
      <c r="U5049" t="str">
        <f t="shared" si="1136"/>
        <v>Sherman St</v>
      </c>
      <c r="W5049" t="str">
        <f t="shared" si="1137"/>
        <v/>
      </c>
      <c r="X5049" t="str">
        <f>IF(ISBLANK(S5049),"Intersection","Non-Intersection")</f>
        <v>Non-Intersection</v>
      </c>
      <c r="Y5049" t="s">
        <v>5576</v>
      </c>
      <c r="Z5049" t="str">
        <f t="shared" si="1138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139"/>
        <v>41275</v>
      </c>
      <c r="D5050" s="4">
        <f t="shared" si="1140"/>
        <v>0.30684931506849317</v>
      </c>
      <c r="E5050" s="3">
        <f t="shared" si="1141"/>
        <v>2013</v>
      </c>
      <c r="F5050" s="3">
        <f t="shared" si="1142"/>
        <v>4</v>
      </c>
      <c r="G5050" s="3">
        <f t="shared" si="1143"/>
        <v>23</v>
      </c>
      <c r="H5050" s="3">
        <f t="shared" si="1144"/>
        <v>6</v>
      </c>
      <c r="I5050" s="3">
        <f t="shared" si="1145"/>
        <v>13</v>
      </c>
      <c r="J5050" s="3">
        <f t="shared" si="1146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147"/>
        <v>YES</v>
      </c>
      <c r="Q5050" t="str">
        <f t="shared" si="1148"/>
        <v>NO</v>
      </c>
      <c r="R5050" t="str">
        <f t="shared" si="1149"/>
        <v>NO</v>
      </c>
      <c r="T5050" t="s">
        <v>70</v>
      </c>
      <c r="U5050" t="str">
        <f t="shared" si="1136"/>
        <v>Pearl St</v>
      </c>
      <c r="V5050" t="s">
        <v>835</v>
      </c>
      <c r="W5050" t="str">
        <f t="shared" si="1137"/>
        <v>Erie St</v>
      </c>
      <c r="X5050" t="str">
        <f>IF(ISBLANK(S5050),"Intersection","Non-Intersection")</f>
        <v>Intersection</v>
      </c>
      <c r="Y5050" t="s">
        <v>5578</v>
      </c>
      <c r="Z5050" t="str">
        <f t="shared" si="1138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139"/>
        <v>41275</v>
      </c>
      <c r="D5051" s="4">
        <f t="shared" si="1140"/>
        <v>0.30684931506849317</v>
      </c>
      <c r="E5051" s="3">
        <f t="shared" si="1141"/>
        <v>2013</v>
      </c>
      <c r="F5051" s="3">
        <f t="shared" si="1142"/>
        <v>4</v>
      </c>
      <c r="G5051" s="3">
        <f t="shared" si="1143"/>
        <v>23</v>
      </c>
      <c r="H5051" s="3">
        <f t="shared" si="1144"/>
        <v>12</v>
      </c>
      <c r="I5051" s="3">
        <f t="shared" si="1145"/>
        <v>49</v>
      </c>
      <c r="J5051" s="3">
        <f t="shared" si="1146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147"/>
        <v>YES</v>
      </c>
      <c r="Q5051" t="str">
        <f t="shared" si="1148"/>
        <v>NO</v>
      </c>
      <c r="R5051" t="str">
        <f t="shared" si="1149"/>
        <v>NO</v>
      </c>
      <c r="T5051" t="s">
        <v>156</v>
      </c>
      <c r="U5051" t="str">
        <f t="shared" si="1136"/>
        <v>Magee St</v>
      </c>
      <c r="V5051" t="s">
        <v>42</v>
      </c>
      <c r="W5051" t="str">
        <f t="shared" si="1137"/>
        <v>Putnam Ave</v>
      </c>
      <c r="X5051" t="str">
        <f>IF(ISBLANK(S5051),"Intersection","Non-Intersection")</f>
        <v>Intersection</v>
      </c>
      <c r="Y5051" t="s">
        <v>157</v>
      </c>
      <c r="Z5051" t="str">
        <f t="shared" si="1138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139"/>
        <v>41275</v>
      </c>
      <c r="D5052" s="4">
        <f t="shared" si="1140"/>
        <v>0.30684931506849317</v>
      </c>
      <c r="E5052" s="3">
        <f t="shared" si="1141"/>
        <v>2013</v>
      </c>
      <c r="F5052" s="3">
        <f t="shared" si="1142"/>
        <v>4</v>
      </c>
      <c r="G5052" s="3">
        <f t="shared" si="1143"/>
        <v>23</v>
      </c>
      <c r="H5052" s="3">
        <f t="shared" si="1144"/>
        <v>21</v>
      </c>
      <c r="I5052" s="3">
        <f t="shared" si="1145"/>
        <v>0</v>
      </c>
      <c r="J5052" s="3">
        <f t="shared" si="1146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147"/>
        <v>YES</v>
      </c>
      <c r="Q5052" t="str">
        <f t="shared" si="1148"/>
        <v>NO</v>
      </c>
      <c r="R5052" t="str">
        <f t="shared" si="1149"/>
        <v>YES</v>
      </c>
      <c r="T5052" t="s">
        <v>32</v>
      </c>
      <c r="U5052" t="str">
        <f t="shared" si="1136"/>
        <v>Main St</v>
      </c>
      <c r="V5052" t="s">
        <v>101</v>
      </c>
      <c r="W5052" t="str">
        <f t="shared" si="1137"/>
        <v>Columbia St</v>
      </c>
      <c r="X5052" t="str">
        <f>IF(ISBLANK(S5052),"Intersection","Non-Intersection")</f>
        <v>Intersection</v>
      </c>
      <c r="Y5052" t="s">
        <v>5580</v>
      </c>
      <c r="Z5052" t="str">
        <f t="shared" si="1138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139"/>
        <v>41275</v>
      </c>
      <c r="D5053" s="4">
        <f t="shared" si="1140"/>
        <v>0.30958904109589042</v>
      </c>
      <c r="E5053" s="3">
        <f t="shared" si="1141"/>
        <v>2013</v>
      </c>
      <c r="F5053" s="3">
        <f t="shared" si="1142"/>
        <v>4</v>
      </c>
      <c r="G5053" s="3">
        <f t="shared" si="1143"/>
        <v>24</v>
      </c>
      <c r="H5053" s="3">
        <f t="shared" si="1144"/>
        <v>17</v>
      </c>
      <c r="I5053" s="3">
        <f t="shared" si="1145"/>
        <v>39</v>
      </c>
      <c r="J5053" s="3">
        <f t="shared" si="1146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147"/>
        <v>YES</v>
      </c>
      <c r="Q5053" t="str">
        <f t="shared" si="1148"/>
        <v>YES</v>
      </c>
      <c r="R5053" t="str">
        <f t="shared" si="1149"/>
        <v>NO</v>
      </c>
      <c r="T5053" t="s">
        <v>2532</v>
      </c>
      <c r="U5053" t="str">
        <f t="shared" si="1136"/>
        <v>Ash St</v>
      </c>
      <c r="V5053" t="s">
        <v>199</v>
      </c>
      <c r="W5053" t="str">
        <f t="shared" si="1137"/>
        <v>Brattle St</v>
      </c>
      <c r="X5053" t="str">
        <f>IF(ISBLANK(S5053),"Intersection","Non-Intersection")</f>
        <v>Intersection</v>
      </c>
      <c r="Y5053" t="s">
        <v>5581</v>
      </c>
      <c r="Z5053" t="str">
        <f t="shared" si="1138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139"/>
        <v>41275</v>
      </c>
      <c r="D5054" s="4">
        <f t="shared" si="1140"/>
        <v>0.30958904109589042</v>
      </c>
      <c r="E5054" s="3">
        <f t="shared" si="1141"/>
        <v>2013</v>
      </c>
      <c r="F5054" s="3">
        <f t="shared" si="1142"/>
        <v>4</v>
      </c>
      <c r="G5054" s="3">
        <f t="shared" si="1143"/>
        <v>24</v>
      </c>
      <c r="H5054" s="3">
        <f t="shared" si="1144"/>
        <v>16</v>
      </c>
      <c r="I5054" s="3">
        <f t="shared" si="1145"/>
        <v>51</v>
      </c>
      <c r="J5054" s="3">
        <f t="shared" si="1146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147"/>
        <v>YES</v>
      </c>
      <c r="Q5054" t="str">
        <f t="shared" si="1148"/>
        <v>NO</v>
      </c>
      <c r="R5054" t="str">
        <f t="shared" si="1149"/>
        <v>NO</v>
      </c>
      <c r="T5054" t="s">
        <v>665</v>
      </c>
      <c r="U5054" t="str">
        <f t="shared" si="1136"/>
        <v>New St</v>
      </c>
      <c r="V5054" t="s">
        <v>710</v>
      </c>
      <c r="W5054" t="str">
        <f t="shared" si="1137"/>
        <v>Fresh Pond Pky</v>
      </c>
      <c r="X5054" t="str">
        <f>IF(ISBLANK(S5054),"Intersection","Non-Intersection")</f>
        <v>Intersection</v>
      </c>
      <c r="Y5054" t="s">
        <v>5582</v>
      </c>
      <c r="Z5054" t="str">
        <f t="shared" si="1138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139"/>
        <v>41275</v>
      </c>
      <c r="D5055" s="4">
        <f t="shared" si="1140"/>
        <v>0.30958904109589042</v>
      </c>
      <c r="E5055" s="3">
        <f t="shared" si="1141"/>
        <v>2013</v>
      </c>
      <c r="F5055" s="3">
        <f t="shared" si="1142"/>
        <v>4</v>
      </c>
      <c r="G5055" s="3">
        <f t="shared" si="1143"/>
        <v>24</v>
      </c>
      <c r="H5055" s="3">
        <f t="shared" si="1144"/>
        <v>12</v>
      </c>
      <c r="I5055" s="3">
        <f t="shared" si="1145"/>
        <v>0</v>
      </c>
      <c r="J5055" s="3">
        <f t="shared" si="1146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147"/>
        <v>YES</v>
      </c>
      <c r="Q5055" t="str">
        <f t="shared" si="1148"/>
        <v>NO</v>
      </c>
      <c r="R5055" t="str">
        <f t="shared" si="1149"/>
        <v>NO</v>
      </c>
      <c r="S5055">
        <v>173</v>
      </c>
      <c r="T5055" t="s">
        <v>198</v>
      </c>
      <c r="U5055" t="str">
        <f t="shared" si="1136"/>
        <v>Mount Auburn St</v>
      </c>
      <c r="W5055" t="str">
        <f t="shared" si="1137"/>
        <v/>
      </c>
      <c r="X5055" t="str">
        <f>IF(ISBLANK(S5055),"Intersection","Non-Intersection")</f>
        <v>Non-Intersection</v>
      </c>
      <c r="Y5055" t="s">
        <v>5583</v>
      </c>
      <c r="Z5055" t="str">
        <f t="shared" si="1138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139"/>
        <v>41275</v>
      </c>
      <c r="D5056" s="4">
        <f t="shared" si="1140"/>
        <v>0.30958904109589042</v>
      </c>
      <c r="E5056" s="3">
        <f t="shared" si="1141"/>
        <v>2013</v>
      </c>
      <c r="F5056" s="3">
        <f t="shared" si="1142"/>
        <v>4</v>
      </c>
      <c r="G5056" s="3">
        <f t="shared" si="1143"/>
        <v>24</v>
      </c>
      <c r="H5056" s="3">
        <f t="shared" si="1144"/>
        <v>9</v>
      </c>
      <c r="I5056" s="3">
        <f t="shared" si="1145"/>
        <v>30</v>
      </c>
      <c r="J5056" s="3">
        <f t="shared" si="1146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147"/>
        <v>YES</v>
      </c>
      <c r="Q5056" t="str">
        <f t="shared" si="1148"/>
        <v>NO</v>
      </c>
      <c r="R5056" t="str">
        <f t="shared" si="1149"/>
        <v>NO</v>
      </c>
      <c r="T5056" t="s">
        <v>14</v>
      </c>
      <c r="U5056" t="str">
        <f t="shared" si="1136"/>
        <v>Massachusetts Ave</v>
      </c>
      <c r="V5056" t="s">
        <v>170</v>
      </c>
      <c r="W5056" t="str">
        <f t="shared" si="1137"/>
        <v>Alewife Brook Pky</v>
      </c>
      <c r="X5056" t="str">
        <f>IF(ISBLANK(S5056),"Intersection","Non-Intersection")</f>
        <v>Intersection</v>
      </c>
      <c r="Y5056" t="s">
        <v>2954</v>
      </c>
      <c r="Z5056" t="str">
        <f t="shared" si="1138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139"/>
        <v>41275</v>
      </c>
      <c r="D5057" s="4">
        <f t="shared" si="1140"/>
        <v>0.30958904109589042</v>
      </c>
      <c r="E5057" s="3">
        <f t="shared" si="1141"/>
        <v>2013</v>
      </c>
      <c r="F5057" s="3">
        <f t="shared" si="1142"/>
        <v>4</v>
      </c>
      <c r="G5057" s="3">
        <f t="shared" si="1143"/>
        <v>24</v>
      </c>
      <c r="H5057" s="3">
        <f t="shared" si="1144"/>
        <v>17</v>
      </c>
      <c r="I5057" s="3">
        <f t="shared" si="1145"/>
        <v>39</v>
      </c>
      <c r="J5057" s="3">
        <f t="shared" si="1146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147"/>
        <v>YES</v>
      </c>
      <c r="Q5057" t="str">
        <f t="shared" si="1148"/>
        <v>YES</v>
      </c>
      <c r="R5057" t="str">
        <f t="shared" si="1149"/>
        <v>NO</v>
      </c>
      <c r="T5057" t="s">
        <v>2532</v>
      </c>
      <c r="U5057" t="str">
        <f t="shared" si="1136"/>
        <v>Ash St</v>
      </c>
      <c r="V5057" t="s">
        <v>199</v>
      </c>
      <c r="W5057" t="str">
        <f t="shared" si="1137"/>
        <v>Brattle St</v>
      </c>
      <c r="X5057" t="str">
        <f>IF(ISBLANK(S5057),"Intersection","Non-Intersection")</f>
        <v>Intersection</v>
      </c>
      <c r="Y5057" t="s">
        <v>5581</v>
      </c>
      <c r="Z5057" t="str">
        <f t="shared" si="1138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139"/>
        <v>41275</v>
      </c>
      <c r="D5058" s="4">
        <f t="shared" si="1140"/>
        <v>0.31232876712328766</v>
      </c>
      <c r="E5058" s="3">
        <f t="shared" si="1141"/>
        <v>2013</v>
      </c>
      <c r="F5058" s="3">
        <f t="shared" si="1142"/>
        <v>4</v>
      </c>
      <c r="G5058" s="3">
        <f t="shared" si="1143"/>
        <v>25</v>
      </c>
      <c r="H5058" s="3">
        <f t="shared" si="1144"/>
        <v>9</v>
      </c>
      <c r="I5058" s="3">
        <f t="shared" si="1145"/>
        <v>0</v>
      </c>
      <c r="J5058" s="3">
        <f t="shared" si="1146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147"/>
        <v>YES</v>
      </c>
      <c r="Q5058" t="str">
        <f t="shared" si="1148"/>
        <v>YES</v>
      </c>
      <c r="R5058" t="str">
        <f t="shared" si="1149"/>
        <v>NO</v>
      </c>
      <c r="T5058" t="s">
        <v>74</v>
      </c>
      <c r="U5058" t="str">
        <f t="shared" si="1136"/>
        <v>Hampshire St</v>
      </c>
      <c r="V5058" t="s">
        <v>667</v>
      </c>
      <c r="W5058" t="str">
        <f t="shared" si="1137"/>
        <v>Tremont St</v>
      </c>
      <c r="X5058" t="str">
        <f>IF(ISBLANK(S5058),"Intersection","Non-Intersection")</f>
        <v>Intersection</v>
      </c>
      <c r="Y5058" t="s">
        <v>668</v>
      </c>
      <c r="Z5058" t="str">
        <f t="shared" si="1138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139"/>
        <v>41275</v>
      </c>
      <c r="D5059" s="4">
        <f t="shared" si="1140"/>
        <v>0.31232876712328766</v>
      </c>
      <c r="E5059" s="3">
        <f t="shared" si="1141"/>
        <v>2013</v>
      </c>
      <c r="F5059" s="3">
        <f t="shared" si="1142"/>
        <v>4</v>
      </c>
      <c r="G5059" s="3">
        <f t="shared" si="1143"/>
        <v>25</v>
      </c>
      <c r="H5059" s="3">
        <f t="shared" si="1144"/>
        <v>12</v>
      </c>
      <c r="I5059" s="3">
        <f t="shared" si="1145"/>
        <v>0</v>
      </c>
      <c r="J5059" s="3">
        <f t="shared" si="1146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147"/>
        <v>YES</v>
      </c>
      <c r="Q5059" t="str">
        <f t="shared" si="1148"/>
        <v>NO</v>
      </c>
      <c r="R5059" t="str">
        <f t="shared" si="1149"/>
        <v>NO</v>
      </c>
      <c r="S5059">
        <v>102</v>
      </c>
      <c r="T5059" t="s">
        <v>101</v>
      </c>
      <c r="U5059" t="str">
        <f t="shared" ref="U5059:U5122" si="1150">TRIM(PROPER(T5059))</f>
        <v>Columbia St</v>
      </c>
      <c r="W5059" t="str">
        <f t="shared" ref="W5059:W5122" si="1151">TRIM(PROPER(V5059))</f>
        <v/>
      </c>
      <c r="X5059" t="str">
        <f>IF(ISBLANK(S5059),"Intersection","Non-Intersection")</f>
        <v>Non-Intersection</v>
      </c>
      <c r="Y5059" t="s">
        <v>5585</v>
      </c>
      <c r="Z5059" t="str">
        <f t="shared" ref="Z5059:Z5122" si="115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139"/>
        <v>41275</v>
      </c>
      <c r="D5060" s="4">
        <f t="shared" si="1140"/>
        <v>0.31232876712328766</v>
      </c>
      <c r="E5060" s="3">
        <f t="shared" si="1141"/>
        <v>2013</v>
      </c>
      <c r="F5060" s="3">
        <f t="shared" si="1142"/>
        <v>4</v>
      </c>
      <c r="G5060" s="3">
        <f t="shared" si="1143"/>
        <v>25</v>
      </c>
      <c r="H5060" s="3">
        <f t="shared" si="1144"/>
        <v>11</v>
      </c>
      <c r="I5060" s="3">
        <f t="shared" si="1145"/>
        <v>0</v>
      </c>
      <c r="J5060" s="3">
        <f t="shared" si="1146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147"/>
        <v>YES</v>
      </c>
      <c r="Q5060" t="str">
        <f t="shared" si="1148"/>
        <v>NO</v>
      </c>
      <c r="R5060" t="str">
        <f t="shared" si="1149"/>
        <v>NO</v>
      </c>
      <c r="T5060" t="s">
        <v>89</v>
      </c>
      <c r="U5060" t="str">
        <f t="shared" si="1150"/>
        <v>Magnolia Ave</v>
      </c>
      <c r="V5060" t="s">
        <v>431</v>
      </c>
      <c r="W5060" t="str">
        <f t="shared" si="1151"/>
        <v>Hovey Ave</v>
      </c>
      <c r="X5060" t="str">
        <f>IF(ISBLANK(S5060),"Intersection","Non-Intersection")</f>
        <v>Intersection</v>
      </c>
      <c r="Y5060" t="s">
        <v>5587</v>
      </c>
      <c r="Z5060" t="str">
        <f t="shared" si="115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139"/>
        <v>41275</v>
      </c>
      <c r="D5061" s="4">
        <f t="shared" si="1140"/>
        <v>0.31232876712328766</v>
      </c>
      <c r="E5061" s="3">
        <f t="shared" si="1141"/>
        <v>2013</v>
      </c>
      <c r="F5061" s="3">
        <f t="shared" si="1142"/>
        <v>4</v>
      </c>
      <c r="G5061" s="3">
        <f t="shared" si="1143"/>
        <v>25</v>
      </c>
      <c r="H5061" s="3">
        <f t="shared" si="1144"/>
        <v>16</v>
      </c>
      <c r="I5061" s="3">
        <f t="shared" si="1145"/>
        <v>15</v>
      </c>
      <c r="J5061" s="3">
        <f t="shared" si="1146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147"/>
        <v>YES</v>
      </c>
      <c r="Q5061" t="str">
        <f t="shared" si="1148"/>
        <v>NO</v>
      </c>
      <c r="R5061" t="str">
        <f t="shared" si="1149"/>
        <v>NO</v>
      </c>
      <c r="T5061" t="s">
        <v>198</v>
      </c>
      <c r="U5061" t="str">
        <f t="shared" si="1150"/>
        <v>Mount Auburn St</v>
      </c>
      <c r="V5061" t="s">
        <v>14</v>
      </c>
      <c r="W5061" t="str">
        <f t="shared" si="1151"/>
        <v>Massachusetts Ave</v>
      </c>
      <c r="X5061" t="str">
        <f>IF(ISBLANK(S5061),"Intersection","Non-Intersection")</f>
        <v>Intersection</v>
      </c>
      <c r="Y5061" t="s">
        <v>368</v>
      </c>
      <c r="Z5061" t="str">
        <f t="shared" si="115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139"/>
        <v>41275</v>
      </c>
      <c r="D5062" s="4">
        <f t="shared" si="1140"/>
        <v>0.31232876712328766</v>
      </c>
      <c r="E5062" s="3">
        <f t="shared" si="1141"/>
        <v>2013</v>
      </c>
      <c r="F5062" s="3">
        <f t="shared" si="1142"/>
        <v>4</v>
      </c>
      <c r="G5062" s="3">
        <f t="shared" si="1143"/>
        <v>25</v>
      </c>
      <c r="H5062" s="3">
        <f t="shared" si="1144"/>
        <v>8</v>
      </c>
      <c r="I5062" s="3">
        <f t="shared" si="1145"/>
        <v>29</v>
      </c>
      <c r="J5062" s="3">
        <f t="shared" si="1146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147"/>
        <v>YES</v>
      </c>
      <c r="Q5062" t="str">
        <f t="shared" si="1148"/>
        <v>NO</v>
      </c>
      <c r="R5062" t="str">
        <f t="shared" si="1149"/>
        <v>NO</v>
      </c>
      <c r="S5062">
        <v>78</v>
      </c>
      <c r="T5062" t="s">
        <v>1510</v>
      </c>
      <c r="U5062" t="str">
        <f t="shared" si="1150"/>
        <v>Reservoir St</v>
      </c>
      <c r="W5062" t="str">
        <f t="shared" si="1151"/>
        <v/>
      </c>
      <c r="X5062" t="str">
        <f>IF(ISBLANK(S5062),"Intersection","Non-Intersection")</f>
        <v>Non-Intersection</v>
      </c>
      <c r="Y5062" t="s">
        <v>2871</v>
      </c>
      <c r="Z5062" t="str">
        <f t="shared" si="115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139"/>
        <v>41275</v>
      </c>
      <c r="D5063" s="4">
        <f t="shared" si="1140"/>
        <v>0.31232876712328766</v>
      </c>
      <c r="E5063" s="3">
        <f t="shared" si="1141"/>
        <v>2013</v>
      </c>
      <c r="F5063" s="3">
        <f t="shared" si="1142"/>
        <v>4</v>
      </c>
      <c r="G5063" s="3">
        <f t="shared" si="1143"/>
        <v>25</v>
      </c>
      <c r="H5063" s="3">
        <f t="shared" si="1144"/>
        <v>12</v>
      </c>
      <c r="I5063" s="3">
        <f t="shared" si="1145"/>
        <v>36</v>
      </c>
      <c r="J5063" s="3">
        <f t="shared" si="1146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147"/>
        <v>YES</v>
      </c>
      <c r="Q5063" t="str">
        <f t="shared" si="1148"/>
        <v>NO</v>
      </c>
      <c r="R5063" t="str">
        <f t="shared" si="1149"/>
        <v>NO</v>
      </c>
      <c r="S5063">
        <v>480</v>
      </c>
      <c r="T5063" t="s">
        <v>186</v>
      </c>
      <c r="U5063" t="str">
        <f t="shared" si="1150"/>
        <v>Concord Ave</v>
      </c>
      <c r="W5063" t="str">
        <f t="shared" si="1151"/>
        <v/>
      </c>
      <c r="X5063" t="str">
        <f>IF(ISBLANK(S5063),"Intersection","Non-Intersection")</f>
        <v>Non-Intersection</v>
      </c>
      <c r="Y5063" t="s">
        <v>5589</v>
      </c>
      <c r="Z5063" t="str">
        <f t="shared" si="115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139"/>
        <v>41275</v>
      </c>
      <c r="D5064" s="4">
        <f t="shared" si="1140"/>
        <v>0.31506849315068491</v>
      </c>
      <c r="E5064" s="3">
        <f t="shared" si="1141"/>
        <v>2013</v>
      </c>
      <c r="F5064" s="3">
        <f t="shared" si="1142"/>
        <v>4</v>
      </c>
      <c r="G5064" s="3">
        <f t="shared" si="1143"/>
        <v>26</v>
      </c>
      <c r="H5064" s="3">
        <f t="shared" si="1144"/>
        <v>8</v>
      </c>
      <c r="I5064" s="3">
        <f t="shared" si="1145"/>
        <v>29</v>
      </c>
      <c r="J5064" s="3">
        <f t="shared" si="1146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147"/>
        <v>YES</v>
      </c>
      <c r="Q5064" t="str">
        <f t="shared" si="1148"/>
        <v>NO</v>
      </c>
      <c r="R5064" t="str">
        <f t="shared" si="1149"/>
        <v>NO</v>
      </c>
      <c r="T5064" t="s">
        <v>185</v>
      </c>
      <c r="U5064" t="str">
        <f t="shared" si="1150"/>
        <v>Garden St</v>
      </c>
      <c r="W5064" t="str">
        <f t="shared" si="1151"/>
        <v/>
      </c>
      <c r="X5064" t="str">
        <f>IF(ISBLANK(S5064),"Intersection","Non-Intersection")</f>
        <v>Intersection</v>
      </c>
      <c r="Y5064" t="s">
        <v>566</v>
      </c>
      <c r="Z5064" t="str">
        <f t="shared" si="115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139"/>
        <v>41275</v>
      </c>
      <c r="D5065" s="4">
        <f t="shared" si="1140"/>
        <v>0.31506849315068491</v>
      </c>
      <c r="E5065" s="3">
        <f t="shared" si="1141"/>
        <v>2013</v>
      </c>
      <c r="F5065" s="3">
        <f t="shared" si="1142"/>
        <v>4</v>
      </c>
      <c r="G5065" s="3">
        <f t="shared" si="1143"/>
        <v>26</v>
      </c>
      <c r="H5065" s="3">
        <f t="shared" si="1144"/>
        <v>23</v>
      </c>
      <c r="I5065" s="3">
        <f t="shared" si="1145"/>
        <v>49</v>
      </c>
      <c r="J5065" s="3">
        <f t="shared" si="1146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147"/>
        <v>YES</v>
      </c>
      <c r="Q5065" t="str">
        <f t="shared" si="1148"/>
        <v>NO</v>
      </c>
      <c r="R5065" t="str">
        <f t="shared" si="1149"/>
        <v>NO</v>
      </c>
      <c r="S5065">
        <v>22</v>
      </c>
      <c r="T5065" t="s">
        <v>326</v>
      </c>
      <c r="U5065" t="str">
        <f t="shared" si="1150"/>
        <v>Jfk St</v>
      </c>
      <c r="W5065" t="str">
        <f t="shared" si="1151"/>
        <v/>
      </c>
      <c r="X5065" t="str">
        <f>IF(ISBLANK(S5065),"Intersection","Non-Intersection")</f>
        <v>Non-Intersection</v>
      </c>
      <c r="Y5065" t="s">
        <v>1498</v>
      </c>
      <c r="Z5065" t="str">
        <f t="shared" si="115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139"/>
        <v>41275</v>
      </c>
      <c r="D5066" s="4">
        <f t="shared" si="1140"/>
        <v>0.31506849315068491</v>
      </c>
      <c r="E5066" s="3">
        <f t="shared" si="1141"/>
        <v>2013</v>
      </c>
      <c r="F5066" s="3">
        <f t="shared" si="1142"/>
        <v>4</v>
      </c>
      <c r="G5066" s="3">
        <f t="shared" si="1143"/>
        <v>26</v>
      </c>
      <c r="H5066" s="3">
        <f t="shared" si="1144"/>
        <v>12</v>
      </c>
      <c r="I5066" s="3">
        <f t="shared" si="1145"/>
        <v>49</v>
      </c>
      <c r="J5066" s="3">
        <f t="shared" si="1146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147"/>
        <v>YES</v>
      </c>
      <c r="Q5066" t="str">
        <f t="shared" si="1148"/>
        <v>NO</v>
      </c>
      <c r="R5066" t="str">
        <f t="shared" si="1149"/>
        <v>NO</v>
      </c>
      <c r="T5066" t="s">
        <v>42</v>
      </c>
      <c r="U5066" t="str">
        <f t="shared" si="1150"/>
        <v>Putnam Ave</v>
      </c>
      <c r="V5066" t="s">
        <v>651</v>
      </c>
      <c r="W5066" t="str">
        <f t="shared" si="1151"/>
        <v>Surrey St</v>
      </c>
      <c r="X5066" t="str">
        <f>IF(ISBLANK(S5066),"Intersection","Non-Intersection")</f>
        <v>Intersection</v>
      </c>
      <c r="Y5066" t="s">
        <v>5591</v>
      </c>
      <c r="Z5066" t="str">
        <f t="shared" si="115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139"/>
        <v>41275</v>
      </c>
      <c r="D5067" s="4">
        <f t="shared" si="1140"/>
        <v>0.31506849315068491</v>
      </c>
      <c r="E5067" s="3">
        <f t="shared" si="1141"/>
        <v>2013</v>
      </c>
      <c r="F5067" s="3">
        <f t="shared" si="1142"/>
        <v>4</v>
      </c>
      <c r="G5067" s="3">
        <f t="shared" si="1143"/>
        <v>26</v>
      </c>
      <c r="H5067" s="3">
        <f t="shared" si="1144"/>
        <v>14</v>
      </c>
      <c r="I5067" s="3">
        <f t="shared" si="1145"/>
        <v>19</v>
      </c>
      <c r="J5067" s="3">
        <f t="shared" si="1146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147"/>
        <v>YES</v>
      </c>
      <c r="Q5067" t="str">
        <f t="shared" si="1148"/>
        <v>NO</v>
      </c>
      <c r="R5067" t="str">
        <f t="shared" si="1149"/>
        <v>NO</v>
      </c>
      <c r="S5067">
        <v>955</v>
      </c>
      <c r="T5067" t="s">
        <v>14</v>
      </c>
      <c r="U5067" t="str">
        <f t="shared" si="1150"/>
        <v>Massachusetts Ave</v>
      </c>
      <c r="W5067" t="str">
        <f t="shared" si="1151"/>
        <v/>
      </c>
      <c r="X5067" t="str">
        <f>IF(ISBLANK(S5067),"Intersection","Non-Intersection")</f>
        <v>Non-Intersection</v>
      </c>
      <c r="Y5067" t="s">
        <v>5592</v>
      </c>
      <c r="Z5067" t="str">
        <f t="shared" si="115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139"/>
        <v>41275</v>
      </c>
      <c r="D5068" s="4">
        <f t="shared" si="1140"/>
        <v>0.31506849315068491</v>
      </c>
      <c r="E5068" s="3">
        <f t="shared" si="1141"/>
        <v>2013</v>
      </c>
      <c r="F5068" s="3">
        <f t="shared" si="1142"/>
        <v>4</v>
      </c>
      <c r="G5068" s="3">
        <f t="shared" si="1143"/>
        <v>26</v>
      </c>
      <c r="H5068" s="3">
        <f t="shared" si="1144"/>
        <v>17</v>
      </c>
      <c r="I5068" s="3">
        <f t="shared" si="1145"/>
        <v>20</v>
      </c>
      <c r="J5068" s="3">
        <f t="shared" si="1146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147"/>
        <v>YES</v>
      </c>
      <c r="Q5068" t="str">
        <f t="shared" si="1148"/>
        <v>NO</v>
      </c>
      <c r="R5068" t="str">
        <f t="shared" si="1149"/>
        <v>NO</v>
      </c>
      <c r="T5068" t="s">
        <v>105</v>
      </c>
      <c r="U5068" t="str">
        <f t="shared" si="1150"/>
        <v>Broadway</v>
      </c>
      <c r="V5068" t="s">
        <v>667</v>
      </c>
      <c r="W5068" t="str">
        <f t="shared" si="1151"/>
        <v>Tremont St</v>
      </c>
      <c r="X5068" t="str">
        <f>IF(ISBLANK(S5068),"Intersection","Non-Intersection")</f>
        <v>Intersection</v>
      </c>
      <c r="Y5068" t="s">
        <v>1721</v>
      </c>
      <c r="Z5068" t="str">
        <f t="shared" si="115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139"/>
        <v>41275</v>
      </c>
      <c r="D5069" s="4">
        <f t="shared" si="1140"/>
        <v>0.31506849315068491</v>
      </c>
      <c r="E5069" s="3">
        <f t="shared" si="1141"/>
        <v>2013</v>
      </c>
      <c r="F5069" s="3">
        <f t="shared" si="1142"/>
        <v>4</v>
      </c>
      <c r="G5069" s="3">
        <f t="shared" si="1143"/>
        <v>26</v>
      </c>
      <c r="H5069" s="3">
        <f t="shared" si="1144"/>
        <v>17</v>
      </c>
      <c r="I5069" s="3">
        <f t="shared" si="1145"/>
        <v>58</v>
      </c>
      <c r="J5069" s="3">
        <f t="shared" si="1146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147"/>
        <v>YES</v>
      </c>
      <c r="Q5069" t="str">
        <f t="shared" si="1148"/>
        <v>YES</v>
      </c>
      <c r="R5069" t="str">
        <f t="shared" si="1149"/>
        <v>NO</v>
      </c>
      <c r="S5069">
        <v>350</v>
      </c>
      <c r="T5069" t="s">
        <v>32</v>
      </c>
      <c r="U5069" t="str">
        <f t="shared" si="1150"/>
        <v>Main St</v>
      </c>
      <c r="W5069" t="str">
        <f t="shared" si="1151"/>
        <v/>
      </c>
      <c r="X5069" t="str">
        <f>IF(ISBLANK(S5069),"Intersection","Non-Intersection")</f>
        <v>Non-Intersection</v>
      </c>
      <c r="Y5069" t="s">
        <v>33</v>
      </c>
      <c r="Z5069" t="str">
        <f t="shared" si="115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139"/>
        <v>41275</v>
      </c>
      <c r="D5070" s="4">
        <f t="shared" si="1140"/>
        <v>0.31506849315068491</v>
      </c>
      <c r="E5070" s="3">
        <f t="shared" si="1141"/>
        <v>2013</v>
      </c>
      <c r="F5070" s="3">
        <f t="shared" si="1142"/>
        <v>4</v>
      </c>
      <c r="G5070" s="3">
        <f t="shared" si="1143"/>
        <v>26</v>
      </c>
      <c r="H5070" s="3">
        <f t="shared" si="1144"/>
        <v>23</v>
      </c>
      <c r="I5070" s="3">
        <f t="shared" si="1145"/>
        <v>1</v>
      </c>
      <c r="J5070" s="3">
        <f t="shared" si="1146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147"/>
        <v>YES</v>
      </c>
      <c r="Q5070" t="str">
        <f t="shared" si="1148"/>
        <v>NO</v>
      </c>
      <c r="R5070" t="str">
        <f t="shared" si="1149"/>
        <v>NO</v>
      </c>
      <c r="S5070">
        <v>51</v>
      </c>
      <c r="T5070" t="s">
        <v>202</v>
      </c>
      <c r="U5070" t="str">
        <f t="shared" si="1150"/>
        <v>Vassar St</v>
      </c>
      <c r="W5070" t="str">
        <f t="shared" si="1151"/>
        <v/>
      </c>
      <c r="X5070" t="str">
        <f>IF(ISBLANK(S5070),"Intersection","Non-Intersection")</f>
        <v>Non-Intersection</v>
      </c>
      <c r="Y5070" t="s">
        <v>2092</v>
      </c>
      <c r="Z5070" t="str">
        <f t="shared" si="115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139"/>
        <v>41275</v>
      </c>
      <c r="D5071" s="4">
        <f t="shared" si="1140"/>
        <v>0.31780821917808222</v>
      </c>
      <c r="E5071" s="3">
        <f t="shared" si="1141"/>
        <v>2013</v>
      </c>
      <c r="F5071" s="3">
        <f t="shared" si="1142"/>
        <v>4</v>
      </c>
      <c r="G5071" s="3">
        <f t="shared" si="1143"/>
        <v>27</v>
      </c>
      <c r="H5071" s="3">
        <f t="shared" si="1144"/>
        <v>1</v>
      </c>
      <c r="I5071" s="3">
        <f t="shared" si="1145"/>
        <v>12</v>
      </c>
      <c r="J5071" s="3">
        <f t="shared" si="1146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147"/>
        <v>YES</v>
      </c>
      <c r="Q5071" t="str">
        <f t="shared" si="1148"/>
        <v>NO</v>
      </c>
      <c r="R5071" t="str">
        <f t="shared" si="1149"/>
        <v>NO</v>
      </c>
      <c r="T5071" t="s">
        <v>134</v>
      </c>
      <c r="U5071" t="str">
        <f t="shared" si="1150"/>
        <v>Quincy St</v>
      </c>
      <c r="V5071" t="s">
        <v>133</v>
      </c>
      <c r="W5071" t="str">
        <f t="shared" si="1151"/>
        <v>Harvard St</v>
      </c>
      <c r="X5071" t="str">
        <f>IF(ISBLANK(S5071),"Intersection","Non-Intersection")</f>
        <v>Intersection</v>
      </c>
      <c r="Y5071" t="s">
        <v>330</v>
      </c>
      <c r="Z5071" t="str">
        <f t="shared" si="115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139"/>
        <v>41275</v>
      </c>
      <c r="D5072" s="4">
        <f t="shared" si="1140"/>
        <v>0.31780821917808222</v>
      </c>
      <c r="E5072" s="3">
        <f t="shared" si="1141"/>
        <v>2013</v>
      </c>
      <c r="F5072" s="3">
        <f t="shared" si="1142"/>
        <v>4</v>
      </c>
      <c r="G5072" s="3">
        <f t="shared" si="1143"/>
        <v>27</v>
      </c>
      <c r="H5072" s="3">
        <f t="shared" si="1144"/>
        <v>3</v>
      </c>
      <c r="I5072" s="3">
        <f t="shared" si="1145"/>
        <v>40</v>
      </c>
      <c r="J5072" s="3">
        <f t="shared" si="1146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147"/>
        <v>YES</v>
      </c>
      <c r="Q5072" t="str">
        <f t="shared" si="1148"/>
        <v>NO</v>
      </c>
      <c r="R5072" t="str">
        <f t="shared" si="1149"/>
        <v>NO</v>
      </c>
      <c r="T5072" t="s">
        <v>27</v>
      </c>
      <c r="U5072" t="str">
        <f t="shared" si="1150"/>
        <v>Western Ave</v>
      </c>
      <c r="V5072" t="s">
        <v>42</v>
      </c>
      <c r="W5072" t="str">
        <f t="shared" si="1151"/>
        <v>Putnam Ave</v>
      </c>
      <c r="X5072" t="str">
        <f>IF(ISBLANK(S5072),"Intersection","Non-Intersection")</f>
        <v>Intersection</v>
      </c>
      <c r="Y5072" t="s">
        <v>1022</v>
      </c>
      <c r="Z5072" t="str">
        <f t="shared" si="115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139"/>
        <v>41275</v>
      </c>
      <c r="D5073" s="4">
        <f t="shared" si="1140"/>
        <v>0.31780821917808222</v>
      </c>
      <c r="E5073" s="3">
        <f t="shared" si="1141"/>
        <v>2013</v>
      </c>
      <c r="F5073" s="3">
        <f t="shared" si="1142"/>
        <v>4</v>
      </c>
      <c r="G5073" s="3">
        <f t="shared" si="1143"/>
        <v>27</v>
      </c>
      <c r="H5073" s="3">
        <f t="shared" si="1144"/>
        <v>8</v>
      </c>
      <c r="I5073" s="3">
        <f t="shared" si="1145"/>
        <v>45</v>
      </c>
      <c r="J5073" s="3">
        <f t="shared" si="1146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147"/>
        <v>YES</v>
      </c>
      <c r="Q5073" t="str">
        <f t="shared" si="1148"/>
        <v>NO</v>
      </c>
      <c r="R5073" t="str">
        <f t="shared" si="1149"/>
        <v>NO</v>
      </c>
      <c r="T5073" t="s">
        <v>24</v>
      </c>
      <c r="U5073" t="str">
        <f t="shared" si="1150"/>
        <v>Coolidge Ave</v>
      </c>
      <c r="V5073" t="s">
        <v>198</v>
      </c>
      <c r="W5073" t="str">
        <f t="shared" si="1151"/>
        <v>Mount Auburn St</v>
      </c>
      <c r="X5073" t="str">
        <f>IF(ISBLANK(S5073),"Intersection","Non-Intersection")</f>
        <v>Intersection</v>
      </c>
      <c r="Y5073" t="s">
        <v>3025</v>
      </c>
      <c r="Z5073" t="str">
        <f t="shared" si="115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139"/>
        <v>41275</v>
      </c>
      <c r="D5074" s="4">
        <f t="shared" si="1140"/>
        <v>0.31780821917808222</v>
      </c>
      <c r="E5074" s="3">
        <f t="shared" si="1141"/>
        <v>2013</v>
      </c>
      <c r="F5074" s="3">
        <f t="shared" si="1142"/>
        <v>4</v>
      </c>
      <c r="G5074" s="3">
        <f t="shared" si="1143"/>
        <v>27</v>
      </c>
      <c r="H5074" s="3">
        <f t="shared" si="1144"/>
        <v>22</v>
      </c>
      <c r="I5074" s="3">
        <f t="shared" si="1145"/>
        <v>9</v>
      </c>
      <c r="J5074" s="3">
        <f t="shared" si="1146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147"/>
        <v>YES</v>
      </c>
      <c r="Q5074" t="str">
        <f t="shared" si="1148"/>
        <v>NO</v>
      </c>
      <c r="R5074" t="str">
        <f t="shared" si="1149"/>
        <v>NO</v>
      </c>
      <c r="S5074">
        <v>240</v>
      </c>
      <c r="T5074" t="s">
        <v>101</v>
      </c>
      <c r="U5074" t="str">
        <f t="shared" si="1150"/>
        <v>Columbia St</v>
      </c>
      <c r="W5074" t="str">
        <f t="shared" si="1151"/>
        <v/>
      </c>
      <c r="X5074" t="str">
        <f>IF(ISBLANK(S5074),"Intersection","Non-Intersection")</f>
        <v>Non-Intersection</v>
      </c>
      <c r="Y5074" t="s">
        <v>5594</v>
      </c>
      <c r="Z5074" t="str">
        <f t="shared" si="115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139"/>
        <v>41275</v>
      </c>
      <c r="D5075" s="4">
        <f t="shared" si="1140"/>
        <v>0.31780821917808222</v>
      </c>
      <c r="E5075" s="3">
        <f t="shared" si="1141"/>
        <v>2013</v>
      </c>
      <c r="F5075" s="3">
        <f t="shared" si="1142"/>
        <v>4</v>
      </c>
      <c r="G5075" s="3">
        <f t="shared" si="1143"/>
        <v>27</v>
      </c>
      <c r="H5075" s="3">
        <f t="shared" si="1144"/>
        <v>17</v>
      </c>
      <c r="I5075" s="3">
        <f t="shared" si="1145"/>
        <v>22</v>
      </c>
      <c r="J5075" s="3">
        <f t="shared" si="1146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147"/>
        <v>YES</v>
      </c>
      <c r="Q5075" t="str">
        <f t="shared" si="1148"/>
        <v>NO</v>
      </c>
      <c r="R5075" t="str">
        <f t="shared" si="1149"/>
        <v>NO</v>
      </c>
      <c r="T5075" t="s">
        <v>19</v>
      </c>
      <c r="U5075" t="str">
        <f t="shared" si="1150"/>
        <v>Cambridge St</v>
      </c>
      <c r="V5075" t="s">
        <v>745</v>
      </c>
      <c r="W5075" t="str">
        <f t="shared" si="1151"/>
        <v>Norfolk St</v>
      </c>
      <c r="X5075" t="str">
        <f>IF(ISBLANK(S5075),"Intersection","Non-Intersection")</f>
        <v>Intersection</v>
      </c>
      <c r="Y5075" t="s">
        <v>3518</v>
      </c>
      <c r="Z5075" t="str">
        <f t="shared" si="115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139"/>
        <v>41275</v>
      </c>
      <c r="D5076" s="4">
        <f t="shared" si="1140"/>
        <v>0.31780821917808222</v>
      </c>
      <c r="E5076" s="3">
        <f t="shared" si="1141"/>
        <v>2013</v>
      </c>
      <c r="F5076" s="3">
        <f t="shared" si="1142"/>
        <v>4</v>
      </c>
      <c r="G5076" s="3">
        <f t="shared" si="1143"/>
        <v>27</v>
      </c>
      <c r="H5076" s="3">
        <f t="shared" si="1144"/>
        <v>20</v>
      </c>
      <c r="I5076" s="3">
        <f t="shared" si="1145"/>
        <v>19</v>
      </c>
      <c r="J5076" s="3">
        <f t="shared" si="1146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147"/>
        <v>YES</v>
      </c>
      <c r="Q5076" t="str">
        <f t="shared" si="1148"/>
        <v>NO</v>
      </c>
      <c r="R5076" t="str">
        <f t="shared" si="1149"/>
        <v>NO</v>
      </c>
      <c r="S5076">
        <v>500</v>
      </c>
      <c r="T5076" t="s">
        <v>189</v>
      </c>
      <c r="U5076" t="str">
        <f t="shared" si="1150"/>
        <v>Windsor St</v>
      </c>
      <c r="W5076" t="str">
        <f t="shared" si="1151"/>
        <v/>
      </c>
      <c r="X5076" t="str">
        <f>IF(ISBLANK(S5076),"Intersection","Non-Intersection")</f>
        <v>Non-Intersection</v>
      </c>
      <c r="Y5076" t="s">
        <v>5596</v>
      </c>
      <c r="Z5076" t="str">
        <f t="shared" si="115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139"/>
        <v>41275</v>
      </c>
      <c r="D5077" s="4">
        <f t="shared" si="1140"/>
        <v>0.31780821917808222</v>
      </c>
      <c r="E5077" s="3">
        <f t="shared" si="1141"/>
        <v>2013</v>
      </c>
      <c r="F5077" s="3">
        <f t="shared" si="1142"/>
        <v>4</v>
      </c>
      <c r="G5077" s="3">
        <f t="shared" si="1143"/>
        <v>27</v>
      </c>
      <c r="H5077" s="3">
        <f t="shared" si="1144"/>
        <v>20</v>
      </c>
      <c r="I5077" s="3">
        <f t="shared" si="1145"/>
        <v>39</v>
      </c>
      <c r="J5077" s="3">
        <f t="shared" si="1146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147"/>
        <v>YES</v>
      </c>
      <c r="Q5077" t="str">
        <f t="shared" si="1148"/>
        <v>NO</v>
      </c>
      <c r="R5077" t="str">
        <f t="shared" si="1149"/>
        <v>NO</v>
      </c>
      <c r="T5077" t="s">
        <v>74</v>
      </c>
      <c r="U5077" t="str">
        <f t="shared" si="1150"/>
        <v>Hampshire St</v>
      </c>
      <c r="V5077" t="s">
        <v>796</v>
      </c>
      <c r="W5077" t="str">
        <f t="shared" si="1151"/>
        <v>Portland St</v>
      </c>
      <c r="X5077" t="str">
        <f>IF(ISBLANK(S5077),"Intersection","Non-Intersection")</f>
        <v>Intersection</v>
      </c>
      <c r="Y5077" t="s">
        <v>3889</v>
      </c>
      <c r="Z5077" t="str">
        <f t="shared" si="115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139"/>
        <v>41275</v>
      </c>
      <c r="D5078" s="4">
        <f t="shared" si="1140"/>
        <v>0.32054794520547947</v>
      </c>
      <c r="E5078" s="3">
        <f t="shared" si="1141"/>
        <v>2013</v>
      </c>
      <c r="F5078" s="3">
        <f t="shared" si="1142"/>
        <v>4</v>
      </c>
      <c r="G5078" s="3">
        <f t="shared" si="1143"/>
        <v>28</v>
      </c>
      <c r="H5078" s="3">
        <f t="shared" si="1144"/>
        <v>12</v>
      </c>
      <c r="I5078" s="3">
        <f t="shared" si="1145"/>
        <v>4</v>
      </c>
      <c r="J5078" s="3">
        <f t="shared" si="1146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147"/>
        <v>YES</v>
      </c>
      <c r="Q5078" t="str">
        <f t="shared" si="1148"/>
        <v>NO</v>
      </c>
      <c r="R5078" t="str">
        <f t="shared" si="1149"/>
        <v>NO</v>
      </c>
      <c r="T5078" t="s">
        <v>326</v>
      </c>
      <c r="U5078" t="str">
        <f t="shared" si="1150"/>
        <v>Jfk St</v>
      </c>
      <c r="V5078" t="s">
        <v>325</v>
      </c>
      <c r="W5078" t="str">
        <f t="shared" si="1151"/>
        <v>Eliot St</v>
      </c>
      <c r="X5078" t="str">
        <f>IF(ISBLANK(S5078),"Intersection","Non-Intersection")</f>
        <v>Intersection</v>
      </c>
      <c r="Y5078" t="s">
        <v>1420</v>
      </c>
      <c r="Z5078" t="str">
        <f t="shared" si="115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139"/>
        <v>41275</v>
      </c>
      <c r="D5079" s="4">
        <f t="shared" si="1140"/>
        <v>0.32054794520547947</v>
      </c>
      <c r="E5079" s="3">
        <f t="shared" si="1141"/>
        <v>2013</v>
      </c>
      <c r="F5079" s="3">
        <f t="shared" si="1142"/>
        <v>4</v>
      </c>
      <c r="G5079" s="3">
        <f t="shared" si="1143"/>
        <v>28</v>
      </c>
      <c r="H5079" s="3">
        <f t="shared" si="1144"/>
        <v>1</v>
      </c>
      <c r="I5079" s="3">
        <f t="shared" si="1145"/>
        <v>54</v>
      </c>
      <c r="J5079" s="3">
        <f t="shared" si="1146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147"/>
        <v>YES</v>
      </c>
      <c r="Q5079" t="str">
        <f t="shared" si="1148"/>
        <v>NO</v>
      </c>
      <c r="R5079" t="str">
        <f t="shared" si="1149"/>
        <v>NO</v>
      </c>
      <c r="T5079" t="s">
        <v>189</v>
      </c>
      <c r="U5079" t="str">
        <f t="shared" si="1150"/>
        <v>Windsor St</v>
      </c>
      <c r="V5079" t="s">
        <v>32</v>
      </c>
      <c r="W5079" t="str">
        <f t="shared" si="1151"/>
        <v>Main St</v>
      </c>
      <c r="X5079" t="str">
        <f>IF(ISBLANK(S5079),"Intersection","Non-Intersection")</f>
        <v>Intersection</v>
      </c>
      <c r="Y5079" t="s">
        <v>3338</v>
      </c>
      <c r="Z5079" t="str">
        <f t="shared" si="115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139"/>
        <v>41275</v>
      </c>
      <c r="D5080" s="4">
        <f t="shared" si="1140"/>
        <v>0.32054794520547947</v>
      </c>
      <c r="E5080" s="3">
        <f t="shared" si="1141"/>
        <v>2013</v>
      </c>
      <c r="F5080" s="3">
        <f t="shared" si="1142"/>
        <v>4</v>
      </c>
      <c r="G5080" s="3">
        <f t="shared" si="1143"/>
        <v>28</v>
      </c>
      <c r="H5080" s="3">
        <f t="shared" si="1144"/>
        <v>21</v>
      </c>
      <c r="I5080" s="3">
        <f t="shared" si="1145"/>
        <v>21</v>
      </c>
      <c r="J5080" s="3">
        <f t="shared" si="1146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147"/>
        <v>YES</v>
      </c>
      <c r="Q5080" t="str">
        <f t="shared" si="1148"/>
        <v>NO</v>
      </c>
      <c r="R5080" t="str">
        <f t="shared" si="1149"/>
        <v>NO</v>
      </c>
      <c r="S5080">
        <v>197</v>
      </c>
      <c r="T5080" t="s">
        <v>509</v>
      </c>
      <c r="U5080" t="str">
        <f t="shared" si="1150"/>
        <v>Green St</v>
      </c>
      <c r="W5080" t="str">
        <f t="shared" si="1151"/>
        <v/>
      </c>
      <c r="X5080" t="str">
        <f>IF(ISBLANK(S5080),"Intersection","Non-Intersection")</f>
        <v>Non-Intersection</v>
      </c>
      <c r="Y5080" t="s">
        <v>5598</v>
      </c>
      <c r="Z5080" t="str">
        <f t="shared" si="115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139"/>
        <v>41275</v>
      </c>
      <c r="D5081" s="4">
        <f t="shared" si="1140"/>
        <v>0.32054794520547947</v>
      </c>
      <c r="E5081" s="3">
        <f t="shared" si="1141"/>
        <v>2013</v>
      </c>
      <c r="F5081" s="3">
        <f t="shared" si="1142"/>
        <v>4</v>
      </c>
      <c r="G5081" s="3">
        <f t="shared" si="1143"/>
        <v>28</v>
      </c>
      <c r="H5081" s="3">
        <f t="shared" si="1144"/>
        <v>17</v>
      </c>
      <c r="I5081" s="3">
        <f t="shared" si="1145"/>
        <v>10</v>
      </c>
      <c r="J5081" s="3">
        <f t="shared" si="1146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147"/>
        <v>YES</v>
      </c>
      <c r="Q5081" t="str">
        <f t="shared" si="1148"/>
        <v>NO</v>
      </c>
      <c r="R5081" t="str">
        <f t="shared" si="1149"/>
        <v>NO</v>
      </c>
      <c r="S5081">
        <v>170</v>
      </c>
      <c r="T5081" t="s">
        <v>170</v>
      </c>
      <c r="U5081" t="str">
        <f t="shared" si="1150"/>
        <v>Alewife Brook Pky</v>
      </c>
      <c r="W5081" t="str">
        <f t="shared" si="1151"/>
        <v/>
      </c>
      <c r="X5081" t="str">
        <f>IF(ISBLANK(S5081),"Intersection","Non-Intersection")</f>
        <v>Non-Intersection</v>
      </c>
      <c r="Y5081" t="s">
        <v>5600</v>
      </c>
      <c r="Z5081" t="str">
        <f t="shared" si="115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139"/>
        <v>41275</v>
      </c>
      <c r="D5082" s="4">
        <f t="shared" si="1140"/>
        <v>0.32054794520547947</v>
      </c>
      <c r="E5082" s="3">
        <f t="shared" si="1141"/>
        <v>2013</v>
      </c>
      <c r="F5082" s="3">
        <f t="shared" si="1142"/>
        <v>4</v>
      </c>
      <c r="G5082" s="3">
        <f t="shared" si="1143"/>
        <v>28</v>
      </c>
      <c r="H5082" s="3">
        <f t="shared" si="1144"/>
        <v>9</v>
      </c>
      <c r="I5082" s="3">
        <f t="shared" si="1145"/>
        <v>30</v>
      </c>
      <c r="J5082" s="3">
        <f t="shared" si="1146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147"/>
        <v>YES</v>
      </c>
      <c r="Q5082" t="str">
        <f t="shared" si="1148"/>
        <v>NO</v>
      </c>
      <c r="R5082" t="str">
        <f t="shared" si="1149"/>
        <v>NO</v>
      </c>
      <c r="S5082">
        <v>171</v>
      </c>
      <c r="T5082" t="s">
        <v>45</v>
      </c>
      <c r="U5082" t="str">
        <f t="shared" si="1150"/>
        <v>Sherman St</v>
      </c>
      <c r="W5082" t="str">
        <f t="shared" si="1151"/>
        <v/>
      </c>
      <c r="X5082" t="str">
        <f>IF(ISBLANK(S5082),"Intersection","Non-Intersection")</f>
        <v>Non-Intersection</v>
      </c>
      <c r="Y5082" t="s">
        <v>5602</v>
      </c>
      <c r="Z5082" t="str">
        <f t="shared" si="115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139"/>
        <v>41275</v>
      </c>
      <c r="D5083" s="4">
        <f t="shared" si="1140"/>
        <v>0.32328767123287672</v>
      </c>
      <c r="E5083" s="3">
        <f t="shared" si="1141"/>
        <v>2013</v>
      </c>
      <c r="F5083" s="3">
        <f t="shared" si="1142"/>
        <v>4</v>
      </c>
      <c r="G5083" s="3">
        <f t="shared" si="1143"/>
        <v>29</v>
      </c>
      <c r="H5083" s="3">
        <f t="shared" si="1144"/>
        <v>9</v>
      </c>
      <c r="I5083" s="3">
        <f t="shared" si="1145"/>
        <v>45</v>
      </c>
      <c r="J5083" s="3">
        <f t="shared" si="1146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147"/>
        <v>YES</v>
      </c>
      <c r="Q5083" t="str">
        <f t="shared" si="1148"/>
        <v>NO</v>
      </c>
      <c r="R5083" t="str">
        <f t="shared" si="1149"/>
        <v>NO</v>
      </c>
      <c r="S5083">
        <v>96</v>
      </c>
      <c r="T5083" t="s">
        <v>74</v>
      </c>
      <c r="U5083" t="str">
        <f t="shared" si="1150"/>
        <v>Hampshire St</v>
      </c>
      <c r="W5083" t="str">
        <f t="shared" si="1151"/>
        <v/>
      </c>
      <c r="X5083" t="str">
        <f>IF(ISBLANK(S5083),"Intersection","Non-Intersection")</f>
        <v>Non-Intersection</v>
      </c>
      <c r="Y5083" t="s">
        <v>5604</v>
      </c>
      <c r="Z5083" t="str">
        <f t="shared" si="115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139"/>
        <v>41275</v>
      </c>
      <c r="D5084" s="4">
        <f t="shared" si="1140"/>
        <v>0.32602739726027397</v>
      </c>
      <c r="E5084" s="3">
        <f t="shared" si="1141"/>
        <v>2013</v>
      </c>
      <c r="F5084" s="3">
        <f t="shared" si="1142"/>
        <v>4</v>
      </c>
      <c r="G5084" s="3">
        <f t="shared" si="1143"/>
        <v>30</v>
      </c>
      <c r="H5084" s="3">
        <f t="shared" si="1144"/>
        <v>14</v>
      </c>
      <c r="I5084" s="3">
        <f t="shared" si="1145"/>
        <v>45</v>
      </c>
      <c r="J5084" s="3">
        <f t="shared" si="1146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147"/>
        <v>YES</v>
      </c>
      <c r="Q5084" t="str">
        <f t="shared" si="1148"/>
        <v>NO</v>
      </c>
      <c r="R5084" t="str">
        <f t="shared" si="1149"/>
        <v>NO</v>
      </c>
      <c r="T5084" t="s">
        <v>19</v>
      </c>
      <c r="U5084" t="str">
        <f t="shared" si="1150"/>
        <v>Cambridge St</v>
      </c>
      <c r="V5084" t="s">
        <v>737</v>
      </c>
      <c r="W5084" t="str">
        <f t="shared" si="1151"/>
        <v>Willow St</v>
      </c>
      <c r="X5084" t="str">
        <f>IF(ISBLANK(S5084),"Intersection","Non-Intersection")</f>
        <v>Intersection</v>
      </c>
      <c r="Y5084" t="s">
        <v>1451</v>
      </c>
      <c r="Z5084" t="str">
        <f t="shared" si="115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139"/>
        <v>41275</v>
      </c>
      <c r="D5085" s="4">
        <f t="shared" si="1140"/>
        <v>0.32602739726027397</v>
      </c>
      <c r="E5085" s="3">
        <f t="shared" si="1141"/>
        <v>2013</v>
      </c>
      <c r="F5085" s="3">
        <f t="shared" si="1142"/>
        <v>4</v>
      </c>
      <c r="G5085" s="3">
        <f t="shared" si="1143"/>
        <v>30</v>
      </c>
      <c r="H5085" s="3">
        <f t="shared" si="1144"/>
        <v>0</v>
      </c>
      <c r="I5085" s="3">
        <f t="shared" si="1145"/>
        <v>59</v>
      </c>
      <c r="J5085" s="3">
        <f t="shared" si="1146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147"/>
        <v>YES</v>
      </c>
      <c r="Q5085" t="str">
        <f t="shared" si="1148"/>
        <v>NO</v>
      </c>
      <c r="R5085" t="str">
        <f t="shared" si="1149"/>
        <v>NO</v>
      </c>
      <c r="T5085" t="s">
        <v>101</v>
      </c>
      <c r="U5085" t="str">
        <f t="shared" si="1150"/>
        <v>Columbia St</v>
      </c>
      <c r="V5085" t="s">
        <v>74</v>
      </c>
      <c r="W5085" t="str">
        <f t="shared" si="1151"/>
        <v>Hampshire St</v>
      </c>
      <c r="X5085" t="str">
        <f>IF(ISBLANK(S5085),"Intersection","Non-Intersection")</f>
        <v>Intersection</v>
      </c>
      <c r="Y5085" t="s">
        <v>773</v>
      </c>
      <c r="Z5085" t="str">
        <f t="shared" si="115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139"/>
        <v>41275</v>
      </c>
      <c r="D5086" s="4">
        <f t="shared" si="1140"/>
        <v>0.32602739726027397</v>
      </c>
      <c r="E5086" s="3">
        <f t="shared" si="1141"/>
        <v>2013</v>
      </c>
      <c r="F5086" s="3">
        <f t="shared" si="1142"/>
        <v>4</v>
      </c>
      <c r="G5086" s="3">
        <f t="shared" si="1143"/>
        <v>30</v>
      </c>
      <c r="H5086" s="3">
        <f t="shared" si="1144"/>
        <v>19</v>
      </c>
      <c r="I5086" s="3">
        <f t="shared" si="1145"/>
        <v>53</v>
      </c>
      <c r="J5086" s="3">
        <f t="shared" si="1146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147"/>
        <v>YES</v>
      </c>
      <c r="Q5086" t="str">
        <f t="shared" si="1148"/>
        <v>NO</v>
      </c>
      <c r="R5086" t="str">
        <f t="shared" si="1149"/>
        <v>NO</v>
      </c>
      <c r="S5086">
        <v>5</v>
      </c>
      <c r="T5086" t="s">
        <v>1752</v>
      </c>
      <c r="U5086" t="str">
        <f t="shared" si="1150"/>
        <v>Cambridgepark Dr</v>
      </c>
      <c r="W5086" t="str">
        <f t="shared" si="1151"/>
        <v/>
      </c>
      <c r="X5086" t="str">
        <f>IF(ISBLANK(S5086),"Intersection","Non-Intersection")</f>
        <v>Non-Intersection</v>
      </c>
      <c r="Y5086" t="s">
        <v>2952</v>
      </c>
      <c r="Z5086" t="str">
        <f t="shared" si="115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139"/>
        <v>41275</v>
      </c>
      <c r="D5087" s="4">
        <f t="shared" si="1140"/>
        <v>0.32602739726027397</v>
      </c>
      <c r="E5087" s="3">
        <f t="shared" si="1141"/>
        <v>2013</v>
      </c>
      <c r="F5087" s="3">
        <f t="shared" si="1142"/>
        <v>4</v>
      </c>
      <c r="G5087" s="3">
        <f t="shared" si="1143"/>
        <v>30</v>
      </c>
      <c r="H5087" s="3">
        <f t="shared" si="1144"/>
        <v>21</v>
      </c>
      <c r="I5087" s="3">
        <f t="shared" si="1145"/>
        <v>13</v>
      </c>
      <c r="J5087" s="3">
        <f t="shared" si="1146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147"/>
        <v>YES</v>
      </c>
      <c r="Q5087" t="str">
        <f t="shared" si="1148"/>
        <v>NO</v>
      </c>
      <c r="R5087" t="str">
        <f t="shared" si="1149"/>
        <v>NO</v>
      </c>
      <c r="T5087" t="s">
        <v>186</v>
      </c>
      <c r="U5087" t="str">
        <f t="shared" si="1150"/>
        <v>Concord Ave</v>
      </c>
      <c r="V5087" t="s">
        <v>665</v>
      </c>
      <c r="W5087" t="str">
        <f t="shared" si="1151"/>
        <v>New St</v>
      </c>
      <c r="X5087" t="str">
        <f>IF(ISBLANK(S5087),"Intersection","Non-Intersection")</f>
        <v>Intersection</v>
      </c>
      <c r="Y5087" t="s">
        <v>5606</v>
      </c>
      <c r="Z5087" t="str">
        <f t="shared" si="115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139"/>
        <v>41275</v>
      </c>
      <c r="D5088" s="4">
        <f t="shared" si="1140"/>
        <v>0.32876712328767121</v>
      </c>
      <c r="E5088" s="3">
        <f t="shared" si="1141"/>
        <v>2013</v>
      </c>
      <c r="F5088" s="3">
        <f t="shared" si="1142"/>
        <v>5</v>
      </c>
      <c r="G5088" s="3">
        <f t="shared" si="1143"/>
        <v>1</v>
      </c>
      <c r="H5088" s="3">
        <f t="shared" si="1144"/>
        <v>13</v>
      </c>
      <c r="I5088" s="3">
        <f t="shared" si="1145"/>
        <v>5</v>
      </c>
      <c r="J5088" s="3">
        <f t="shared" si="1146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147"/>
        <v>YES</v>
      </c>
      <c r="Q5088" t="str">
        <f t="shared" si="1148"/>
        <v>NO</v>
      </c>
      <c r="R5088" t="str">
        <f t="shared" si="1149"/>
        <v>NO</v>
      </c>
      <c r="T5088" t="s">
        <v>14</v>
      </c>
      <c r="U5088" t="str">
        <f t="shared" si="1150"/>
        <v>Massachusetts Ave</v>
      </c>
      <c r="V5088" t="s">
        <v>15</v>
      </c>
      <c r="W5088" t="str">
        <f t="shared" si="1151"/>
        <v>Rindge Ave</v>
      </c>
      <c r="X5088" t="str">
        <f>IF(ISBLANK(S5088),"Intersection","Non-Intersection")</f>
        <v>Intersection</v>
      </c>
      <c r="Y5088" t="s">
        <v>16</v>
      </c>
      <c r="Z5088" t="str">
        <f t="shared" si="115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139"/>
        <v>41275</v>
      </c>
      <c r="D5089" s="4">
        <f t="shared" si="1140"/>
        <v>0.32876712328767121</v>
      </c>
      <c r="E5089" s="3">
        <f t="shared" si="1141"/>
        <v>2013</v>
      </c>
      <c r="F5089" s="3">
        <f t="shared" si="1142"/>
        <v>5</v>
      </c>
      <c r="G5089" s="3">
        <f t="shared" si="1143"/>
        <v>1</v>
      </c>
      <c r="H5089" s="3">
        <f t="shared" si="1144"/>
        <v>10</v>
      </c>
      <c r="I5089" s="3">
        <f t="shared" si="1145"/>
        <v>15</v>
      </c>
      <c r="J5089" s="3">
        <f t="shared" si="1146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147"/>
        <v>YES</v>
      </c>
      <c r="Q5089" t="str">
        <f t="shared" si="1148"/>
        <v>NO</v>
      </c>
      <c r="R5089" t="str">
        <f t="shared" si="1149"/>
        <v>NO</v>
      </c>
      <c r="T5089" t="s">
        <v>209</v>
      </c>
      <c r="U5089" t="str">
        <f t="shared" si="1150"/>
        <v>Binney St</v>
      </c>
      <c r="V5089" t="s">
        <v>61</v>
      </c>
      <c r="W5089" t="str">
        <f t="shared" si="1151"/>
        <v>First St</v>
      </c>
      <c r="X5089" t="str">
        <f>IF(ISBLANK(S5089),"Intersection","Non-Intersection")</f>
        <v>Intersection</v>
      </c>
      <c r="Y5089" t="s">
        <v>579</v>
      </c>
      <c r="Z5089" t="str">
        <f t="shared" si="115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139"/>
        <v>41275</v>
      </c>
      <c r="D5090" s="4">
        <f t="shared" si="1140"/>
        <v>0.32876712328767121</v>
      </c>
      <c r="E5090" s="3">
        <f t="shared" si="1141"/>
        <v>2013</v>
      </c>
      <c r="F5090" s="3">
        <f t="shared" si="1142"/>
        <v>5</v>
      </c>
      <c r="G5090" s="3">
        <f t="shared" si="1143"/>
        <v>1</v>
      </c>
      <c r="H5090" s="3">
        <f t="shared" si="1144"/>
        <v>6</v>
      </c>
      <c r="I5090" s="3">
        <f t="shared" si="1145"/>
        <v>45</v>
      </c>
      <c r="J5090" s="3">
        <f t="shared" si="1146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147"/>
        <v>YES</v>
      </c>
      <c r="Q5090" t="str">
        <f t="shared" si="1148"/>
        <v>NO</v>
      </c>
      <c r="R5090" t="str">
        <f t="shared" si="1149"/>
        <v>NO</v>
      </c>
      <c r="S5090">
        <v>92</v>
      </c>
      <c r="T5090" t="s">
        <v>216</v>
      </c>
      <c r="U5090" t="str">
        <f t="shared" si="1150"/>
        <v>Washington Ave</v>
      </c>
      <c r="W5090" t="str">
        <f t="shared" si="1151"/>
        <v/>
      </c>
      <c r="X5090" t="str">
        <f>IF(ISBLANK(S5090),"Intersection","Non-Intersection")</f>
        <v>Non-Intersection</v>
      </c>
      <c r="Y5090" t="s">
        <v>5608</v>
      </c>
      <c r="Z5090" t="str">
        <f t="shared" si="115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139"/>
        <v>41275</v>
      </c>
      <c r="D5091" s="4">
        <f t="shared" si="1140"/>
        <v>0.33150684931506852</v>
      </c>
      <c r="E5091" s="3">
        <f t="shared" si="1141"/>
        <v>2013</v>
      </c>
      <c r="F5091" s="3">
        <f t="shared" si="1142"/>
        <v>5</v>
      </c>
      <c r="G5091" s="3">
        <f t="shared" si="1143"/>
        <v>2</v>
      </c>
      <c r="H5091" s="3">
        <f t="shared" si="1144"/>
        <v>5</v>
      </c>
      <c r="I5091" s="3">
        <f t="shared" si="1145"/>
        <v>29</v>
      </c>
      <c r="J5091" s="3">
        <f t="shared" si="1146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147"/>
        <v>YES</v>
      </c>
      <c r="Q5091" t="str">
        <f t="shared" si="1148"/>
        <v>NO</v>
      </c>
      <c r="R5091" t="str">
        <f t="shared" si="1149"/>
        <v>NO</v>
      </c>
      <c r="T5091" t="s">
        <v>101</v>
      </c>
      <c r="U5091" t="str">
        <f t="shared" si="1150"/>
        <v>Columbia St</v>
      </c>
      <c r="V5091" t="s">
        <v>316</v>
      </c>
      <c r="W5091" t="str">
        <f t="shared" si="1151"/>
        <v>Bishop Allen Dr</v>
      </c>
      <c r="X5091" t="str">
        <f>IF(ISBLANK(S5091),"Intersection","Non-Intersection")</f>
        <v>Intersection</v>
      </c>
      <c r="Y5091" t="s">
        <v>2065</v>
      </c>
      <c r="Z5091" t="str">
        <f t="shared" si="115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139"/>
        <v>41275</v>
      </c>
      <c r="D5092" s="4">
        <f t="shared" si="1140"/>
        <v>0.33150684931506852</v>
      </c>
      <c r="E5092" s="3">
        <f t="shared" si="1141"/>
        <v>2013</v>
      </c>
      <c r="F5092" s="3">
        <f t="shared" si="1142"/>
        <v>5</v>
      </c>
      <c r="G5092" s="3">
        <f t="shared" si="1143"/>
        <v>2</v>
      </c>
      <c r="H5092" s="3">
        <f t="shared" si="1144"/>
        <v>11</v>
      </c>
      <c r="I5092" s="3">
        <f t="shared" si="1145"/>
        <v>0</v>
      </c>
      <c r="J5092" s="3">
        <f t="shared" si="1146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147"/>
        <v>YES</v>
      </c>
      <c r="Q5092" t="str">
        <f t="shared" si="1148"/>
        <v>NO</v>
      </c>
      <c r="R5092" t="str">
        <f t="shared" si="1149"/>
        <v>NO</v>
      </c>
      <c r="T5092" t="s">
        <v>19</v>
      </c>
      <c r="U5092" t="str">
        <f t="shared" si="1150"/>
        <v>Cambridge St</v>
      </c>
      <c r="V5092" t="s">
        <v>147</v>
      </c>
      <c r="W5092" t="str">
        <f t="shared" si="1151"/>
        <v>Sixth St</v>
      </c>
      <c r="X5092" t="str">
        <f>IF(ISBLANK(S5092),"Intersection","Non-Intersection")</f>
        <v>Intersection</v>
      </c>
      <c r="Y5092" t="s">
        <v>536</v>
      </c>
      <c r="Z5092" t="str">
        <f t="shared" si="115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139"/>
        <v>41275</v>
      </c>
      <c r="D5093" s="4">
        <f t="shared" si="1140"/>
        <v>0.33150684931506852</v>
      </c>
      <c r="E5093" s="3">
        <f t="shared" si="1141"/>
        <v>2013</v>
      </c>
      <c r="F5093" s="3">
        <f t="shared" si="1142"/>
        <v>5</v>
      </c>
      <c r="G5093" s="3">
        <f t="shared" si="1143"/>
        <v>2</v>
      </c>
      <c r="H5093" s="3">
        <f t="shared" si="1144"/>
        <v>11</v>
      </c>
      <c r="I5093" s="3">
        <f t="shared" si="1145"/>
        <v>55</v>
      </c>
      <c r="J5093" s="3">
        <f t="shared" si="1146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147"/>
        <v>YES</v>
      </c>
      <c r="Q5093" t="str">
        <f t="shared" si="1148"/>
        <v>NO</v>
      </c>
      <c r="R5093" t="str">
        <f t="shared" si="1149"/>
        <v>NO</v>
      </c>
      <c r="T5093" t="s">
        <v>509</v>
      </c>
      <c r="U5093" t="str">
        <f t="shared" si="1150"/>
        <v>Green St</v>
      </c>
      <c r="V5093" t="s">
        <v>178</v>
      </c>
      <c r="W5093" t="str">
        <f t="shared" si="1151"/>
        <v>Pleasant St</v>
      </c>
      <c r="X5093" t="str">
        <f>IF(ISBLANK(S5093),"Intersection","Non-Intersection")</f>
        <v>Intersection</v>
      </c>
      <c r="Y5093" t="s">
        <v>2520</v>
      </c>
      <c r="Z5093" t="str">
        <f t="shared" si="115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139"/>
        <v>41275</v>
      </c>
      <c r="D5094" s="4">
        <f t="shared" si="1140"/>
        <v>0.33150684931506852</v>
      </c>
      <c r="E5094" s="3">
        <f t="shared" si="1141"/>
        <v>2013</v>
      </c>
      <c r="F5094" s="3">
        <f t="shared" si="1142"/>
        <v>5</v>
      </c>
      <c r="G5094" s="3">
        <f t="shared" si="1143"/>
        <v>2</v>
      </c>
      <c r="H5094" s="3">
        <f t="shared" si="1144"/>
        <v>15</v>
      </c>
      <c r="I5094" s="3">
        <f t="shared" si="1145"/>
        <v>34</v>
      </c>
      <c r="J5094" s="3">
        <f t="shared" si="1146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147"/>
        <v>YES</v>
      </c>
      <c r="Q5094" t="str">
        <f t="shared" si="1148"/>
        <v>NO</v>
      </c>
      <c r="R5094" t="str">
        <f t="shared" si="1149"/>
        <v>NO</v>
      </c>
      <c r="T5094" t="s">
        <v>198</v>
      </c>
      <c r="U5094" t="str">
        <f t="shared" si="1150"/>
        <v>Mount Auburn St</v>
      </c>
      <c r="V5094" t="s">
        <v>2055</v>
      </c>
      <c r="W5094" t="str">
        <f t="shared" si="1151"/>
        <v>Aberdeen Ct</v>
      </c>
      <c r="X5094" t="str">
        <f>IF(ISBLANK(S5094),"Intersection","Non-Intersection")</f>
        <v>Intersection</v>
      </c>
      <c r="Y5094" t="s">
        <v>4525</v>
      </c>
      <c r="Z5094" t="str">
        <f t="shared" si="115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153">EOMONTH(B5095,MONTH(B5095)*-1)+1</f>
        <v>41275</v>
      </c>
      <c r="D5095" s="4">
        <f t="shared" ref="D5095:D5157" si="1154">YEARFRAC(C5095,B5095,1)</f>
        <v>0.33150684931506852</v>
      </c>
      <c r="E5095" s="3">
        <f t="shared" ref="E5095:E5157" si="1155">YEAR(B5095)</f>
        <v>2013</v>
      </c>
      <c r="F5095" s="3">
        <f t="shared" ref="F5095:F5157" si="1156">MONTH(B5095)</f>
        <v>5</v>
      </c>
      <c r="G5095" s="3">
        <f t="shared" ref="G5095:G5157" si="1157">DAY(B5095)</f>
        <v>2</v>
      </c>
      <c r="H5095" s="3">
        <f t="shared" ref="H5095:H5157" si="1158">HOUR(B5095)</f>
        <v>7</v>
      </c>
      <c r="I5095" s="3">
        <f t="shared" ref="I5095:I5157" si="1159">MINUTE(B5095)</f>
        <v>16</v>
      </c>
      <c r="J5095" s="3">
        <f t="shared" ref="J5095:J5157" si="116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161">IF(OR(N5095="Auto",O5095="Auto"),"YES",IF(OR(N5095="Taxi",O5095="Taxi"),"YES",IF(OR(N5095="Van",O5095="Van"),"YES",IF(OR(N5095="Truck",O5095="Truck"),"YES","NO"))))</f>
        <v>NO</v>
      </c>
      <c r="Q5095" t="str">
        <f t="shared" ref="Q5095:Q5157" si="1162">IF(OR(N5095="Bicycle",O5095="Bicycle"),"YES","NO")</f>
        <v>YES</v>
      </c>
      <c r="R5095" t="str">
        <f t="shared" ref="R5095:R5157" si="1163">IF(OR(N5095="Pedestrian",O5095="Pedestrian"),"YES","NO")</f>
        <v>NO</v>
      </c>
      <c r="T5095" t="s">
        <v>202</v>
      </c>
      <c r="U5095" t="str">
        <f t="shared" si="1150"/>
        <v>Vassar St</v>
      </c>
      <c r="W5095" t="str">
        <f t="shared" si="1151"/>
        <v/>
      </c>
      <c r="X5095" t="str">
        <f>IF(ISBLANK(S5095),"Intersection","Non-Intersection")</f>
        <v>Intersection</v>
      </c>
      <c r="Y5095" t="s">
        <v>5161</v>
      </c>
      <c r="Z5095" t="str">
        <f t="shared" si="115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153"/>
        <v>41275</v>
      </c>
      <c r="D5096" s="4">
        <f t="shared" si="1154"/>
        <v>0.33150684931506852</v>
      </c>
      <c r="E5096" s="3">
        <f t="shared" si="1155"/>
        <v>2013</v>
      </c>
      <c r="F5096" s="3">
        <f t="shared" si="1156"/>
        <v>5</v>
      </c>
      <c r="G5096" s="3">
        <f t="shared" si="1157"/>
        <v>2</v>
      </c>
      <c r="H5096" s="3">
        <f t="shared" si="1158"/>
        <v>19</v>
      </c>
      <c r="I5096" s="3">
        <f t="shared" si="1159"/>
        <v>16</v>
      </c>
      <c r="J5096" s="3">
        <f t="shared" si="116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161"/>
        <v>NO</v>
      </c>
      <c r="Q5096" t="str">
        <f t="shared" si="1162"/>
        <v>YES</v>
      </c>
      <c r="R5096" t="str">
        <f t="shared" si="1163"/>
        <v>NO</v>
      </c>
      <c r="T5096" t="s">
        <v>32</v>
      </c>
      <c r="U5096" t="str">
        <f t="shared" si="1150"/>
        <v>Main St</v>
      </c>
      <c r="V5096" t="s">
        <v>202</v>
      </c>
      <c r="W5096" t="str">
        <f t="shared" si="1151"/>
        <v>Vassar St</v>
      </c>
      <c r="X5096" t="str">
        <f>IF(ISBLANK(S5096),"Intersection","Non-Intersection")</f>
        <v>Intersection</v>
      </c>
      <c r="Y5096" t="s">
        <v>772</v>
      </c>
      <c r="Z5096" t="str">
        <f t="shared" si="115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153"/>
        <v>41275</v>
      </c>
      <c r="D5097" s="4">
        <f t="shared" si="1154"/>
        <v>0.33150684931506852</v>
      </c>
      <c r="E5097" s="3">
        <f t="shared" si="1155"/>
        <v>2013</v>
      </c>
      <c r="F5097" s="3">
        <f t="shared" si="1156"/>
        <v>5</v>
      </c>
      <c r="G5097" s="3">
        <f t="shared" si="1157"/>
        <v>2</v>
      </c>
      <c r="H5097" s="3">
        <f t="shared" si="1158"/>
        <v>8</v>
      </c>
      <c r="I5097" s="3">
        <f t="shared" si="1159"/>
        <v>39</v>
      </c>
      <c r="J5097" s="3">
        <f t="shared" si="116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161"/>
        <v>YES</v>
      </c>
      <c r="Q5097" t="str">
        <f t="shared" si="1162"/>
        <v>NO</v>
      </c>
      <c r="R5097" t="str">
        <f t="shared" si="1163"/>
        <v>NO</v>
      </c>
      <c r="T5097" t="s">
        <v>14</v>
      </c>
      <c r="U5097" t="str">
        <f t="shared" si="1150"/>
        <v>Massachusetts Ave</v>
      </c>
      <c r="V5097" t="s">
        <v>252</v>
      </c>
      <c r="W5097" t="str">
        <f t="shared" si="1151"/>
        <v>Walden St</v>
      </c>
      <c r="X5097" t="str">
        <f>IF(ISBLANK(S5097),"Intersection","Non-Intersection")</f>
        <v>Intersection</v>
      </c>
      <c r="Y5097" t="s">
        <v>2600</v>
      </c>
      <c r="Z5097" t="str">
        <f t="shared" si="115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153"/>
        <v>41275</v>
      </c>
      <c r="D5098" s="4">
        <f t="shared" si="1154"/>
        <v>0.33424657534246577</v>
      </c>
      <c r="E5098" s="3">
        <f t="shared" si="1155"/>
        <v>2013</v>
      </c>
      <c r="F5098" s="3">
        <f t="shared" si="1156"/>
        <v>5</v>
      </c>
      <c r="G5098" s="3">
        <f t="shared" si="1157"/>
        <v>3</v>
      </c>
      <c r="H5098" s="3">
        <f t="shared" si="1158"/>
        <v>7</v>
      </c>
      <c r="I5098" s="3">
        <f t="shared" si="1159"/>
        <v>30</v>
      </c>
      <c r="J5098" s="3">
        <f t="shared" si="116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161"/>
        <v>YES</v>
      </c>
      <c r="Q5098" t="str">
        <f t="shared" si="1162"/>
        <v>NO</v>
      </c>
      <c r="R5098" t="str">
        <f t="shared" si="1163"/>
        <v>YES</v>
      </c>
      <c r="T5098" t="s">
        <v>15</v>
      </c>
      <c r="U5098" t="str">
        <f t="shared" si="1150"/>
        <v>Rindge Ave</v>
      </c>
      <c r="W5098" t="str">
        <f t="shared" si="1151"/>
        <v/>
      </c>
      <c r="X5098" t="str">
        <f>IF(ISBLANK(S5098),"Intersection","Non-Intersection")</f>
        <v>Intersection</v>
      </c>
      <c r="Y5098" t="s">
        <v>2068</v>
      </c>
      <c r="Z5098" t="str">
        <f t="shared" si="115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153"/>
        <v>41275</v>
      </c>
      <c r="D5099" s="4">
        <f t="shared" si="1154"/>
        <v>0.33424657534246577</v>
      </c>
      <c r="E5099" s="3">
        <f t="shared" si="1155"/>
        <v>2013</v>
      </c>
      <c r="F5099" s="3">
        <f t="shared" si="1156"/>
        <v>5</v>
      </c>
      <c r="G5099" s="3">
        <f t="shared" si="1157"/>
        <v>3</v>
      </c>
      <c r="H5099" s="3">
        <f t="shared" si="1158"/>
        <v>9</v>
      </c>
      <c r="I5099" s="3">
        <f t="shared" si="1159"/>
        <v>20</v>
      </c>
      <c r="J5099" s="3">
        <f t="shared" si="116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161"/>
        <v>YES</v>
      </c>
      <c r="Q5099" t="str">
        <f t="shared" si="1162"/>
        <v>NO</v>
      </c>
      <c r="R5099" t="str">
        <f t="shared" si="1163"/>
        <v>NO</v>
      </c>
      <c r="T5099" t="s">
        <v>5610</v>
      </c>
      <c r="U5099" t="str">
        <f t="shared" si="1150"/>
        <v>Hudson Pl</v>
      </c>
      <c r="V5099" t="s">
        <v>1742</v>
      </c>
      <c r="W5099" t="str">
        <f t="shared" si="1151"/>
        <v>Bow St</v>
      </c>
      <c r="X5099" t="str">
        <f>IF(ISBLANK(S5099),"Intersection","Non-Intersection")</f>
        <v>Intersection</v>
      </c>
      <c r="Y5099" t="s">
        <v>5611</v>
      </c>
      <c r="Z5099" t="str">
        <f t="shared" si="115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153"/>
        <v>41275</v>
      </c>
      <c r="D5100" s="4">
        <f t="shared" si="1154"/>
        <v>0.33424657534246577</v>
      </c>
      <c r="E5100" s="3">
        <f t="shared" si="1155"/>
        <v>2013</v>
      </c>
      <c r="F5100" s="3">
        <f t="shared" si="1156"/>
        <v>5</v>
      </c>
      <c r="G5100" s="3">
        <f t="shared" si="1157"/>
        <v>3</v>
      </c>
      <c r="H5100" s="3">
        <f t="shared" si="1158"/>
        <v>15</v>
      </c>
      <c r="I5100" s="3">
        <f t="shared" si="1159"/>
        <v>27</v>
      </c>
      <c r="J5100" s="3">
        <f t="shared" si="116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161"/>
        <v>YES</v>
      </c>
      <c r="Q5100" t="str">
        <f t="shared" si="1162"/>
        <v>NO</v>
      </c>
      <c r="R5100" t="str">
        <f t="shared" si="1163"/>
        <v>NO</v>
      </c>
      <c r="S5100">
        <v>65</v>
      </c>
      <c r="T5100" t="s">
        <v>1226</v>
      </c>
      <c r="U5100" t="str">
        <f t="shared" si="1150"/>
        <v>Dana St</v>
      </c>
      <c r="W5100" t="str">
        <f t="shared" si="1151"/>
        <v/>
      </c>
      <c r="X5100" t="str">
        <f>IF(ISBLANK(S5100),"Intersection","Non-Intersection")</f>
        <v>Non-Intersection</v>
      </c>
      <c r="Y5100" t="s">
        <v>5612</v>
      </c>
      <c r="Z5100" t="str">
        <f t="shared" si="115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153"/>
        <v>41275</v>
      </c>
      <c r="D5101" s="4">
        <f t="shared" si="1154"/>
        <v>0.33424657534246577</v>
      </c>
      <c r="E5101" s="3">
        <f t="shared" si="1155"/>
        <v>2013</v>
      </c>
      <c r="F5101" s="3">
        <f t="shared" si="1156"/>
        <v>5</v>
      </c>
      <c r="G5101" s="3">
        <f t="shared" si="1157"/>
        <v>3</v>
      </c>
      <c r="H5101" s="3">
        <f t="shared" si="1158"/>
        <v>17</v>
      </c>
      <c r="I5101" s="3">
        <f t="shared" si="1159"/>
        <v>19</v>
      </c>
      <c r="J5101" s="3">
        <f t="shared" si="116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161"/>
        <v>YES</v>
      </c>
      <c r="Q5101" t="str">
        <f t="shared" si="1162"/>
        <v>NO</v>
      </c>
      <c r="R5101" t="str">
        <f t="shared" si="1163"/>
        <v>NO</v>
      </c>
      <c r="T5101" t="s">
        <v>185</v>
      </c>
      <c r="U5101" t="str">
        <f t="shared" si="1150"/>
        <v>Garden St</v>
      </c>
      <c r="V5101" t="s">
        <v>14</v>
      </c>
      <c r="W5101" t="str">
        <f t="shared" si="1151"/>
        <v>Massachusetts Ave</v>
      </c>
      <c r="X5101" t="str">
        <f>IF(ISBLANK(S5101),"Intersection","Non-Intersection")</f>
        <v>Intersection</v>
      </c>
      <c r="Y5101" t="s">
        <v>1003</v>
      </c>
      <c r="Z5101" t="str">
        <f t="shared" si="115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153"/>
        <v>41275</v>
      </c>
      <c r="D5102" s="4">
        <f t="shared" si="1154"/>
        <v>0.33424657534246577</v>
      </c>
      <c r="E5102" s="3">
        <f t="shared" si="1155"/>
        <v>2013</v>
      </c>
      <c r="F5102" s="3">
        <f t="shared" si="1156"/>
        <v>5</v>
      </c>
      <c r="G5102" s="3">
        <f t="shared" si="1157"/>
        <v>3</v>
      </c>
      <c r="H5102" s="3">
        <f t="shared" si="1158"/>
        <v>18</v>
      </c>
      <c r="I5102" s="3">
        <f t="shared" si="1159"/>
        <v>59</v>
      </c>
      <c r="J5102" s="3">
        <f t="shared" si="116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161"/>
        <v>YES</v>
      </c>
      <c r="Q5102" t="str">
        <f t="shared" si="1162"/>
        <v>NO</v>
      </c>
      <c r="R5102" t="str">
        <f t="shared" si="1163"/>
        <v>NO</v>
      </c>
      <c r="T5102" t="s">
        <v>1114</v>
      </c>
      <c r="U5102" t="str">
        <f t="shared" si="1150"/>
        <v>Market St</v>
      </c>
      <c r="V5102" t="s">
        <v>101</v>
      </c>
      <c r="W5102" t="str">
        <f t="shared" si="1151"/>
        <v>Columbia St</v>
      </c>
      <c r="X5102" t="str">
        <f>IF(ISBLANK(S5102),"Intersection","Non-Intersection")</f>
        <v>Intersection</v>
      </c>
      <c r="Y5102" t="s">
        <v>5614</v>
      </c>
      <c r="Z5102" t="str">
        <f t="shared" si="115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153"/>
        <v>41275</v>
      </c>
      <c r="D5103" s="4">
        <f t="shared" si="1154"/>
        <v>0.33424657534246577</v>
      </c>
      <c r="E5103" s="3">
        <f t="shared" si="1155"/>
        <v>2013</v>
      </c>
      <c r="F5103" s="3">
        <f t="shared" si="1156"/>
        <v>5</v>
      </c>
      <c r="G5103" s="3">
        <f t="shared" si="1157"/>
        <v>3</v>
      </c>
      <c r="H5103" s="3">
        <f t="shared" si="1158"/>
        <v>20</v>
      </c>
      <c r="I5103" s="3">
        <f t="shared" si="1159"/>
        <v>15</v>
      </c>
      <c r="J5103" s="3">
        <f t="shared" si="116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161"/>
        <v>YES</v>
      </c>
      <c r="Q5103" t="str">
        <f t="shared" si="1162"/>
        <v>NO</v>
      </c>
      <c r="R5103" t="str">
        <f t="shared" si="1163"/>
        <v>NO</v>
      </c>
      <c r="T5103" t="s">
        <v>14</v>
      </c>
      <c r="U5103" t="str">
        <f t="shared" si="1150"/>
        <v>Massachusetts Ave</v>
      </c>
      <c r="V5103" t="s">
        <v>195</v>
      </c>
      <c r="W5103" t="str">
        <f t="shared" si="1151"/>
        <v>Sidney St</v>
      </c>
      <c r="X5103" t="str">
        <f>IF(ISBLANK(S5103),"Intersection","Non-Intersection")</f>
        <v>Intersection</v>
      </c>
      <c r="Y5103" t="s">
        <v>196</v>
      </c>
      <c r="Z5103" t="str">
        <f t="shared" si="115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153"/>
        <v>41275</v>
      </c>
      <c r="D5104" s="4">
        <f t="shared" si="1154"/>
        <v>0.33424657534246577</v>
      </c>
      <c r="E5104" s="3">
        <f t="shared" si="1155"/>
        <v>2013</v>
      </c>
      <c r="F5104" s="3">
        <f t="shared" si="1156"/>
        <v>5</v>
      </c>
      <c r="G5104" s="3">
        <f t="shared" si="1157"/>
        <v>3</v>
      </c>
      <c r="H5104" s="3">
        <f t="shared" si="1158"/>
        <v>14</v>
      </c>
      <c r="I5104" s="3">
        <f t="shared" si="1159"/>
        <v>45</v>
      </c>
      <c r="J5104" s="3">
        <f t="shared" si="116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161"/>
        <v>YES</v>
      </c>
      <c r="Q5104" t="str">
        <f t="shared" si="1162"/>
        <v>NO</v>
      </c>
      <c r="R5104" t="str">
        <f t="shared" si="1163"/>
        <v>NO</v>
      </c>
      <c r="T5104" t="s">
        <v>252</v>
      </c>
      <c r="U5104" t="str">
        <f t="shared" si="1150"/>
        <v>Walden St</v>
      </c>
      <c r="V5104" t="s">
        <v>186</v>
      </c>
      <c r="W5104" t="str">
        <f t="shared" si="1151"/>
        <v>Concord Ave</v>
      </c>
      <c r="X5104" t="str">
        <f>IF(ISBLANK(S5104),"Intersection","Non-Intersection")</f>
        <v>Intersection</v>
      </c>
      <c r="Y5104" t="s">
        <v>1880</v>
      </c>
      <c r="Z5104" t="str">
        <f t="shared" si="115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153"/>
        <v>41275</v>
      </c>
      <c r="D5105" s="4">
        <f t="shared" si="1154"/>
        <v>0.33698630136986302</v>
      </c>
      <c r="E5105" s="3">
        <f t="shared" si="1155"/>
        <v>2013</v>
      </c>
      <c r="F5105" s="3">
        <f t="shared" si="1156"/>
        <v>5</v>
      </c>
      <c r="G5105" s="3">
        <f t="shared" si="1157"/>
        <v>4</v>
      </c>
      <c r="H5105" s="3">
        <f t="shared" si="1158"/>
        <v>0</v>
      </c>
      <c r="I5105" s="3">
        <f t="shared" si="1159"/>
        <v>59</v>
      </c>
      <c r="J5105" s="3">
        <f t="shared" si="116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161"/>
        <v>YES</v>
      </c>
      <c r="Q5105" t="str">
        <f t="shared" si="1162"/>
        <v>NO</v>
      </c>
      <c r="R5105" t="str">
        <f t="shared" si="1163"/>
        <v>NO</v>
      </c>
      <c r="T5105" t="s">
        <v>119</v>
      </c>
      <c r="U5105" t="str">
        <f t="shared" si="1150"/>
        <v>Albany St</v>
      </c>
      <c r="V5105" t="s">
        <v>958</v>
      </c>
      <c r="W5105" t="str">
        <f t="shared" si="1151"/>
        <v>Pacific St</v>
      </c>
      <c r="X5105" t="str">
        <f>IF(ISBLANK(S5105),"Intersection","Non-Intersection")</f>
        <v>Intersection</v>
      </c>
      <c r="Y5105" t="s">
        <v>959</v>
      </c>
      <c r="Z5105" t="str">
        <f t="shared" si="115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153"/>
        <v>41275</v>
      </c>
      <c r="D5106" s="4">
        <f t="shared" si="1154"/>
        <v>0.33698630136986302</v>
      </c>
      <c r="E5106" s="3">
        <f t="shared" si="1155"/>
        <v>2013</v>
      </c>
      <c r="F5106" s="3">
        <f t="shared" si="1156"/>
        <v>5</v>
      </c>
      <c r="G5106" s="3">
        <f t="shared" si="1157"/>
        <v>4</v>
      </c>
      <c r="H5106" s="3">
        <f t="shared" si="1158"/>
        <v>8</v>
      </c>
      <c r="I5106" s="3">
        <f t="shared" si="1159"/>
        <v>13</v>
      </c>
      <c r="J5106" s="3">
        <f t="shared" si="116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161"/>
        <v>YES</v>
      </c>
      <c r="Q5106" t="str">
        <f t="shared" si="1162"/>
        <v>NO</v>
      </c>
      <c r="R5106" t="str">
        <f t="shared" si="1163"/>
        <v>NO</v>
      </c>
      <c r="T5106" t="s">
        <v>453</v>
      </c>
      <c r="U5106" t="str">
        <f t="shared" si="1150"/>
        <v>Brookline St</v>
      </c>
      <c r="V5106" t="s">
        <v>509</v>
      </c>
      <c r="W5106" t="str">
        <f t="shared" si="1151"/>
        <v>Green St</v>
      </c>
      <c r="X5106" t="str">
        <f>IF(ISBLANK(S5106),"Intersection","Non-Intersection")</f>
        <v>Intersection</v>
      </c>
      <c r="Y5106" t="s">
        <v>1369</v>
      </c>
      <c r="Z5106" t="str">
        <f t="shared" si="115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153"/>
        <v>41275</v>
      </c>
      <c r="D5107" s="4">
        <f t="shared" si="1154"/>
        <v>0.33698630136986302</v>
      </c>
      <c r="E5107" s="3">
        <f t="shared" si="1155"/>
        <v>2013</v>
      </c>
      <c r="F5107" s="3">
        <f t="shared" si="1156"/>
        <v>5</v>
      </c>
      <c r="G5107" s="3">
        <f t="shared" si="1157"/>
        <v>4</v>
      </c>
      <c r="H5107" s="3">
        <f t="shared" si="1158"/>
        <v>12</v>
      </c>
      <c r="I5107" s="3">
        <f t="shared" si="1159"/>
        <v>45</v>
      </c>
      <c r="J5107" s="3">
        <f t="shared" si="116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161"/>
        <v>YES</v>
      </c>
      <c r="Q5107" t="str">
        <f t="shared" si="1162"/>
        <v>NO</v>
      </c>
      <c r="R5107" t="str">
        <f t="shared" si="1163"/>
        <v>NO</v>
      </c>
      <c r="S5107">
        <v>87</v>
      </c>
      <c r="T5107" t="s">
        <v>1013</v>
      </c>
      <c r="U5107" t="str">
        <f t="shared" si="1150"/>
        <v>Blanchard Rd</v>
      </c>
      <c r="W5107" t="str">
        <f t="shared" si="1151"/>
        <v/>
      </c>
      <c r="X5107" t="str">
        <f>IF(ISBLANK(S5107),"Intersection","Non-Intersection")</f>
        <v>Non-Intersection</v>
      </c>
      <c r="Y5107" t="s">
        <v>5616</v>
      </c>
      <c r="Z5107" t="str">
        <f t="shared" si="115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153"/>
        <v>41275</v>
      </c>
      <c r="D5108" s="4">
        <f t="shared" si="1154"/>
        <v>0.33698630136986302</v>
      </c>
      <c r="E5108" s="3">
        <f t="shared" si="1155"/>
        <v>2013</v>
      </c>
      <c r="F5108" s="3">
        <f t="shared" si="1156"/>
        <v>5</v>
      </c>
      <c r="G5108" s="3">
        <f t="shared" si="1157"/>
        <v>4</v>
      </c>
      <c r="H5108" s="3">
        <f t="shared" si="1158"/>
        <v>13</v>
      </c>
      <c r="I5108" s="3">
        <f t="shared" si="1159"/>
        <v>19</v>
      </c>
      <c r="J5108" s="3">
        <f t="shared" si="116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161"/>
        <v>NO</v>
      </c>
      <c r="Q5108" t="str">
        <f t="shared" si="1162"/>
        <v>NO</v>
      </c>
      <c r="R5108" t="str">
        <f t="shared" si="1163"/>
        <v>YES</v>
      </c>
      <c r="S5108">
        <v>1256</v>
      </c>
      <c r="T5108" t="s">
        <v>14</v>
      </c>
      <c r="U5108" t="str">
        <f t="shared" si="1150"/>
        <v>Massachusetts Ave</v>
      </c>
      <c r="W5108" t="str">
        <f t="shared" si="1151"/>
        <v/>
      </c>
      <c r="X5108" t="str">
        <f>IF(ISBLANK(S5108),"Intersection","Non-Intersection")</f>
        <v>Non-Intersection</v>
      </c>
      <c r="Y5108" t="s">
        <v>5074</v>
      </c>
      <c r="Z5108" t="str">
        <f t="shared" si="115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153"/>
        <v>41275</v>
      </c>
      <c r="D5109" s="4">
        <f t="shared" si="1154"/>
        <v>0.33698630136986302</v>
      </c>
      <c r="E5109" s="3">
        <f t="shared" si="1155"/>
        <v>2013</v>
      </c>
      <c r="F5109" s="3">
        <f t="shared" si="1156"/>
        <v>5</v>
      </c>
      <c r="G5109" s="3">
        <f t="shared" si="1157"/>
        <v>4</v>
      </c>
      <c r="H5109" s="3">
        <f t="shared" si="1158"/>
        <v>16</v>
      </c>
      <c r="I5109" s="3">
        <f t="shared" si="1159"/>
        <v>15</v>
      </c>
      <c r="J5109" s="3">
        <f t="shared" si="116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161"/>
        <v>YES</v>
      </c>
      <c r="Q5109" t="str">
        <f t="shared" si="1162"/>
        <v>YES</v>
      </c>
      <c r="R5109" t="str">
        <f t="shared" si="1163"/>
        <v>NO</v>
      </c>
      <c r="T5109" t="s">
        <v>526</v>
      </c>
      <c r="U5109" t="str">
        <f t="shared" si="1150"/>
        <v>Springfield St</v>
      </c>
      <c r="V5109" t="s">
        <v>19</v>
      </c>
      <c r="W5109" t="str">
        <f t="shared" si="1151"/>
        <v>Cambridge St</v>
      </c>
      <c r="X5109" t="str">
        <f>IF(ISBLANK(S5109),"Intersection","Non-Intersection")</f>
        <v>Intersection</v>
      </c>
      <c r="Y5109" t="s">
        <v>4289</v>
      </c>
      <c r="Z5109" t="str">
        <f t="shared" si="115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153"/>
        <v>41275</v>
      </c>
      <c r="D5110" s="4">
        <f t="shared" si="1154"/>
        <v>0.33698630136986302</v>
      </c>
      <c r="E5110" s="3">
        <f t="shared" si="1155"/>
        <v>2013</v>
      </c>
      <c r="F5110" s="3">
        <f t="shared" si="1156"/>
        <v>5</v>
      </c>
      <c r="G5110" s="3">
        <f t="shared" si="1157"/>
        <v>4</v>
      </c>
      <c r="H5110" s="3">
        <f t="shared" si="1158"/>
        <v>16</v>
      </c>
      <c r="I5110" s="3">
        <f t="shared" si="1159"/>
        <v>34</v>
      </c>
      <c r="J5110" s="3">
        <f t="shared" si="116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161"/>
        <v>YES</v>
      </c>
      <c r="Q5110" t="str">
        <f t="shared" si="1162"/>
        <v>NO</v>
      </c>
      <c r="R5110" t="str">
        <f t="shared" si="1163"/>
        <v>NO</v>
      </c>
      <c r="T5110" t="s">
        <v>14</v>
      </c>
      <c r="U5110" t="str">
        <f t="shared" si="1150"/>
        <v>Massachusetts Ave</v>
      </c>
      <c r="V5110" t="s">
        <v>553</v>
      </c>
      <c r="W5110" t="str">
        <f t="shared" si="1151"/>
        <v>Cameron Ave</v>
      </c>
      <c r="X5110" t="str">
        <f>IF(ISBLANK(S5110),"Intersection","Non-Intersection")</f>
        <v>Intersection</v>
      </c>
      <c r="Y5110" t="s">
        <v>554</v>
      </c>
      <c r="Z5110" t="str">
        <f t="shared" si="115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153"/>
        <v>41275</v>
      </c>
      <c r="D5111" s="4">
        <f t="shared" si="1154"/>
        <v>0.33972602739726027</v>
      </c>
      <c r="E5111" s="3">
        <f t="shared" si="1155"/>
        <v>2013</v>
      </c>
      <c r="F5111" s="3">
        <f t="shared" si="1156"/>
        <v>5</v>
      </c>
      <c r="G5111" s="3">
        <f t="shared" si="1157"/>
        <v>5</v>
      </c>
      <c r="H5111" s="3">
        <f t="shared" si="1158"/>
        <v>10</v>
      </c>
      <c r="I5111" s="3">
        <f t="shared" si="1159"/>
        <v>40</v>
      </c>
      <c r="J5111" s="3">
        <f t="shared" si="116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161"/>
        <v>YES</v>
      </c>
      <c r="Q5111" t="str">
        <f t="shared" si="1162"/>
        <v>NO</v>
      </c>
      <c r="R5111" t="str">
        <f t="shared" si="1163"/>
        <v>NO</v>
      </c>
      <c r="T5111" t="s">
        <v>14</v>
      </c>
      <c r="U5111" t="str">
        <f t="shared" si="1150"/>
        <v>Massachusetts Ave</v>
      </c>
      <c r="V5111" t="s">
        <v>1389</v>
      </c>
      <c r="W5111" t="str">
        <f t="shared" si="1151"/>
        <v>Dover St</v>
      </c>
      <c r="X5111" t="str">
        <f>IF(ISBLANK(S5111),"Intersection","Non-Intersection")</f>
        <v>Intersection</v>
      </c>
      <c r="Y5111" t="s">
        <v>1390</v>
      </c>
      <c r="Z5111" t="str">
        <f t="shared" si="115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153"/>
        <v>41275</v>
      </c>
      <c r="D5112" s="4">
        <f t="shared" si="1154"/>
        <v>0.33972602739726027</v>
      </c>
      <c r="E5112" s="3">
        <f t="shared" si="1155"/>
        <v>2013</v>
      </c>
      <c r="F5112" s="3">
        <f t="shared" si="1156"/>
        <v>5</v>
      </c>
      <c r="G5112" s="3">
        <f t="shared" si="1157"/>
        <v>5</v>
      </c>
      <c r="H5112" s="3">
        <f t="shared" si="1158"/>
        <v>12</v>
      </c>
      <c r="I5112" s="3">
        <f t="shared" si="1159"/>
        <v>14</v>
      </c>
      <c r="J5112" s="3">
        <f t="shared" si="116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161"/>
        <v>YES</v>
      </c>
      <c r="Q5112" t="str">
        <f t="shared" si="1162"/>
        <v>NO</v>
      </c>
      <c r="R5112" t="str">
        <f t="shared" si="1163"/>
        <v>NO</v>
      </c>
      <c r="T5112" t="s">
        <v>316</v>
      </c>
      <c r="U5112" t="str">
        <f t="shared" si="1150"/>
        <v>Bishop Allen Dr</v>
      </c>
      <c r="W5112" t="str">
        <f t="shared" si="1151"/>
        <v/>
      </c>
      <c r="X5112" t="str">
        <f>IF(ISBLANK(S5112),"Intersection","Non-Intersection")</f>
        <v>Intersection</v>
      </c>
      <c r="Y5112" t="s">
        <v>1374</v>
      </c>
      <c r="Z5112" t="str">
        <f t="shared" si="115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153"/>
        <v>41275</v>
      </c>
      <c r="D5113" s="4">
        <f t="shared" si="1154"/>
        <v>0.33972602739726027</v>
      </c>
      <c r="E5113" s="3">
        <f t="shared" si="1155"/>
        <v>2013</v>
      </c>
      <c r="F5113" s="3">
        <f t="shared" si="1156"/>
        <v>5</v>
      </c>
      <c r="G5113" s="3">
        <f t="shared" si="1157"/>
        <v>5</v>
      </c>
      <c r="H5113" s="3">
        <f t="shared" si="1158"/>
        <v>16</v>
      </c>
      <c r="I5113" s="3">
        <f t="shared" si="1159"/>
        <v>50</v>
      </c>
      <c r="J5113" s="3">
        <f t="shared" si="116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161"/>
        <v>YES</v>
      </c>
      <c r="Q5113" t="str">
        <f t="shared" si="1162"/>
        <v>NO</v>
      </c>
      <c r="R5113" t="str">
        <f t="shared" si="1163"/>
        <v>NO</v>
      </c>
      <c r="T5113" t="s">
        <v>74</v>
      </c>
      <c r="U5113" t="str">
        <f t="shared" si="1150"/>
        <v>Hampshire St</v>
      </c>
      <c r="V5113" t="s">
        <v>587</v>
      </c>
      <c r="W5113" t="str">
        <f t="shared" si="1151"/>
        <v>Webster Ave</v>
      </c>
      <c r="X5113" t="str">
        <f>IF(ISBLANK(S5113),"Intersection","Non-Intersection")</f>
        <v>Intersection</v>
      </c>
      <c r="Y5113" t="s">
        <v>1923</v>
      </c>
      <c r="Z5113" t="str">
        <f t="shared" si="115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153"/>
        <v>41275</v>
      </c>
      <c r="D5114" s="4">
        <f t="shared" si="1154"/>
        <v>0.34246575342465752</v>
      </c>
      <c r="E5114" s="3">
        <f t="shared" si="1155"/>
        <v>2013</v>
      </c>
      <c r="F5114" s="3">
        <f t="shared" si="1156"/>
        <v>5</v>
      </c>
      <c r="G5114" s="3">
        <f t="shared" si="1157"/>
        <v>6</v>
      </c>
      <c r="H5114" s="3">
        <f t="shared" si="1158"/>
        <v>2</v>
      </c>
      <c r="I5114" s="3">
        <f t="shared" si="1159"/>
        <v>19</v>
      </c>
      <c r="J5114" s="3">
        <f t="shared" si="116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161"/>
        <v>YES</v>
      </c>
      <c r="Q5114" t="str">
        <f t="shared" si="1162"/>
        <v>NO</v>
      </c>
      <c r="R5114" t="str">
        <f t="shared" si="1163"/>
        <v>NO</v>
      </c>
      <c r="T5114" t="s">
        <v>198</v>
      </c>
      <c r="U5114" t="str">
        <f t="shared" si="1150"/>
        <v>Mount Auburn St</v>
      </c>
      <c r="V5114" t="s">
        <v>326</v>
      </c>
      <c r="W5114" t="str">
        <f t="shared" si="1151"/>
        <v>Jfk St</v>
      </c>
      <c r="X5114" t="str">
        <f>IF(ISBLANK(S5114),"Intersection","Non-Intersection")</f>
        <v>Intersection</v>
      </c>
      <c r="Y5114" t="s">
        <v>644</v>
      </c>
      <c r="Z5114" t="str">
        <f t="shared" si="115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153"/>
        <v>41275</v>
      </c>
      <c r="D5115" s="4">
        <f t="shared" si="1154"/>
        <v>0.34246575342465752</v>
      </c>
      <c r="E5115" s="3">
        <f t="shared" si="1155"/>
        <v>2013</v>
      </c>
      <c r="F5115" s="3">
        <f t="shared" si="1156"/>
        <v>5</v>
      </c>
      <c r="G5115" s="3">
        <f t="shared" si="1157"/>
        <v>6</v>
      </c>
      <c r="H5115" s="3">
        <f t="shared" si="1158"/>
        <v>7</v>
      </c>
      <c r="I5115" s="3">
        <f t="shared" si="1159"/>
        <v>50</v>
      </c>
      <c r="J5115" s="3">
        <f t="shared" si="116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161"/>
        <v>YES</v>
      </c>
      <c r="Q5115" t="str">
        <f t="shared" si="1162"/>
        <v>NO</v>
      </c>
      <c r="R5115" t="str">
        <f t="shared" si="1163"/>
        <v>NO</v>
      </c>
      <c r="T5115" t="s">
        <v>587</v>
      </c>
      <c r="U5115" t="str">
        <f t="shared" si="1150"/>
        <v>Webster Ave</v>
      </c>
      <c r="V5115" t="s">
        <v>74</v>
      </c>
      <c r="W5115" t="str">
        <f t="shared" si="1151"/>
        <v>Hampshire St</v>
      </c>
      <c r="X5115" t="str">
        <f>IF(ISBLANK(S5115),"Intersection","Non-Intersection")</f>
        <v>Intersection</v>
      </c>
      <c r="Y5115" t="s">
        <v>5618</v>
      </c>
      <c r="Z5115" t="str">
        <f t="shared" si="115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153"/>
        <v>41275</v>
      </c>
      <c r="D5116" s="4">
        <f t="shared" si="1154"/>
        <v>0.34246575342465752</v>
      </c>
      <c r="E5116" s="3">
        <f t="shared" si="1155"/>
        <v>2013</v>
      </c>
      <c r="F5116" s="3">
        <f t="shared" si="1156"/>
        <v>5</v>
      </c>
      <c r="G5116" s="3">
        <f t="shared" si="1157"/>
        <v>6</v>
      </c>
      <c r="H5116" s="3">
        <f t="shared" si="1158"/>
        <v>19</v>
      </c>
      <c r="I5116" s="3">
        <f t="shared" si="1159"/>
        <v>59</v>
      </c>
      <c r="J5116" s="3">
        <f t="shared" si="116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161"/>
        <v>YES</v>
      </c>
      <c r="Q5116" t="str">
        <f t="shared" si="1162"/>
        <v>NO</v>
      </c>
      <c r="R5116" t="str">
        <f t="shared" si="1163"/>
        <v>YES</v>
      </c>
      <c r="T5116" t="s">
        <v>32</v>
      </c>
      <c r="U5116" t="str">
        <f t="shared" si="1150"/>
        <v>Main St</v>
      </c>
      <c r="V5116" t="s">
        <v>195</v>
      </c>
      <c r="W5116" t="str">
        <f t="shared" si="1151"/>
        <v>Sidney St</v>
      </c>
      <c r="X5116" t="str">
        <f>IF(ISBLANK(S5116),"Intersection","Non-Intersection")</f>
        <v>Intersection</v>
      </c>
      <c r="Y5116" t="s">
        <v>5619</v>
      </c>
      <c r="Z5116" t="str">
        <f t="shared" si="115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153"/>
        <v>41275</v>
      </c>
      <c r="D5117" s="4">
        <f t="shared" si="1154"/>
        <v>0.34246575342465752</v>
      </c>
      <c r="E5117" s="3">
        <f t="shared" si="1155"/>
        <v>2013</v>
      </c>
      <c r="F5117" s="3">
        <f t="shared" si="1156"/>
        <v>5</v>
      </c>
      <c r="G5117" s="3">
        <f t="shared" si="1157"/>
        <v>6</v>
      </c>
      <c r="H5117" s="3">
        <f t="shared" si="1158"/>
        <v>16</v>
      </c>
      <c r="I5117" s="3">
        <f t="shared" si="1159"/>
        <v>18</v>
      </c>
      <c r="J5117" s="3">
        <f t="shared" si="116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161"/>
        <v>YES</v>
      </c>
      <c r="Q5117" t="str">
        <f t="shared" si="1162"/>
        <v>NO</v>
      </c>
      <c r="R5117" t="str">
        <f t="shared" si="1163"/>
        <v>NO</v>
      </c>
      <c r="T5117" t="s">
        <v>195</v>
      </c>
      <c r="U5117" t="str">
        <f t="shared" si="1150"/>
        <v>Sidney St</v>
      </c>
      <c r="V5117" t="s">
        <v>958</v>
      </c>
      <c r="W5117" t="str">
        <f t="shared" si="1151"/>
        <v>Pacific St</v>
      </c>
      <c r="X5117" t="str">
        <f>IF(ISBLANK(S5117),"Intersection","Non-Intersection")</f>
        <v>Intersection</v>
      </c>
      <c r="Y5117" t="s">
        <v>1415</v>
      </c>
      <c r="Z5117" t="str">
        <f t="shared" si="115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153"/>
        <v>41275</v>
      </c>
      <c r="D5118" s="4">
        <f t="shared" si="1154"/>
        <v>0.34246575342465752</v>
      </c>
      <c r="E5118" s="3">
        <f t="shared" si="1155"/>
        <v>2013</v>
      </c>
      <c r="F5118" s="3">
        <f t="shared" si="1156"/>
        <v>5</v>
      </c>
      <c r="G5118" s="3">
        <f t="shared" si="1157"/>
        <v>6</v>
      </c>
      <c r="H5118" s="3">
        <f t="shared" si="1158"/>
        <v>21</v>
      </c>
      <c r="I5118" s="3">
        <f t="shared" si="1159"/>
        <v>40</v>
      </c>
      <c r="J5118" s="3">
        <f t="shared" si="116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161"/>
        <v>YES</v>
      </c>
      <c r="Q5118" t="str">
        <f t="shared" si="1162"/>
        <v>NO</v>
      </c>
      <c r="R5118" t="str">
        <f t="shared" si="1163"/>
        <v>NO</v>
      </c>
      <c r="T5118" t="s">
        <v>97</v>
      </c>
      <c r="U5118" t="str">
        <f t="shared" si="1150"/>
        <v>Peabody St</v>
      </c>
      <c r="V5118" t="s">
        <v>14</v>
      </c>
      <c r="W5118" t="str">
        <f t="shared" si="1151"/>
        <v>Massachusetts Ave</v>
      </c>
      <c r="X5118" t="str">
        <f>IF(ISBLANK(S5118),"Intersection","Non-Intersection")</f>
        <v>Intersection</v>
      </c>
      <c r="Y5118" t="s">
        <v>98</v>
      </c>
      <c r="Z5118" t="str">
        <f t="shared" si="115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153"/>
        <v>41275</v>
      </c>
      <c r="D5119" s="4">
        <f t="shared" si="1154"/>
        <v>0.34520547945205482</v>
      </c>
      <c r="E5119" s="3">
        <f t="shared" si="1155"/>
        <v>2013</v>
      </c>
      <c r="F5119" s="3">
        <f t="shared" si="1156"/>
        <v>5</v>
      </c>
      <c r="G5119" s="3">
        <f t="shared" si="1157"/>
        <v>7</v>
      </c>
      <c r="H5119" s="3">
        <f t="shared" si="1158"/>
        <v>20</v>
      </c>
      <c r="I5119" s="3">
        <f t="shared" si="1159"/>
        <v>0</v>
      </c>
      <c r="J5119" s="3">
        <f t="shared" si="116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161"/>
        <v>YES</v>
      </c>
      <c r="Q5119" t="str">
        <f t="shared" si="1162"/>
        <v>YES</v>
      </c>
      <c r="R5119" t="str">
        <f t="shared" si="1163"/>
        <v>NO</v>
      </c>
      <c r="S5119">
        <v>2443</v>
      </c>
      <c r="T5119" t="s">
        <v>14</v>
      </c>
      <c r="U5119" t="str">
        <f t="shared" si="1150"/>
        <v>Massachusetts Ave</v>
      </c>
      <c r="W5119" t="str">
        <f t="shared" si="1151"/>
        <v/>
      </c>
      <c r="X5119" t="str">
        <f>IF(ISBLANK(S5119),"Intersection","Non-Intersection")</f>
        <v>Non-Intersection</v>
      </c>
      <c r="Y5119" t="s">
        <v>5621</v>
      </c>
      <c r="Z5119" t="str">
        <f t="shared" si="115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153"/>
        <v>41275</v>
      </c>
      <c r="D5120" s="4">
        <f t="shared" si="1154"/>
        <v>0.34520547945205482</v>
      </c>
      <c r="E5120" s="3">
        <f t="shared" si="1155"/>
        <v>2013</v>
      </c>
      <c r="F5120" s="3">
        <f t="shared" si="1156"/>
        <v>5</v>
      </c>
      <c r="G5120" s="3">
        <f t="shared" si="1157"/>
        <v>7</v>
      </c>
      <c r="H5120" s="3">
        <f t="shared" si="1158"/>
        <v>12</v>
      </c>
      <c r="I5120" s="3">
        <f t="shared" si="1159"/>
        <v>46</v>
      </c>
      <c r="J5120" s="3">
        <f t="shared" si="116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161"/>
        <v>YES</v>
      </c>
      <c r="Q5120" t="str">
        <f t="shared" si="1162"/>
        <v>YES</v>
      </c>
      <c r="R5120" t="str">
        <f t="shared" si="1163"/>
        <v>NO</v>
      </c>
      <c r="S5120">
        <v>6</v>
      </c>
      <c r="T5120" t="s">
        <v>351</v>
      </c>
      <c r="U5120" t="str">
        <f t="shared" si="1150"/>
        <v>Cambridge Ctr</v>
      </c>
      <c r="V5120" t="s">
        <v>105</v>
      </c>
      <c r="W5120" t="str">
        <f t="shared" si="1151"/>
        <v>Broadway</v>
      </c>
      <c r="X5120" t="str">
        <f>IF(ISBLANK(S5120),"Intersection","Non-Intersection")</f>
        <v>Non-Intersection</v>
      </c>
      <c r="Y5120" t="s">
        <v>5623</v>
      </c>
      <c r="Z5120" t="str">
        <f t="shared" si="115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153"/>
        <v>41275</v>
      </c>
      <c r="D5121" s="4">
        <f t="shared" si="1154"/>
        <v>0.34520547945205482</v>
      </c>
      <c r="E5121" s="3">
        <f t="shared" si="1155"/>
        <v>2013</v>
      </c>
      <c r="F5121" s="3">
        <f t="shared" si="1156"/>
        <v>5</v>
      </c>
      <c r="G5121" s="3">
        <f t="shared" si="1157"/>
        <v>7</v>
      </c>
      <c r="H5121" s="3">
        <f t="shared" si="1158"/>
        <v>15</v>
      </c>
      <c r="I5121" s="3">
        <f t="shared" si="1159"/>
        <v>24</v>
      </c>
      <c r="J5121" s="3">
        <f t="shared" si="116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161"/>
        <v>YES</v>
      </c>
      <c r="Q5121" t="str">
        <f t="shared" si="1162"/>
        <v>NO</v>
      </c>
      <c r="R5121" t="str">
        <f t="shared" si="1163"/>
        <v>YES</v>
      </c>
      <c r="T5121" t="s">
        <v>15</v>
      </c>
      <c r="U5121" t="str">
        <f t="shared" si="1150"/>
        <v>Rindge Ave</v>
      </c>
      <c r="V5121" t="s">
        <v>2668</v>
      </c>
      <c r="W5121" t="str">
        <f t="shared" si="1151"/>
        <v>Yerxa Rd</v>
      </c>
      <c r="X5121" t="str">
        <f>IF(ISBLANK(S5121),"Intersection","Non-Intersection")</f>
        <v>Intersection</v>
      </c>
      <c r="Y5121" t="s">
        <v>5462</v>
      </c>
      <c r="Z5121" t="str">
        <f t="shared" si="115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153"/>
        <v>41275</v>
      </c>
      <c r="D5122" s="4">
        <f t="shared" si="1154"/>
        <v>0.34520547945205482</v>
      </c>
      <c r="E5122" s="3">
        <f t="shared" si="1155"/>
        <v>2013</v>
      </c>
      <c r="F5122" s="3">
        <f t="shared" si="1156"/>
        <v>5</v>
      </c>
      <c r="G5122" s="3">
        <f t="shared" si="1157"/>
        <v>7</v>
      </c>
      <c r="H5122" s="3">
        <f t="shared" si="1158"/>
        <v>15</v>
      </c>
      <c r="I5122" s="3">
        <f t="shared" si="1159"/>
        <v>34</v>
      </c>
      <c r="J5122" s="3">
        <f t="shared" si="116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161"/>
        <v>YES</v>
      </c>
      <c r="Q5122" t="str">
        <f t="shared" si="1162"/>
        <v>NO</v>
      </c>
      <c r="R5122" t="str">
        <f t="shared" si="1163"/>
        <v>NO</v>
      </c>
      <c r="S5122">
        <v>51</v>
      </c>
      <c r="T5122" t="s">
        <v>101</v>
      </c>
      <c r="U5122" t="str">
        <f t="shared" si="1150"/>
        <v>Columbia St</v>
      </c>
      <c r="W5122" t="str">
        <f t="shared" si="1151"/>
        <v/>
      </c>
      <c r="X5122" t="str">
        <f>IF(ISBLANK(S5122),"Intersection","Non-Intersection")</f>
        <v>Non-Intersection</v>
      </c>
      <c r="Y5122" t="s">
        <v>5625</v>
      </c>
      <c r="Z5122" t="str">
        <f t="shared" si="115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153"/>
        <v>41275</v>
      </c>
      <c r="D5123" s="4">
        <f t="shared" si="1154"/>
        <v>0.34520547945205482</v>
      </c>
      <c r="E5123" s="3">
        <f t="shared" si="1155"/>
        <v>2013</v>
      </c>
      <c r="F5123" s="3">
        <f t="shared" si="1156"/>
        <v>5</v>
      </c>
      <c r="G5123" s="3">
        <f t="shared" si="1157"/>
        <v>7</v>
      </c>
      <c r="H5123" s="3">
        <f t="shared" si="1158"/>
        <v>18</v>
      </c>
      <c r="I5123" s="3">
        <f t="shared" si="1159"/>
        <v>20</v>
      </c>
      <c r="J5123" s="3">
        <f t="shared" si="116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161"/>
        <v>YES</v>
      </c>
      <c r="Q5123" t="str">
        <f t="shared" si="1162"/>
        <v>NO</v>
      </c>
      <c r="R5123" t="str">
        <f t="shared" si="1163"/>
        <v>NO</v>
      </c>
      <c r="T5123" t="s">
        <v>24</v>
      </c>
      <c r="U5123" t="str">
        <f t="shared" ref="U5123:U5186" si="1164">TRIM(PROPER(T5123))</f>
        <v>Coolidge Ave</v>
      </c>
      <c r="V5123" t="s">
        <v>198</v>
      </c>
      <c r="W5123" t="str">
        <f t="shared" ref="W5123:W5186" si="1165">TRIM(PROPER(V5123))</f>
        <v>Mount Auburn St</v>
      </c>
      <c r="X5123" t="str">
        <f>IF(ISBLANK(S5123),"Intersection","Non-Intersection")</f>
        <v>Intersection</v>
      </c>
      <c r="Y5123" t="s">
        <v>3025</v>
      </c>
      <c r="Z5123" t="str">
        <f t="shared" ref="Z5123:Z5186" si="1166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153"/>
        <v>41275</v>
      </c>
      <c r="D5124" s="4">
        <f t="shared" si="1154"/>
        <v>0.34794520547945207</v>
      </c>
      <c r="E5124" s="3">
        <f t="shared" si="1155"/>
        <v>2013</v>
      </c>
      <c r="F5124" s="3">
        <f t="shared" si="1156"/>
        <v>5</v>
      </c>
      <c r="G5124" s="3">
        <f t="shared" si="1157"/>
        <v>8</v>
      </c>
      <c r="H5124" s="3">
        <f t="shared" si="1158"/>
        <v>10</v>
      </c>
      <c r="I5124" s="3">
        <f t="shared" si="1159"/>
        <v>15</v>
      </c>
      <c r="J5124" s="3">
        <f t="shared" si="116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161"/>
        <v>YES</v>
      </c>
      <c r="Q5124" t="str">
        <f t="shared" si="1162"/>
        <v>NO</v>
      </c>
      <c r="R5124" t="str">
        <f t="shared" si="1163"/>
        <v>NO</v>
      </c>
      <c r="S5124">
        <v>20</v>
      </c>
      <c r="T5124" t="s">
        <v>326</v>
      </c>
      <c r="U5124" t="str">
        <f t="shared" si="1164"/>
        <v>Jfk St</v>
      </c>
      <c r="W5124" t="str">
        <f t="shared" si="1165"/>
        <v/>
      </c>
      <c r="X5124" t="str">
        <f>IF(ISBLANK(S5124),"Intersection","Non-Intersection")</f>
        <v>Non-Intersection</v>
      </c>
      <c r="Y5124" t="s">
        <v>4337</v>
      </c>
      <c r="Z5124" t="str">
        <f t="shared" si="1166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153"/>
        <v>41275</v>
      </c>
      <c r="D5125" s="4">
        <f t="shared" si="1154"/>
        <v>0.34794520547945207</v>
      </c>
      <c r="E5125" s="3">
        <f t="shared" si="1155"/>
        <v>2013</v>
      </c>
      <c r="F5125" s="3">
        <f t="shared" si="1156"/>
        <v>5</v>
      </c>
      <c r="G5125" s="3">
        <f t="shared" si="1157"/>
        <v>8</v>
      </c>
      <c r="H5125" s="3">
        <f t="shared" si="1158"/>
        <v>8</v>
      </c>
      <c r="I5125" s="3">
        <f t="shared" si="1159"/>
        <v>49</v>
      </c>
      <c r="J5125" s="3">
        <f t="shared" si="116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161"/>
        <v>YES</v>
      </c>
      <c r="Q5125" t="str">
        <f t="shared" si="1162"/>
        <v>NO</v>
      </c>
      <c r="R5125" t="str">
        <f t="shared" si="1163"/>
        <v>NO</v>
      </c>
      <c r="T5125" t="s">
        <v>14</v>
      </c>
      <c r="U5125" t="str">
        <f t="shared" si="1164"/>
        <v>Massachusetts Ave</v>
      </c>
      <c r="V5125" t="s">
        <v>252</v>
      </c>
      <c r="W5125" t="str">
        <f t="shared" si="1165"/>
        <v>Walden St</v>
      </c>
      <c r="X5125" t="str">
        <f>IF(ISBLANK(S5125),"Intersection","Non-Intersection")</f>
        <v>Intersection</v>
      </c>
      <c r="Y5125" t="s">
        <v>2600</v>
      </c>
      <c r="Z5125" t="str">
        <f t="shared" si="1166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153"/>
        <v>41275</v>
      </c>
      <c r="D5126" s="4">
        <f t="shared" si="1154"/>
        <v>0.35068493150684932</v>
      </c>
      <c r="E5126" s="3">
        <f t="shared" si="1155"/>
        <v>2013</v>
      </c>
      <c r="F5126" s="3">
        <f t="shared" si="1156"/>
        <v>5</v>
      </c>
      <c r="G5126" s="3">
        <f t="shared" si="1157"/>
        <v>9</v>
      </c>
      <c r="H5126" s="3">
        <f t="shared" si="1158"/>
        <v>13</v>
      </c>
      <c r="I5126" s="3">
        <f t="shared" si="1159"/>
        <v>40</v>
      </c>
      <c r="J5126" s="3">
        <f t="shared" si="116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161"/>
        <v>YES</v>
      </c>
      <c r="Q5126" t="str">
        <f t="shared" si="1162"/>
        <v>NO</v>
      </c>
      <c r="R5126" t="str">
        <f t="shared" si="1163"/>
        <v>NO</v>
      </c>
      <c r="S5126" t="s">
        <v>5627</v>
      </c>
      <c r="T5126" t="s">
        <v>198</v>
      </c>
      <c r="U5126" t="str">
        <f t="shared" si="1164"/>
        <v>Mount Auburn St</v>
      </c>
      <c r="W5126" t="str">
        <f t="shared" si="1165"/>
        <v/>
      </c>
      <c r="X5126" t="str">
        <f>IF(ISBLANK(S5126),"Intersection","Non-Intersection")</f>
        <v>Non-Intersection</v>
      </c>
      <c r="Y5126" t="s">
        <v>5628</v>
      </c>
      <c r="Z5126" t="str">
        <f t="shared" si="1166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153"/>
        <v>41275</v>
      </c>
      <c r="D5127" s="4">
        <f t="shared" si="1154"/>
        <v>0.35068493150684932</v>
      </c>
      <c r="E5127" s="3">
        <f t="shared" si="1155"/>
        <v>2013</v>
      </c>
      <c r="F5127" s="3">
        <f t="shared" si="1156"/>
        <v>5</v>
      </c>
      <c r="G5127" s="3">
        <f t="shared" si="1157"/>
        <v>9</v>
      </c>
      <c r="H5127" s="3">
        <f t="shared" si="1158"/>
        <v>15</v>
      </c>
      <c r="I5127" s="3">
        <f t="shared" si="1159"/>
        <v>30</v>
      </c>
      <c r="J5127" s="3">
        <f t="shared" si="116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161"/>
        <v>YES</v>
      </c>
      <c r="Q5127" t="str">
        <f t="shared" si="1162"/>
        <v>NO</v>
      </c>
      <c r="R5127" t="str">
        <f t="shared" si="1163"/>
        <v>NO</v>
      </c>
      <c r="T5127" t="s">
        <v>260</v>
      </c>
      <c r="U5127" t="str">
        <f t="shared" si="1164"/>
        <v>Third St</v>
      </c>
      <c r="W5127" t="str">
        <f t="shared" si="1165"/>
        <v/>
      </c>
      <c r="X5127" t="str">
        <f>IF(ISBLANK(S5127),"Intersection","Non-Intersection")</f>
        <v>Intersection</v>
      </c>
      <c r="Y5127" t="s">
        <v>2589</v>
      </c>
      <c r="Z5127" t="str">
        <f t="shared" si="1166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153"/>
        <v>41275</v>
      </c>
      <c r="D5128" s="4">
        <f t="shared" si="1154"/>
        <v>0.35068493150684932</v>
      </c>
      <c r="E5128" s="3">
        <f t="shared" si="1155"/>
        <v>2013</v>
      </c>
      <c r="F5128" s="3">
        <f t="shared" si="1156"/>
        <v>5</v>
      </c>
      <c r="G5128" s="3">
        <f t="shared" si="1157"/>
        <v>9</v>
      </c>
      <c r="H5128" s="3">
        <f t="shared" si="1158"/>
        <v>18</v>
      </c>
      <c r="I5128" s="3">
        <f t="shared" si="1159"/>
        <v>11</v>
      </c>
      <c r="J5128" s="3">
        <f t="shared" si="116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161"/>
        <v>YES</v>
      </c>
      <c r="Q5128" t="str">
        <f t="shared" si="1162"/>
        <v>NO</v>
      </c>
      <c r="R5128" t="str">
        <f t="shared" si="1163"/>
        <v>NO</v>
      </c>
      <c r="T5128" t="s">
        <v>37</v>
      </c>
      <c r="U5128" t="str">
        <f t="shared" si="1164"/>
        <v>Magazine St</v>
      </c>
      <c r="V5128" t="s">
        <v>42</v>
      </c>
      <c r="W5128" t="str">
        <f t="shared" si="1165"/>
        <v>Putnam Ave</v>
      </c>
      <c r="X5128" t="str">
        <f>IF(ISBLANK(S5128),"Intersection","Non-Intersection")</f>
        <v>Intersection</v>
      </c>
      <c r="Y5128" t="s">
        <v>801</v>
      </c>
      <c r="Z5128" t="str">
        <f t="shared" si="1166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153"/>
        <v>41275</v>
      </c>
      <c r="D5129" s="4">
        <f t="shared" si="1154"/>
        <v>0.35068493150684932</v>
      </c>
      <c r="E5129" s="3">
        <f t="shared" si="1155"/>
        <v>2013</v>
      </c>
      <c r="F5129" s="3">
        <f t="shared" si="1156"/>
        <v>5</v>
      </c>
      <c r="G5129" s="3">
        <f t="shared" si="1157"/>
        <v>9</v>
      </c>
      <c r="H5129" s="3">
        <f t="shared" si="1158"/>
        <v>17</v>
      </c>
      <c r="I5129" s="3">
        <f t="shared" si="1159"/>
        <v>51</v>
      </c>
      <c r="J5129" s="3">
        <f t="shared" si="116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161"/>
        <v>YES</v>
      </c>
      <c r="Q5129" t="str">
        <f t="shared" si="1162"/>
        <v>NO</v>
      </c>
      <c r="R5129" t="str">
        <f t="shared" si="1163"/>
        <v>NO</v>
      </c>
      <c r="S5129">
        <v>40</v>
      </c>
      <c r="T5129" t="s">
        <v>86</v>
      </c>
      <c r="U5129" t="str">
        <f t="shared" si="1164"/>
        <v>Granite St</v>
      </c>
      <c r="W5129" t="str">
        <f t="shared" si="1165"/>
        <v/>
      </c>
      <c r="X5129" t="str">
        <f>IF(ISBLANK(S5129),"Intersection","Non-Intersection")</f>
        <v>Non-Intersection</v>
      </c>
      <c r="Y5129" t="s">
        <v>87</v>
      </c>
      <c r="Z5129" t="str">
        <f t="shared" si="1166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153"/>
        <v>41275</v>
      </c>
      <c r="D5130" s="4">
        <f t="shared" si="1154"/>
        <v>0.35068493150684932</v>
      </c>
      <c r="E5130" s="3">
        <f t="shared" si="1155"/>
        <v>2013</v>
      </c>
      <c r="F5130" s="3">
        <f t="shared" si="1156"/>
        <v>5</v>
      </c>
      <c r="G5130" s="3">
        <f t="shared" si="1157"/>
        <v>9</v>
      </c>
      <c r="H5130" s="3">
        <f t="shared" si="1158"/>
        <v>17</v>
      </c>
      <c r="I5130" s="3">
        <f t="shared" si="1159"/>
        <v>0</v>
      </c>
      <c r="J5130" s="3">
        <f t="shared" si="116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161"/>
        <v>YES</v>
      </c>
      <c r="Q5130" t="str">
        <f t="shared" si="1162"/>
        <v>NO</v>
      </c>
      <c r="R5130" t="str">
        <f t="shared" si="1163"/>
        <v>NO</v>
      </c>
      <c r="S5130">
        <v>260</v>
      </c>
      <c r="T5130" t="s">
        <v>509</v>
      </c>
      <c r="U5130" t="str">
        <f t="shared" si="1164"/>
        <v>Green St</v>
      </c>
      <c r="W5130" t="str">
        <f t="shared" si="1165"/>
        <v/>
      </c>
      <c r="X5130" t="str">
        <f>IF(ISBLANK(S5130),"Intersection","Non-Intersection")</f>
        <v>Non-Intersection</v>
      </c>
      <c r="Y5130" t="s">
        <v>5630</v>
      </c>
      <c r="Z5130" t="str">
        <f t="shared" si="1166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153"/>
        <v>41275</v>
      </c>
      <c r="D5131" s="4">
        <f t="shared" si="1154"/>
        <v>0.35068493150684932</v>
      </c>
      <c r="E5131" s="3">
        <f t="shared" si="1155"/>
        <v>2013</v>
      </c>
      <c r="F5131" s="3">
        <f t="shared" si="1156"/>
        <v>5</v>
      </c>
      <c r="G5131" s="3">
        <f t="shared" si="1157"/>
        <v>9</v>
      </c>
      <c r="H5131" s="3">
        <f t="shared" si="1158"/>
        <v>12</v>
      </c>
      <c r="I5131" s="3">
        <f t="shared" si="1159"/>
        <v>59</v>
      </c>
      <c r="J5131" s="3">
        <f t="shared" si="116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161"/>
        <v>YES</v>
      </c>
      <c r="Q5131" t="str">
        <f t="shared" si="1162"/>
        <v>NO</v>
      </c>
      <c r="R5131" t="str">
        <f t="shared" si="1163"/>
        <v>NO</v>
      </c>
      <c r="S5131">
        <v>30</v>
      </c>
      <c r="T5131" t="s">
        <v>4061</v>
      </c>
      <c r="U5131" t="str">
        <f t="shared" si="1164"/>
        <v>Pilgrim St</v>
      </c>
      <c r="W5131" t="str">
        <f t="shared" si="1165"/>
        <v/>
      </c>
      <c r="X5131" t="str">
        <f>IF(ISBLANK(S5131),"Intersection","Non-Intersection")</f>
        <v>Non-Intersection</v>
      </c>
      <c r="Y5131" t="s">
        <v>5449</v>
      </c>
      <c r="Z5131" t="str">
        <f t="shared" si="1166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153"/>
        <v>41275</v>
      </c>
      <c r="D5132" s="4">
        <f t="shared" si="1154"/>
        <v>0.35342465753424657</v>
      </c>
      <c r="E5132" s="3">
        <f t="shared" si="1155"/>
        <v>2013</v>
      </c>
      <c r="F5132" s="3">
        <f t="shared" si="1156"/>
        <v>5</v>
      </c>
      <c r="G5132" s="3">
        <f t="shared" si="1157"/>
        <v>10</v>
      </c>
      <c r="H5132" s="3">
        <f t="shared" si="1158"/>
        <v>2</v>
      </c>
      <c r="I5132" s="3">
        <f t="shared" si="1159"/>
        <v>29</v>
      </c>
      <c r="J5132" s="3">
        <f t="shared" si="116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161"/>
        <v>YES</v>
      </c>
      <c r="Q5132" t="str">
        <f t="shared" si="1162"/>
        <v>NO</v>
      </c>
      <c r="R5132" t="str">
        <f t="shared" si="1163"/>
        <v>NO</v>
      </c>
      <c r="T5132" t="s">
        <v>963</v>
      </c>
      <c r="U5132" t="str">
        <f t="shared" si="1164"/>
        <v>Roosevelt Towers</v>
      </c>
      <c r="W5132" t="str">
        <f t="shared" si="1165"/>
        <v/>
      </c>
      <c r="X5132" t="str">
        <f>IF(ISBLANK(S5132),"Intersection","Non-Intersection")</f>
        <v>Intersection</v>
      </c>
      <c r="Y5132" t="s">
        <v>5632</v>
      </c>
      <c r="Z5132" t="str">
        <f t="shared" si="1166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153"/>
        <v>41275</v>
      </c>
      <c r="D5133" s="4">
        <f t="shared" si="1154"/>
        <v>0.35342465753424657</v>
      </c>
      <c r="E5133" s="3">
        <f t="shared" si="1155"/>
        <v>2013</v>
      </c>
      <c r="F5133" s="3">
        <f t="shared" si="1156"/>
        <v>5</v>
      </c>
      <c r="G5133" s="3">
        <f t="shared" si="1157"/>
        <v>10</v>
      </c>
      <c r="H5133" s="3">
        <f t="shared" si="1158"/>
        <v>11</v>
      </c>
      <c r="I5133" s="3">
        <f t="shared" si="1159"/>
        <v>45</v>
      </c>
      <c r="J5133" s="3">
        <f t="shared" si="116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161"/>
        <v>YES</v>
      </c>
      <c r="Q5133" t="str">
        <f t="shared" si="1162"/>
        <v>NO</v>
      </c>
      <c r="R5133" t="str">
        <f t="shared" si="1163"/>
        <v>NO</v>
      </c>
      <c r="S5133">
        <v>1001</v>
      </c>
      <c r="T5133" t="s">
        <v>19</v>
      </c>
      <c r="U5133" t="str">
        <f t="shared" si="1164"/>
        <v>Cambridge St</v>
      </c>
      <c r="W5133" t="str">
        <f t="shared" si="1165"/>
        <v/>
      </c>
      <c r="X5133" t="str">
        <f>IF(ISBLANK(S5133),"Intersection","Non-Intersection")</f>
        <v>Non-Intersection</v>
      </c>
      <c r="Y5133" t="s">
        <v>2171</v>
      </c>
      <c r="Z5133" t="str">
        <f t="shared" si="1166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153"/>
        <v>41275</v>
      </c>
      <c r="D5134" s="4">
        <f t="shared" si="1154"/>
        <v>0.35342465753424657</v>
      </c>
      <c r="E5134" s="3">
        <f t="shared" si="1155"/>
        <v>2013</v>
      </c>
      <c r="F5134" s="3">
        <f t="shared" si="1156"/>
        <v>5</v>
      </c>
      <c r="G5134" s="3">
        <f t="shared" si="1157"/>
        <v>10</v>
      </c>
      <c r="H5134" s="3">
        <f t="shared" si="1158"/>
        <v>14</v>
      </c>
      <c r="I5134" s="3">
        <f t="shared" si="1159"/>
        <v>29</v>
      </c>
      <c r="J5134" s="3">
        <f t="shared" si="116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161"/>
        <v>YES</v>
      </c>
      <c r="Q5134" t="str">
        <f t="shared" si="1162"/>
        <v>NO</v>
      </c>
      <c r="R5134" t="str">
        <f t="shared" si="1163"/>
        <v>NO</v>
      </c>
      <c r="T5134" t="s">
        <v>209</v>
      </c>
      <c r="U5134" t="str">
        <f t="shared" si="1164"/>
        <v>Binney St</v>
      </c>
      <c r="V5134" t="s">
        <v>260</v>
      </c>
      <c r="W5134" t="str">
        <f t="shared" si="1165"/>
        <v>Third St</v>
      </c>
      <c r="X5134" t="str">
        <f>IF(ISBLANK(S5134),"Intersection","Non-Intersection")</f>
        <v>Intersection</v>
      </c>
      <c r="Y5134" t="s">
        <v>531</v>
      </c>
      <c r="Z5134" t="str">
        <f t="shared" si="1166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153"/>
        <v>41275</v>
      </c>
      <c r="D5135" s="4">
        <f t="shared" si="1154"/>
        <v>0.35342465753424657</v>
      </c>
      <c r="E5135" s="3">
        <f t="shared" si="1155"/>
        <v>2013</v>
      </c>
      <c r="F5135" s="3">
        <f t="shared" si="1156"/>
        <v>5</v>
      </c>
      <c r="G5135" s="3">
        <f t="shared" si="1157"/>
        <v>10</v>
      </c>
      <c r="H5135" s="3">
        <f t="shared" si="1158"/>
        <v>19</v>
      </c>
      <c r="I5135" s="3">
        <f t="shared" si="1159"/>
        <v>27</v>
      </c>
      <c r="J5135" s="3">
        <f t="shared" si="116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161"/>
        <v>YES</v>
      </c>
      <c r="Q5135" t="str">
        <f t="shared" si="1162"/>
        <v>YES</v>
      </c>
      <c r="R5135" t="str">
        <f t="shared" si="1163"/>
        <v>NO</v>
      </c>
      <c r="S5135">
        <v>204</v>
      </c>
      <c r="T5135" t="s">
        <v>342</v>
      </c>
      <c r="U5135" t="str">
        <f t="shared" si="1164"/>
        <v>Prospect St</v>
      </c>
      <c r="W5135" t="str">
        <f t="shared" si="1165"/>
        <v/>
      </c>
      <c r="X5135" t="str">
        <f>IF(ISBLANK(S5135),"Intersection","Non-Intersection")</f>
        <v>Non-Intersection</v>
      </c>
      <c r="Y5135" t="s">
        <v>5633</v>
      </c>
      <c r="Z5135" t="str">
        <f t="shared" si="1166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153"/>
        <v>41275</v>
      </c>
      <c r="D5136" s="4">
        <f t="shared" si="1154"/>
        <v>0.35616438356164382</v>
      </c>
      <c r="E5136" s="3">
        <f t="shared" si="1155"/>
        <v>2013</v>
      </c>
      <c r="F5136" s="3">
        <f t="shared" si="1156"/>
        <v>5</v>
      </c>
      <c r="G5136" s="3">
        <f t="shared" si="1157"/>
        <v>11</v>
      </c>
      <c r="H5136" s="3">
        <f t="shared" si="1158"/>
        <v>11</v>
      </c>
      <c r="I5136" s="3">
        <f t="shared" si="1159"/>
        <v>30</v>
      </c>
      <c r="J5136" s="3">
        <f t="shared" si="116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161"/>
        <v>YES</v>
      </c>
      <c r="Q5136" t="str">
        <f t="shared" si="1162"/>
        <v>NO</v>
      </c>
      <c r="R5136" t="str">
        <f t="shared" si="1163"/>
        <v>NO</v>
      </c>
      <c r="T5136" t="s">
        <v>260</v>
      </c>
      <c r="U5136" t="str">
        <f t="shared" si="1164"/>
        <v>Third St</v>
      </c>
      <c r="V5136" t="s">
        <v>146</v>
      </c>
      <c r="W5136" t="str">
        <f t="shared" si="1165"/>
        <v>Spring St</v>
      </c>
      <c r="X5136" t="str">
        <f>IF(ISBLANK(S5136),"Intersection","Non-Intersection")</f>
        <v>Intersection</v>
      </c>
      <c r="Y5136" t="s">
        <v>544</v>
      </c>
      <c r="Z5136" t="str">
        <f t="shared" si="1166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153"/>
        <v>41275</v>
      </c>
      <c r="D5137" s="4">
        <f t="shared" si="1154"/>
        <v>0.35616438356164382</v>
      </c>
      <c r="E5137" s="3">
        <f t="shared" si="1155"/>
        <v>2013</v>
      </c>
      <c r="F5137" s="3">
        <f t="shared" si="1156"/>
        <v>5</v>
      </c>
      <c r="G5137" s="3">
        <f t="shared" si="1157"/>
        <v>11</v>
      </c>
      <c r="H5137" s="3">
        <f t="shared" si="1158"/>
        <v>20</v>
      </c>
      <c r="I5137" s="3">
        <f t="shared" si="1159"/>
        <v>49</v>
      </c>
      <c r="J5137" s="3">
        <f t="shared" si="116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161"/>
        <v>YES</v>
      </c>
      <c r="Q5137" t="str">
        <f t="shared" si="1162"/>
        <v>NO</v>
      </c>
      <c r="R5137" t="str">
        <f t="shared" si="1163"/>
        <v>NO</v>
      </c>
      <c r="S5137">
        <v>69</v>
      </c>
      <c r="T5137" t="s">
        <v>41</v>
      </c>
      <c r="U5137" t="str">
        <f t="shared" si="1164"/>
        <v>River St</v>
      </c>
      <c r="W5137" t="str">
        <f t="shared" si="1165"/>
        <v/>
      </c>
      <c r="X5137" t="str">
        <f>IF(ISBLANK(S5137),"Intersection","Non-Intersection")</f>
        <v>Non-Intersection</v>
      </c>
      <c r="Y5137" t="s">
        <v>5635</v>
      </c>
      <c r="Z5137" t="str">
        <f t="shared" si="1166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153"/>
        <v>41275</v>
      </c>
      <c r="D5138" s="4">
        <f t="shared" si="1154"/>
        <v>0.35616438356164382</v>
      </c>
      <c r="E5138" s="3">
        <f t="shared" si="1155"/>
        <v>2013</v>
      </c>
      <c r="F5138" s="3">
        <f t="shared" si="1156"/>
        <v>5</v>
      </c>
      <c r="G5138" s="3">
        <f t="shared" si="1157"/>
        <v>11</v>
      </c>
      <c r="H5138" s="3">
        <f t="shared" si="1158"/>
        <v>21</v>
      </c>
      <c r="I5138" s="3">
        <f t="shared" si="1159"/>
        <v>47</v>
      </c>
      <c r="J5138" s="3">
        <f t="shared" si="116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161"/>
        <v>YES</v>
      </c>
      <c r="Q5138" t="str">
        <f t="shared" si="1162"/>
        <v>NO</v>
      </c>
      <c r="R5138" t="str">
        <f t="shared" si="1163"/>
        <v>NO</v>
      </c>
      <c r="T5138" t="s">
        <v>14</v>
      </c>
      <c r="U5138" t="str">
        <f t="shared" si="1164"/>
        <v>Massachusetts Ave</v>
      </c>
      <c r="V5138" t="s">
        <v>185</v>
      </c>
      <c r="W5138" t="str">
        <f t="shared" si="1165"/>
        <v>Garden St</v>
      </c>
      <c r="X5138" t="str">
        <f>IF(ISBLANK(S5138),"Intersection","Non-Intersection")</f>
        <v>Intersection</v>
      </c>
      <c r="Y5138" t="s">
        <v>1247</v>
      </c>
      <c r="Z5138" t="str">
        <f t="shared" si="1166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153"/>
        <v>41275</v>
      </c>
      <c r="D5139" s="4">
        <f t="shared" si="1154"/>
        <v>0.35616438356164382</v>
      </c>
      <c r="E5139" s="3">
        <f t="shared" si="1155"/>
        <v>2013</v>
      </c>
      <c r="F5139" s="3">
        <f t="shared" si="1156"/>
        <v>5</v>
      </c>
      <c r="G5139" s="3">
        <f t="shared" si="1157"/>
        <v>11</v>
      </c>
      <c r="H5139" s="3">
        <f t="shared" si="1158"/>
        <v>18</v>
      </c>
      <c r="I5139" s="3">
        <f t="shared" si="1159"/>
        <v>59</v>
      </c>
      <c r="J5139" s="3">
        <f t="shared" si="116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161"/>
        <v>YES</v>
      </c>
      <c r="Q5139" t="str">
        <f t="shared" si="1162"/>
        <v>NO</v>
      </c>
      <c r="R5139" t="str">
        <f t="shared" si="1163"/>
        <v>NO</v>
      </c>
      <c r="S5139">
        <v>1713</v>
      </c>
      <c r="T5139" t="s">
        <v>14</v>
      </c>
      <c r="U5139" t="str">
        <f t="shared" si="1164"/>
        <v>Massachusetts Ave</v>
      </c>
      <c r="W5139" t="str">
        <f t="shared" si="1165"/>
        <v/>
      </c>
      <c r="X5139" t="str">
        <f>IF(ISBLANK(S5139),"Intersection","Non-Intersection")</f>
        <v>Non-Intersection</v>
      </c>
      <c r="Y5139" t="s">
        <v>5637</v>
      </c>
      <c r="Z5139" t="str">
        <f t="shared" si="1166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153"/>
        <v>41275</v>
      </c>
      <c r="D5140" s="4">
        <f t="shared" si="1154"/>
        <v>0.35616438356164382</v>
      </c>
      <c r="E5140" s="3">
        <f t="shared" si="1155"/>
        <v>2013</v>
      </c>
      <c r="F5140" s="3">
        <f t="shared" si="1156"/>
        <v>5</v>
      </c>
      <c r="G5140" s="3">
        <f t="shared" si="1157"/>
        <v>11</v>
      </c>
      <c r="H5140" s="3">
        <f t="shared" si="1158"/>
        <v>14</v>
      </c>
      <c r="I5140" s="3">
        <f t="shared" si="1159"/>
        <v>0</v>
      </c>
      <c r="J5140" s="3">
        <f t="shared" si="116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161"/>
        <v>YES</v>
      </c>
      <c r="Q5140" t="str">
        <f t="shared" si="1162"/>
        <v>NO</v>
      </c>
      <c r="R5140" t="str">
        <f t="shared" si="1163"/>
        <v>NO</v>
      </c>
      <c r="S5140">
        <v>245</v>
      </c>
      <c r="T5140" t="s">
        <v>185</v>
      </c>
      <c r="U5140" t="str">
        <f t="shared" si="1164"/>
        <v>Garden St</v>
      </c>
      <c r="W5140" t="str">
        <f t="shared" si="1165"/>
        <v/>
      </c>
      <c r="X5140" t="str">
        <f>IF(ISBLANK(S5140),"Intersection","Non-Intersection")</f>
        <v>Non-Intersection</v>
      </c>
      <c r="Y5140" t="s">
        <v>5639</v>
      </c>
      <c r="Z5140" t="str">
        <f t="shared" si="1166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153"/>
        <v>41275</v>
      </c>
      <c r="D5141" s="4">
        <f t="shared" si="1154"/>
        <v>0.35890410958904112</v>
      </c>
      <c r="E5141" s="3">
        <f t="shared" si="1155"/>
        <v>2013</v>
      </c>
      <c r="F5141" s="3">
        <f t="shared" si="1156"/>
        <v>5</v>
      </c>
      <c r="G5141" s="3">
        <f t="shared" si="1157"/>
        <v>12</v>
      </c>
      <c r="H5141" s="3">
        <f t="shared" si="1158"/>
        <v>20</v>
      </c>
      <c r="I5141" s="3">
        <f t="shared" si="1159"/>
        <v>38</v>
      </c>
      <c r="J5141" s="3">
        <f t="shared" si="116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161"/>
        <v>YES</v>
      </c>
      <c r="Q5141" t="str">
        <f t="shared" si="1162"/>
        <v>YES</v>
      </c>
      <c r="R5141" t="str">
        <f t="shared" si="1163"/>
        <v>NO</v>
      </c>
      <c r="T5141" t="s">
        <v>74</v>
      </c>
      <c r="U5141" t="str">
        <f t="shared" si="1164"/>
        <v>Hampshire St</v>
      </c>
      <c r="V5141" t="s">
        <v>796</v>
      </c>
      <c r="W5141" t="str">
        <f t="shared" si="1165"/>
        <v>Portland St</v>
      </c>
      <c r="X5141" t="str">
        <f>IF(ISBLANK(S5141),"Intersection","Non-Intersection")</f>
        <v>Intersection</v>
      </c>
      <c r="Y5141" t="s">
        <v>3889</v>
      </c>
      <c r="Z5141" t="str">
        <f t="shared" si="1166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153"/>
        <v>41275</v>
      </c>
      <c r="D5142" s="4">
        <f t="shared" si="1154"/>
        <v>0.35890410958904112</v>
      </c>
      <c r="E5142" s="3">
        <f t="shared" si="1155"/>
        <v>2013</v>
      </c>
      <c r="F5142" s="3">
        <f t="shared" si="1156"/>
        <v>5</v>
      </c>
      <c r="G5142" s="3">
        <f t="shared" si="1157"/>
        <v>12</v>
      </c>
      <c r="H5142" s="3">
        <f t="shared" si="1158"/>
        <v>6</v>
      </c>
      <c r="I5142" s="3">
        <f t="shared" si="1159"/>
        <v>50</v>
      </c>
      <c r="J5142" s="3">
        <f t="shared" si="116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161"/>
        <v>YES</v>
      </c>
      <c r="Q5142" t="str">
        <f t="shared" si="1162"/>
        <v>NO</v>
      </c>
      <c r="R5142" t="str">
        <f t="shared" si="1163"/>
        <v>NO</v>
      </c>
      <c r="T5142" t="s">
        <v>101</v>
      </c>
      <c r="U5142" t="str">
        <f t="shared" si="1164"/>
        <v>Columbia St</v>
      </c>
      <c r="V5142" t="s">
        <v>74</v>
      </c>
      <c r="W5142" t="str">
        <f t="shared" si="1165"/>
        <v>Hampshire St</v>
      </c>
      <c r="X5142" t="str">
        <f>IF(ISBLANK(S5142),"Intersection","Non-Intersection")</f>
        <v>Intersection</v>
      </c>
      <c r="Y5142" t="s">
        <v>773</v>
      </c>
      <c r="Z5142" t="str">
        <f t="shared" si="1166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153"/>
        <v>41275</v>
      </c>
      <c r="D5143" s="4">
        <f t="shared" si="1154"/>
        <v>0.36164383561643837</v>
      </c>
      <c r="E5143" s="3">
        <f t="shared" si="1155"/>
        <v>2013</v>
      </c>
      <c r="F5143" s="3">
        <f t="shared" si="1156"/>
        <v>5</v>
      </c>
      <c r="G5143" s="3">
        <f t="shared" si="1157"/>
        <v>13</v>
      </c>
      <c r="H5143" s="3">
        <f t="shared" si="1158"/>
        <v>8</v>
      </c>
      <c r="I5143" s="3">
        <f t="shared" si="1159"/>
        <v>15</v>
      </c>
      <c r="J5143" s="3">
        <f t="shared" si="116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161"/>
        <v>YES</v>
      </c>
      <c r="Q5143" t="str">
        <f t="shared" si="1162"/>
        <v>NO</v>
      </c>
      <c r="R5143" t="str">
        <f t="shared" si="1163"/>
        <v>NO</v>
      </c>
      <c r="S5143">
        <v>12</v>
      </c>
      <c r="T5143" t="s">
        <v>19</v>
      </c>
      <c r="U5143" t="str">
        <f t="shared" si="1164"/>
        <v>Cambridge St</v>
      </c>
      <c r="W5143" t="str">
        <f t="shared" si="1165"/>
        <v/>
      </c>
      <c r="X5143" t="str">
        <f>IF(ISBLANK(S5143),"Intersection","Non-Intersection")</f>
        <v>Non-Intersection</v>
      </c>
      <c r="Y5143" t="s">
        <v>5641</v>
      </c>
      <c r="Z5143" t="str">
        <f t="shared" si="1166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153"/>
        <v>41275</v>
      </c>
      <c r="D5144" s="4">
        <f t="shared" si="1154"/>
        <v>0.36164383561643837</v>
      </c>
      <c r="E5144" s="3">
        <f t="shared" si="1155"/>
        <v>2013</v>
      </c>
      <c r="F5144" s="3">
        <f t="shared" si="1156"/>
        <v>5</v>
      </c>
      <c r="G5144" s="3">
        <f t="shared" si="1157"/>
        <v>13</v>
      </c>
      <c r="H5144" s="3">
        <f t="shared" si="1158"/>
        <v>17</v>
      </c>
      <c r="I5144" s="3">
        <f t="shared" si="1159"/>
        <v>45</v>
      </c>
      <c r="J5144" s="3">
        <f t="shared" si="116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161"/>
        <v>YES</v>
      </c>
      <c r="Q5144" t="str">
        <f t="shared" si="1162"/>
        <v>NO</v>
      </c>
      <c r="R5144" t="str">
        <f t="shared" si="1163"/>
        <v>NO</v>
      </c>
      <c r="T5144" t="s">
        <v>14</v>
      </c>
      <c r="U5144" t="str">
        <f t="shared" si="1164"/>
        <v>Massachusetts Ave</v>
      </c>
      <c r="V5144" t="s">
        <v>354</v>
      </c>
      <c r="W5144" t="str">
        <f t="shared" si="1165"/>
        <v>Linnaean St</v>
      </c>
      <c r="X5144" t="str">
        <f>IF(ISBLANK(S5144),"Intersection","Non-Intersection")</f>
        <v>Intersection</v>
      </c>
      <c r="Y5144" t="s">
        <v>1234</v>
      </c>
      <c r="Z5144" t="str">
        <f t="shared" si="1166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153"/>
        <v>41275</v>
      </c>
      <c r="D5145" s="4">
        <f t="shared" si="1154"/>
        <v>0.36164383561643837</v>
      </c>
      <c r="E5145" s="3">
        <f t="shared" si="1155"/>
        <v>2013</v>
      </c>
      <c r="F5145" s="3">
        <f t="shared" si="1156"/>
        <v>5</v>
      </c>
      <c r="G5145" s="3">
        <f t="shared" si="1157"/>
        <v>13</v>
      </c>
      <c r="H5145" s="3">
        <f t="shared" si="1158"/>
        <v>18</v>
      </c>
      <c r="I5145" s="3">
        <f t="shared" si="1159"/>
        <v>56</v>
      </c>
      <c r="J5145" s="3">
        <f t="shared" si="116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161"/>
        <v>YES</v>
      </c>
      <c r="Q5145" t="str">
        <f t="shared" si="1162"/>
        <v>YES</v>
      </c>
      <c r="R5145" t="str">
        <f t="shared" si="1163"/>
        <v>NO</v>
      </c>
      <c r="S5145">
        <v>1001</v>
      </c>
      <c r="T5145" t="s">
        <v>19</v>
      </c>
      <c r="U5145" t="str">
        <f t="shared" si="1164"/>
        <v>Cambridge St</v>
      </c>
      <c r="W5145" t="str">
        <f t="shared" si="1165"/>
        <v/>
      </c>
      <c r="X5145" t="str">
        <f>IF(ISBLANK(S5145),"Intersection","Non-Intersection")</f>
        <v>Non-Intersection</v>
      </c>
      <c r="Y5145" t="s">
        <v>2171</v>
      </c>
      <c r="Z5145" t="str">
        <f t="shared" si="1166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153"/>
        <v>41275</v>
      </c>
      <c r="D5146" s="4">
        <f t="shared" si="1154"/>
        <v>0.36164383561643837</v>
      </c>
      <c r="E5146" s="3">
        <f t="shared" si="1155"/>
        <v>2013</v>
      </c>
      <c r="F5146" s="3">
        <f t="shared" si="1156"/>
        <v>5</v>
      </c>
      <c r="G5146" s="3">
        <f t="shared" si="1157"/>
        <v>13</v>
      </c>
      <c r="H5146" s="3">
        <f t="shared" si="1158"/>
        <v>18</v>
      </c>
      <c r="I5146" s="3">
        <f t="shared" si="1159"/>
        <v>59</v>
      </c>
      <c r="J5146" s="3">
        <f t="shared" si="116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161"/>
        <v>YES</v>
      </c>
      <c r="Q5146" t="str">
        <f t="shared" si="1162"/>
        <v>YES</v>
      </c>
      <c r="R5146" t="str">
        <f t="shared" si="1163"/>
        <v>NO</v>
      </c>
      <c r="T5146" t="s">
        <v>74</v>
      </c>
      <c r="U5146" t="str">
        <f t="shared" si="1164"/>
        <v>Hampshire St</v>
      </c>
      <c r="V5146" t="s">
        <v>667</v>
      </c>
      <c r="W5146" t="str">
        <f t="shared" si="1165"/>
        <v>Tremont St</v>
      </c>
      <c r="X5146" t="str">
        <f>IF(ISBLANK(S5146),"Intersection","Non-Intersection")</f>
        <v>Intersection</v>
      </c>
      <c r="Y5146" t="s">
        <v>668</v>
      </c>
      <c r="Z5146" t="str">
        <f t="shared" si="1166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153"/>
        <v>41275</v>
      </c>
      <c r="D5147" s="4">
        <f t="shared" si="1154"/>
        <v>0.36164383561643837</v>
      </c>
      <c r="E5147" s="3">
        <f t="shared" si="1155"/>
        <v>2013</v>
      </c>
      <c r="F5147" s="3">
        <f t="shared" si="1156"/>
        <v>5</v>
      </c>
      <c r="G5147" s="3">
        <f t="shared" si="1157"/>
        <v>13</v>
      </c>
      <c r="H5147" s="3">
        <f t="shared" si="1158"/>
        <v>17</v>
      </c>
      <c r="I5147" s="3">
        <f t="shared" si="1159"/>
        <v>29</v>
      </c>
      <c r="J5147" s="3">
        <f t="shared" si="116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161"/>
        <v>YES</v>
      </c>
      <c r="Q5147" t="str">
        <f t="shared" si="1162"/>
        <v>NO</v>
      </c>
      <c r="R5147" t="str">
        <f t="shared" si="1163"/>
        <v>NO</v>
      </c>
      <c r="T5147" t="s">
        <v>2580</v>
      </c>
      <c r="U5147" t="str">
        <f t="shared" si="1164"/>
        <v>Land Blvd</v>
      </c>
      <c r="W5147" t="str">
        <f t="shared" si="1165"/>
        <v/>
      </c>
      <c r="X5147" t="str">
        <f>IF(ISBLANK(S5147),"Intersection","Non-Intersection")</f>
        <v>Intersection</v>
      </c>
      <c r="Y5147" t="s">
        <v>5642</v>
      </c>
      <c r="Z5147" t="str">
        <f t="shared" si="1166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153"/>
        <v>41275</v>
      </c>
      <c r="D5148" s="4">
        <f t="shared" si="1154"/>
        <v>0.36164383561643837</v>
      </c>
      <c r="E5148" s="3">
        <f t="shared" si="1155"/>
        <v>2013</v>
      </c>
      <c r="F5148" s="3">
        <f t="shared" si="1156"/>
        <v>5</v>
      </c>
      <c r="G5148" s="3">
        <f t="shared" si="1157"/>
        <v>13</v>
      </c>
      <c r="H5148" s="3">
        <f t="shared" si="1158"/>
        <v>14</v>
      </c>
      <c r="I5148" s="3">
        <f t="shared" si="1159"/>
        <v>20</v>
      </c>
      <c r="J5148" s="3">
        <f t="shared" si="116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161"/>
        <v>YES</v>
      </c>
      <c r="Q5148" t="str">
        <f t="shared" si="1162"/>
        <v>NO</v>
      </c>
      <c r="R5148" t="str">
        <f t="shared" si="1163"/>
        <v>NO</v>
      </c>
      <c r="T5148" t="s">
        <v>260</v>
      </c>
      <c r="U5148" t="str">
        <f t="shared" si="1164"/>
        <v>Third St</v>
      </c>
      <c r="V5148" t="s">
        <v>146</v>
      </c>
      <c r="W5148" t="str">
        <f t="shared" si="1165"/>
        <v>Spring St</v>
      </c>
      <c r="X5148" t="str">
        <f>IF(ISBLANK(S5148),"Intersection","Non-Intersection")</f>
        <v>Intersection</v>
      </c>
      <c r="Y5148" t="s">
        <v>544</v>
      </c>
      <c r="Z5148" t="str">
        <f t="shared" si="1166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153"/>
        <v>41275</v>
      </c>
      <c r="D5149" s="4">
        <f t="shared" si="1154"/>
        <v>0.36438356164383562</v>
      </c>
      <c r="E5149" s="3">
        <f t="shared" si="1155"/>
        <v>2013</v>
      </c>
      <c r="F5149" s="3">
        <f t="shared" si="1156"/>
        <v>5</v>
      </c>
      <c r="G5149" s="3">
        <f t="shared" si="1157"/>
        <v>14</v>
      </c>
      <c r="H5149" s="3">
        <f t="shared" si="1158"/>
        <v>6</v>
      </c>
      <c r="I5149" s="3">
        <f t="shared" si="1159"/>
        <v>58</v>
      </c>
      <c r="J5149" s="3">
        <f t="shared" si="116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161"/>
        <v>YES</v>
      </c>
      <c r="Q5149" t="str">
        <f t="shared" si="1162"/>
        <v>NO</v>
      </c>
      <c r="R5149" t="str">
        <f t="shared" si="1163"/>
        <v>NO</v>
      </c>
      <c r="T5149" t="s">
        <v>409</v>
      </c>
      <c r="U5149" t="str">
        <f t="shared" si="1164"/>
        <v>Appleton St</v>
      </c>
      <c r="V5149" t="s">
        <v>199</v>
      </c>
      <c r="W5149" t="str">
        <f t="shared" si="1165"/>
        <v>Brattle St</v>
      </c>
      <c r="X5149" t="str">
        <f>IF(ISBLANK(S5149),"Intersection","Non-Intersection")</f>
        <v>Intersection</v>
      </c>
      <c r="Y5149" t="s">
        <v>3353</v>
      </c>
      <c r="Z5149" t="str">
        <f t="shared" si="1166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153"/>
        <v>41275</v>
      </c>
      <c r="D5150" s="4">
        <f t="shared" si="1154"/>
        <v>0.36438356164383562</v>
      </c>
      <c r="E5150" s="3">
        <f t="shared" si="1155"/>
        <v>2013</v>
      </c>
      <c r="F5150" s="3">
        <f t="shared" si="1156"/>
        <v>5</v>
      </c>
      <c r="G5150" s="3">
        <f t="shared" si="1157"/>
        <v>14</v>
      </c>
      <c r="H5150" s="3">
        <f t="shared" si="1158"/>
        <v>12</v>
      </c>
      <c r="I5150" s="3">
        <f t="shared" si="1159"/>
        <v>37</v>
      </c>
      <c r="J5150" s="3">
        <f t="shared" si="116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161"/>
        <v>YES</v>
      </c>
      <c r="Q5150" t="str">
        <f t="shared" si="1162"/>
        <v>NO</v>
      </c>
      <c r="R5150" t="str">
        <f t="shared" si="1163"/>
        <v>YES</v>
      </c>
      <c r="T5150" t="s">
        <v>796</v>
      </c>
      <c r="U5150" t="str">
        <f t="shared" si="1164"/>
        <v>Portland St</v>
      </c>
      <c r="V5150" t="s">
        <v>32</v>
      </c>
      <c r="W5150" t="str">
        <f t="shared" si="1165"/>
        <v>Main St</v>
      </c>
      <c r="X5150" t="str">
        <f>IF(ISBLANK(S5150),"Intersection","Non-Intersection")</f>
        <v>Intersection</v>
      </c>
      <c r="Y5150" t="s">
        <v>812</v>
      </c>
      <c r="Z5150" t="str">
        <f t="shared" si="1166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153"/>
        <v>41275</v>
      </c>
      <c r="D5151" s="4">
        <f t="shared" si="1154"/>
        <v>0.36438356164383562</v>
      </c>
      <c r="E5151" s="3">
        <f t="shared" si="1155"/>
        <v>2013</v>
      </c>
      <c r="F5151" s="3">
        <f t="shared" si="1156"/>
        <v>5</v>
      </c>
      <c r="G5151" s="3">
        <f t="shared" si="1157"/>
        <v>14</v>
      </c>
      <c r="H5151" s="3">
        <f t="shared" si="1158"/>
        <v>15</v>
      </c>
      <c r="I5151" s="3">
        <f t="shared" si="1159"/>
        <v>45</v>
      </c>
      <c r="J5151" s="3">
        <f t="shared" si="116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161"/>
        <v>YES</v>
      </c>
      <c r="Q5151" t="str">
        <f t="shared" si="1162"/>
        <v>YES</v>
      </c>
      <c r="R5151" t="str">
        <f t="shared" si="1163"/>
        <v>NO</v>
      </c>
      <c r="S5151">
        <v>675</v>
      </c>
      <c r="T5151" t="s">
        <v>186</v>
      </c>
      <c r="U5151" t="str">
        <f t="shared" si="1164"/>
        <v>Concord Ave</v>
      </c>
      <c r="W5151" t="str">
        <f t="shared" si="1165"/>
        <v/>
      </c>
      <c r="X5151" t="str">
        <f>IF(ISBLANK(S5151),"Intersection","Non-Intersection")</f>
        <v>Non-Intersection</v>
      </c>
      <c r="Y5151" t="s">
        <v>5643</v>
      </c>
      <c r="Z5151" t="str">
        <f t="shared" si="1166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153"/>
        <v>41275</v>
      </c>
      <c r="D5152" s="4">
        <f t="shared" si="1154"/>
        <v>0.36438356164383562</v>
      </c>
      <c r="E5152" s="3">
        <f t="shared" si="1155"/>
        <v>2013</v>
      </c>
      <c r="F5152" s="3">
        <f t="shared" si="1156"/>
        <v>5</v>
      </c>
      <c r="G5152" s="3">
        <f t="shared" si="1157"/>
        <v>14</v>
      </c>
      <c r="H5152" s="3">
        <f t="shared" si="1158"/>
        <v>17</v>
      </c>
      <c r="I5152" s="3">
        <f t="shared" si="1159"/>
        <v>0</v>
      </c>
      <c r="J5152" s="3">
        <f t="shared" si="116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161"/>
        <v>YES</v>
      </c>
      <c r="Q5152" t="str">
        <f t="shared" si="1162"/>
        <v>YES</v>
      </c>
      <c r="R5152" t="str">
        <f t="shared" si="1163"/>
        <v>NO</v>
      </c>
      <c r="S5152">
        <v>826</v>
      </c>
      <c r="T5152" t="s">
        <v>19</v>
      </c>
      <c r="U5152" t="str">
        <f t="shared" si="1164"/>
        <v>Cambridge St</v>
      </c>
      <c r="W5152" t="str">
        <f t="shared" si="1165"/>
        <v/>
      </c>
      <c r="X5152" t="str">
        <f>IF(ISBLANK(S5152),"Intersection","Non-Intersection")</f>
        <v>Non-Intersection</v>
      </c>
      <c r="Y5152" t="s">
        <v>5645</v>
      </c>
      <c r="Z5152" t="str">
        <f t="shared" si="1166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153"/>
        <v>41275</v>
      </c>
      <c r="D5153" s="4">
        <f t="shared" si="1154"/>
        <v>0.36438356164383562</v>
      </c>
      <c r="E5153" s="3">
        <f t="shared" si="1155"/>
        <v>2013</v>
      </c>
      <c r="F5153" s="3">
        <f t="shared" si="1156"/>
        <v>5</v>
      </c>
      <c r="G5153" s="3">
        <f t="shared" si="1157"/>
        <v>14</v>
      </c>
      <c r="H5153" s="3">
        <f t="shared" si="1158"/>
        <v>17</v>
      </c>
      <c r="I5153" s="3">
        <f t="shared" si="1159"/>
        <v>39</v>
      </c>
      <c r="J5153" s="3">
        <f t="shared" si="116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161"/>
        <v>YES</v>
      </c>
      <c r="Q5153" t="str">
        <f t="shared" si="1162"/>
        <v>NO</v>
      </c>
      <c r="R5153" t="str">
        <f t="shared" si="1163"/>
        <v>NO</v>
      </c>
      <c r="S5153">
        <v>0</v>
      </c>
      <c r="T5153" t="s">
        <v>185</v>
      </c>
      <c r="U5153" t="str">
        <f t="shared" si="1164"/>
        <v>Garden St</v>
      </c>
      <c r="W5153" t="str">
        <f t="shared" si="1165"/>
        <v/>
      </c>
      <c r="X5153" t="str">
        <f>IF(ISBLANK(S5153),"Intersection","Non-Intersection")</f>
        <v>Non-Intersection</v>
      </c>
      <c r="Y5153" t="s">
        <v>3901</v>
      </c>
      <c r="Z5153" t="str">
        <f t="shared" si="1166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153"/>
        <v>41275</v>
      </c>
      <c r="D5154" s="4">
        <f t="shared" si="1154"/>
        <v>0.36438356164383562</v>
      </c>
      <c r="E5154" s="3">
        <f t="shared" si="1155"/>
        <v>2013</v>
      </c>
      <c r="F5154" s="3">
        <f t="shared" si="1156"/>
        <v>5</v>
      </c>
      <c r="G5154" s="3">
        <f t="shared" si="1157"/>
        <v>14</v>
      </c>
      <c r="H5154" s="3">
        <f t="shared" si="1158"/>
        <v>18</v>
      </c>
      <c r="I5154" s="3">
        <f t="shared" si="1159"/>
        <v>29</v>
      </c>
      <c r="J5154" s="3">
        <f t="shared" si="116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161"/>
        <v>YES</v>
      </c>
      <c r="Q5154" t="str">
        <f t="shared" si="1162"/>
        <v>NO</v>
      </c>
      <c r="R5154" t="str">
        <f t="shared" si="1163"/>
        <v>NO</v>
      </c>
      <c r="T5154" t="s">
        <v>675</v>
      </c>
      <c r="U5154" t="str">
        <f t="shared" si="1164"/>
        <v>Roseland St</v>
      </c>
      <c r="V5154" t="s">
        <v>902</v>
      </c>
      <c r="W5154" t="str">
        <f t="shared" si="1165"/>
        <v>Frost St</v>
      </c>
      <c r="X5154" t="str">
        <f>IF(ISBLANK(S5154),"Intersection","Non-Intersection")</f>
        <v>Intersection</v>
      </c>
      <c r="Y5154" t="s">
        <v>903</v>
      </c>
      <c r="Z5154" t="str">
        <f t="shared" si="1166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153"/>
        <v>41275</v>
      </c>
      <c r="D5155" s="4">
        <f t="shared" si="1154"/>
        <v>0.36438356164383562</v>
      </c>
      <c r="E5155" s="3">
        <f t="shared" si="1155"/>
        <v>2013</v>
      </c>
      <c r="F5155" s="3">
        <f t="shared" si="1156"/>
        <v>5</v>
      </c>
      <c r="G5155" s="3">
        <f t="shared" si="1157"/>
        <v>14</v>
      </c>
      <c r="H5155" s="3">
        <f t="shared" si="1158"/>
        <v>15</v>
      </c>
      <c r="I5155" s="3">
        <f t="shared" si="1159"/>
        <v>59</v>
      </c>
      <c r="J5155" s="3">
        <f t="shared" si="116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161"/>
        <v>YES</v>
      </c>
      <c r="Q5155" t="str">
        <f t="shared" si="1162"/>
        <v>NO</v>
      </c>
      <c r="R5155" t="str">
        <f t="shared" si="1163"/>
        <v>NO</v>
      </c>
      <c r="S5155">
        <v>194</v>
      </c>
      <c r="T5155" t="s">
        <v>993</v>
      </c>
      <c r="U5155" t="str">
        <f t="shared" si="1164"/>
        <v>Fifth St</v>
      </c>
      <c r="W5155" t="str">
        <f t="shared" si="1165"/>
        <v/>
      </c>
      <c r="X5155" t="str">
        <f>IF(ISBLANK(S5155),"Intersection","Non-Intersection")</f>
        <v>Non-Intersection</v>
      </c>
      <c r="Y5155" t="s">
        <v>5647</v>
      </c>
      <c r="Z5155" t="str">
        <f t="shared" si="1166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153"/>
        <v>41275</v>
      </c>
      <c r="D5156" s="4">
        <f t="shared" si="1154"/>
        <v>0.36438356164383562</v>
      </c>
      <c r="E5156" s="3">
        <f t="shared" si="1155"/>
        <v>2013</v>
      </c>
      <c r="F5156" s="3">
        <f t="shared" si="1156"/>
        <v>5</v>
      </c>
      <c r="G5156" s="3">
        <f t="shared" si="1157"/>
        <v>14</v>
      </c>
      <c r="H5156" s="3">
        <f t="shared" si="1158"/>
        <v>17</v>
      </c>
      <c r="I5156" s="3">
        <f t="shared" si="1159"/>
        <v>46</v>
      </c>
      <c r="J5156" s="3">
        <f t="shared" si="116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161"/>
        <v>NO</v>
      </c>
      <c r="Q5156" t="str">
        <f t="shared" si="1162"/>
        <v>YES</v>
      </c>
      <c r="R5156" t="str">
        <f t="shared" si="1163"/>
        <v>YES</v>
      </c>
      <c r="S5156">
        <v>1401</v>
      </c>
      <c r="T5156" t="s">
        <v>14</v>
      </c>
      <c r="U5156" t="str">
        <f t="shared" si="1164"/>
        <v>Massachusetts Ave</v>
      </c>
      <c r="W5156" t="str">
        <f t="shared" si="1165"/>
        <v/>
      </c>
      <c r="X5156" t="str">
        <f>IF(ISBLANK(S5156),"Intersection","Non-Intersection")</f>
        <v>Non-Intersection</v>
      </c>
      <c r="Y5156" t="s">
        <v>2451</v>
      </c>
      <c r="Z5156" t="str">
        <f t="shared" si="1166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153"/>
        <v>41275</v>
      </c>
      <c r="D5157" s="4">
        <f t="shared" si="1154"/>
        <v>0.36438356164383562</v>
      </c>
      <c r="E5157" s="3">
        <f t="shared" si="1155"/>
        <v>2013</v>
      </c>
      <c r="F5157" s="3">
        <f t="shared" si="1156"/>
        <v>5</v>
      </c>
      <c r="G5157" s="3">
        <f t="shared" si="1157"/>
        <v>14</v>
      </c>
      <c r="H5157" s="3">
        <f t="shared" si="1158"/>
        <v>20</v>
      </c>
      <c r="I5157" s="3">
        <f t="shared" si="1159"/>
        <v>0</v>
      </c>
      <c r="J5157" s="3">
        <f t="shared" si="116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161"/>
        <v>YES</v>
      </c>
      <c r="Q5157" t="str">
        <f t="shared" si="1162"/>
        <v>NO</v>
      </c>
      <c r="R5157" t="str">
        <f t="shared" si="1163"/>
        <v>NO</v>
      </c>
      <c r="T5157" t="s">
        <v>14</v>
      </c>
      <c r="U5157" t="str">
        <f t="shared" si="1164"/>
        <v>Massachusetts Ave</v>
      </c>
      <c r="V5157" t="s">
        <v>66</v>
      </c>
      <c r="W5157" t="str">
        <f t="shared" si="1165"/>
        <v>Dudley St</v>
      </c>
      <c r="X5157" t="str">
        <f>IF(ISBLANK(S5157),"Intersection","Non-Intersection")</f>
        <v>Intersection</v>
      </c>
      <c r="Y5157" t="s">
        <v>5032</v>
      </c>
      <c r="Z5157" t="str">
        <f t="shared" si="1166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167">EOMONTH(B5158,MONTH(B5158)*-1)+1</f>
        <v>41275</v>
      </c>
      <c r="D5158" s="4">
        <f t="shared" ref="D5158:D5217" si="1168">YEARFRAC(C5158,B5158,1)</f>
        <v>0.36712328767123287</v>
      </c>
      <c r="E5158" s="3">
        <f t="shared" ref="E5158:E5217" si="1169">YEAR(B5158)</f>
        <v>2013</v>
      </c>
      <c r="F5158" s="3">
        <f t="shared" ref="F5158:F5217" si="1170">MONTH(B5158)</f>
        <v>5</v>
      </c>
      <c r="G5158" s="3">
        <f t="shared" ref="G5158:G5217" si="1171">DAY(B5158)</f>
        <v>15</v>
      </c>
      <c r="H5158" s="3">
        <f t="shared" ref="H5158:H5217" si="1172">HOUR(B5158)</f>
        <v>11</v>
      </c>
      <c r="I5158" s="3">
        <f t="shared" ref="I5158:I5217" si="1173">MINUTE(B5158)</f>
        <v>29</v>
      </c>
      <c r="J5158" s="3">
        <f t="shared" ref="J5158:J5217" si="1174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175">IF(OR(N5158="Auto",O5158="Auto"),"YES",IF(OR(N5158="Taxi",O5158="Taxi"),"YES",IF(OR(N5158="Van",O5158="Van"),"YES",IF(OR(N5158="Truck",O5158="Truck"),"YES","NO"))))</f>
        <v>YES</v>
      </c>
      <c r="Q5158" t="str">
        <f t="shared" ref="Q5158:Q5217" si="1176">IF(OR(N5158="Bicycle",O5158="Bicycle"),"YES","NO")</f>
        <v>NO</v>
      </c>
      <c r="R5158" t="str">
        <f t="shared" ref="R5158:R5217" si="1177">IF(OR(N5158="Pedestrian",O5158="Pedestrian"),"YES","NO")</f>
        <v>NO</v>
      </c>
      <c r="S5158">
        <v>115</v>
      </c>
      <c r="T5158" t="s">
        <v>104</v>
      </c>
      <c r="U5158" t="str">
        <f t="shared" si="1164"/>
        <v>Inman St</v>
      </c>
      <c r="W5158" t="str">
        <f t="shared" si="1165"/>
        <v/>
      </c>
      <c r="X5158" t="str">
        <f>IF(ISBLANK(S5158),"Intersection","Non-Intersection")</f>
        <v>Non-Intersection</v>
      </c>
      <c r="Y5158" t="s">
        <v>5649</v>
      </c>
      <c r="Z5158" t="str">
        <f t="shared" si="1166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167"/>
        <v>41275</v>
      </c>
      <c r="D5159" s="4">
        <f t="shared" si="1168"/>
        <v>0.36712328767123287</v>
      </c>
      <c r="E5159" s="3">
        <f t="shared" si="1169"/>
        <v>2013</v>
      </c>
      <c r="F5159" s="3">
        <f t="shared" si="1170"/>
        <v>5</v>
      </c>
      <c r="G5159" s="3">
        <f t="shared" si="1171"/>
        <v>15</v>
      </c>
      <c r="H5159" s="3">
        <f t="shared" si="1172"/>
        <v>2</v>
      </c>
      <c r="I5159" s="3">
        <f t="shared" si="1173"/>
        <v>49</v>
      </c>
      <c r="J5159" s="3">
        <f t="shared" si="1174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175"/>
        <v>YES</v>
      </c>
      <c r="Q5159" t="str">
        <f t="shared" si="1176"/>
        <v>NO</v>
      </c>
      <c r="R5159" t="str">
        <f t="shared" si="1177"/>
        <v>NO</v>
      </c>
      <c r="T5159" t="s">
        <v>14</v>
      </c>
      <c r="U5159" t="str">
        <f t="shared" si="1164"/>
        <v>Massachusetts Ave</v>
      </c>
      <c r="V5159" t="s">
        <v>302</v>
      </c>
      <c r="W5159" t="str">
        <f t="shared" si="1165"/>
        <v>Waterhouse St</v>
      </c>
      <c r="X5159" t="str">
        <f>IF(ISBLANK(S5159),"Intersection","Non-Intersection")</f>
        <v>Intersection</v>
      </c>
      <c r="Y5159" t="s">
        <v>303</v>
      </c>
      <c r="Z5159" t="str">
        <f t="shared" si="1166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167"/>
        <v>41275</v>
      </c>
      <c r="D5160" s="4">
        <f t="shared" si="1168"/>
        <v>0.36712328767123287</v>
      </c>
      <c r="E5160" s="3">
        <f t="shared" si="1169"/>
        <v>2013</v>
      </c>
      <c r="F5160" s="3">
        <f t="shared" si="1170"/>
        <v>5</v>
      </c>
      <c r="G5160" s="3">
        <f t="shared" si="1171"/>
        <v>15</v>
      </c>
      <c r="H5160" s="3">
        <f t="shared" si="1172"/>
        <v>17</v>
      </c>
      <c r="I5160" s="3">
        <f t="shared" si="1173"/>
        <v>23</v>
      </c>
      <c r="J5160" s="3">
        <f t="shared" si="1174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175"/>
        <v>YES</v>
      </c>
      <c r="Q5160" t="str">
        <f t="shared" si="1176"/>
        <v>NO</v>
      </c>
      <c r="R5160" t="str">
        <f t="shared" si="1177"/>
        <v>NO</v>
      </c>
      <c r="S5160">
        <v>0</v>
      </c>
      <c r="T5160" t="s">
        <v>1013</v>
      </c>
      <c r="U5160" t="str">
        <f t="shared" si="1164"/>
        <v>Blanchard Rd</v>
      </c>
      <c r="W5160" t="str">
        <f t="shared" si="1165"/>
        <v/>
      </c>
      <c r="X5160" t="str">
        <f>IF(ISBLANK(S5160),"Intersection","Non-Intersection")</f>
        <v>Non-Intersection</v>
      </c>
      <c r="Y5160" t="s">
        <v>5651</v>
      </c>
      <c r="Z5160" t="str">
        <f t="shared" si="1166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167"/>
        <v>41275</v>
      </c>
      <c r="D5161" s="4">
        <f t="shared" si="1168"/>
        <v>0.36712328767123287</v>
      </c>
      <c r="E5161" s="3">
        <f t="shared" si="1169"/>
        <v>2013</v>
      </c>
      <c r="F5161" s="3">
        <f t="shared" si="1170"/>
        <v>5</v>
      </c>
      <c r="G5161" s="3">
        <f t="shared" si="1171"/>
        <v>15</v>
      </c>
      <c r="H5161" s="3">
        <f t="shared" si="1172"/>
        <v>18</v>
      </c>
      <c r="I5161" s="3">
        <f t="shared" si="1173"/>
        <v>47</v>
      </c>
      <c r="J5161" s="3">
        <f t="shared" si="1174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175"/>
        <v>YES</v>
      </c>
      <c r="Q5161" t="str">
        <f t="shared" si="1176"/>
        <v>NO</v>
      </c>
      <c r="R5161" t="str">
        <f t="shared" si="1177"/>
        <v>NO</v>
      </c>
      <c r="T5161" t="s">
        <v>14</v>
      </c>
      <c r="U5161" t="str">
        <f t="shared" si="1164"/>
        <v>Massachusetts Ave</v>
      </c>
      <c r="V5161" t="s">
        <v>165</v>
      </c>
      <c r="W5161" t="str">
        <f t="shared" si="1165"/>
        <v>Cogswell Ave</v>
      </c>
      <c r="X5161" t="str">
        <f>IF(ISBLANK(S5161),"Intersection","Non-Intersection")</f>
        <v>Intersection</v>
      </c>
      <c r="Y5161" t="s">
        <v>4014</v>
      </c>
      <c r="Z5161" t="str">
        <f t="shared" si="1166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167"/>
        <v>41275</v>
      </c>
      <c r="D5162" s="4">
        <f t="shared" si="1168"/>
        <v>0.36712328767123287</v>
      </c>
      <c r="E5162" s="3">
        <f t="shared" si="1169"/>
        <v>2013</v>
      </c>
      <c r="F5162" s="3">
        <f t="shared" si="1170"/>
        <v>5</v>
      </c>
      <c r="G5162" s="3">
        <f t="shared" si="1171"/>
        <v>15</v>
      </c>
      <c r="H5162" s="3">
        <f t="shared" si="1172"/>
        <v>20</v>
      </c>
      <c r="I5162" s="3">
        <f t="shared" si="1173"/>
        <v>0</v>
      </c>
      <c r="J5162" s="3">
        <f t="shared" si="1174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175"/>
        <v>YES</v>
      </c>
      <c r="Q5162" t="str">
        <f t="shared" si="1176"/>
        <v>NO</v>
      </c>
      <c r="R5162" t="str">
        <f t="shared" si="1177"/>
        <v>NO</v>
      </c>
      <c r="T5162" t="s">
        <v>14</v>
      </c>
      <c r="U5162" t="str">
        <f t="shared" si="1164"/>
        <v>Massachusetts Ave</v>
      </c>
      <c r="V5162" t="s">
        <v>15</v>
      </c>
      <c r="W5162" t="str">
        <f t="shared" si="1165"/>
        <v>Rindge Ave</v>
      </c>
      <c r="X5162" t="str">
        <f>IF(ISBLANK(S5162),"Intersection","Non-Intersection")</f>
        <v>Intersection</v>
      </c>
      <c r="Y5162" t="s">
        <v>16</v>
      </c>
      <c r="Z5162" t="str">
        <f t="shared" si="1166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167"/>
        <v>41275</v>
      </c>
      <c r="D5163" s="4">
        <f t="shared" si="1168"/>
        <v>0.36712328767123287</v>
      </c>
      <c r="E5163" s="3">
        <f t="shared" si="1169"/>
        <v>2013</v>
      </c>
      <c r="F5163" s="3">
        <f t="shared" si="1170"/>
        <v>5</v>
      </c>
      <c r="G5163" s="3">
        <f t="shared" si="1171"/>
        <v>15</v>
      </c>
      <c r="H5163" s="3">
        <f t="shared" si="1172"/>
        <v>21</v>
      </c>
      <c r="I5163" s="3">
        <f t="shared" si="1173"/>
        <v>49</v>
      </c>
      <c r="J5163" s="3">
        <f t="shared" si="1174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175"/>
        <v>YES</v>
      </c>
      <c r="Q5163" t="str">
        <f t="shared" si="1176"/>
        <v>NO</v>
      </c>
      <c r="R5163" t="str">
        <f t="shared" si="1177"/>
        <v>NO</v>
      </c>
      <c r="T5163" t="s">
        <v>14</v>
      </c>
      <c r="U5163" t="str">
        <f t="shared" si="1164"/>
        <v>Massachusetts Ave</v>
      </c>
      <c r="V5163" t="s">
        <v>167</v>
      </c>
      <c r="W5163" t="str">
        <f t="shared" si="1165"/>
        <v>Wendell St</v>
      </c>
      <c r="X5163" t="str">
        <f>IF(ISBLANK(S5163),"Intersection","Non-Intersection")</f>
        <v>Intersection</v>
      </c>
      <c r="Y5163" t="s">
        <v>817</v>
      </c>
      <c r="Z5163" t="str">
        <f t="shared" si="1166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167"/>
        <v>41275</v>
      </c>
      <c r="D5164" s="4">
        <f t="shared" si="1168"/>
        <v>0.36986301369863012</v>
      </c>
      <c r="E5164" s="3">
        <f t="shared" si="1169"/>
        <v>2013</v>
      </c>
      <c r="F5164" s="3">
        <f t="shared" si="1170"/>
        <v>5</v>
      </c>
      <c r="G5164" s="3">
        <f t="shared" si="1171"/>
        <v>16</v>
      </c>
      <c r="H5164" s="3">
        <f t="shared" si="1172"/>
        <v>8</v>
      </c>
      <c r="I5164" s="3">
        <f t="shared" si="1173"/>
        <v>10</v>
      </c>
      <c r="J5164" s="3">
        <f t="shared" si="1174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175"/>
        <v>YES</v>
      </c>
      <c r="Q5164" t="str">
        <f t="shared" si="1176"/>
        <v>NO</v>
      </c>
      <c r="R5164" t="str">
        <f t="shared" si="1177"/>
        <v>NO</v>
      </c>
      <c r="T5164" t="s">
        <v>15</v>
      </c>
      <c r="U5164" t="str">
        <f t="shared" si="1164"/>
        <v>Rindge Ave</v>
      </c>
      <c r="V5164" t="s">
        <v>1991</v>
      </c>
      <c r="W5164" t="str">
        <f t="shared" si="1165"/>
        <v>Jackson Pl</v>
      </c>
      <c r="X5164" t="str">
        <f>IF(ISBLANK(S5164),"Intersection","Non-Intersection")</f>
        <v>Intersection</v>
      </c>
      <c r="Y5164" t="s">
        <v>1992</v>
      </c>
      <c r="Z5164" t="str">
        <f t="shared" si="1166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167"/>
        <v>41275</v>
      </c>
      <c r="D5165" s="4">
        <f t="shared" si="1168"/>
        <v>0.36986301369863012</v>
      </c>
      <c r="E5165" s="3">
        <f t="shared" si="1169"/>
        <v>2013</v>
      </c>
      <c r="F5165" s="3">
        <f t="shared" si="1170"/>
        <v>5</v>
      </c>
      <c r="G5165" s="3">
        <f t="shared" si="1171"/>
        <v>16</v>
      </c>
      <c r="H5165" s="3">
        <f t="shared" si="1172"/>
        <v>9</v>
      </c>
      <c r="I5165" s="3">
        <f t="shared" si="1173"/>
        <v>0</v>
      </c>
      <c r="J5165" s="3">
        <f t="shared" si="1174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175"/>
        <v>YES</v>
      </c>
      <c r="Q5165" t="str">
        <f t="shared" si="1176"/>
        <v>NO</v>
      </c>
      <c r="R5165" t="str">
        <f t="shared" si="1177"/>
        <v>NO</v>
      </c>
      <c r="T5165" t="s">
        <v>199</v>
      </c>
      <c r="U5165" t="str">
        <f t="shared" si="1164"/>
        <v>Brattle St</v>
      </c>
      <c r="V5165" t="s">
        <v>198</v>
      </c>
      <c r="W5165" t="str">
        <f t="shared" si="1165"/>
        <v>Mount Auburn St</v>
      </c>
      <c r="X5165" t="str">
        <f>IF(ISBLANK(S5165),"Intersection","Non-Intersection")</f>
        <v>Intersection</v>
      </c>
      <c r="Y5165" t="s">
        <v>1759</v>
      </c>
      <c r="Z5165" t="str">
        <f t="shared" si="1166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167"/>
        <v>41275</v>
      </c>
      <c r="D5166" s="4">
        <f t="shared" si="1168"/>
        <v>0.36986301369863012</v>
      </c>
      <c r="E5166" s="3">
        <f t="shared" si="1169"/>
        <v>2013</v>
      </c>
      <c r="F5166" s="3">
        <f t="shared" si="1170"/>
        <v>5</v>
      </c>
      <c r="G5166" s="3">
        <f t="shared" si="1171"/>
        <v>16</v>
      </c>
      <c r="H5166" s="3">
        <f t="shared" si="1172"/>
        <v>12</v>
      </c>
      <c r="I5166" s="3">
        <f t="shared" si="1173"/>
        <v>40</v>
      </c>
      <c r="J5166" s="3">
        <f t="shared" si="1174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175"/>
        <v>YES</v>
      </c>
      <c r="Q5166" t="str">
        <f t="shared" si="1176"/>
        <v>NO</v>
      </c>
      <c r="R5166" t="str">
        <f t="shared" si="1177"/>
        <v>NO</v>
      </c>
      <c r="S5166">
        <v>6</v>
      </c>
      <c r="T5166" t="s">
        <v>506</v>
      </c>
      <c r="U5166" t="str">
        <f t="shared" si="1164"/>
        <v>Bigelow St</v>
      </c>
      <c r="W5166" t="str">
        <f t="shared" si="1165"/>
        <v/>
      </c>
      <c r="X5166" t="str">
        <f>IF(ISBLANK(S5166),"Intersection","Non-Intersection")</f>
        <v>Non-Intersection</v>
      </c>
      <c r="Y5166" t="s">
        <v>5653</v>
      </c>
      <c r="Z5166" t="str">
        <f t="shared" si="1166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167"/>
        <v>41275</v>
      </c>
      <c r="D5167" s="4">
        <f t="shared" si="1168"/>
        <v>0.36986301369863012</v>
      </c>
      <c r="E5167" s="3">
        <f t="shared" si="1169"/>
        <v>2013</v>
      </c>
      <c r="F5167" s="3">
        <f t="shared" si="1170"/>
        <v>5</v>
      </c>
      <c r="G5167" s="3">
        <f t="shared" si="1171"/>
        <v>16</v>
      </c>
      <c r="H5167" s="3">
        <f t="shared" si="1172"/>
        <v>15</v>
      </c>
      <c r="I5167" s="3">
        <f t="shared" si="1173"/>
        <v>21</v>
      </c>
      <c r="J5167" s="3">
        <f t="shared" si="1174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175"/>
        <v>YES</v>
      </c>
      <c r="Q5167" t="str">
        <f t="shared" si="1176"/>
        <v>NO</v>
      </c>
      <c r="R5167" t="str">
        <f t="shared" si="1177"/>
        <v>NO</v>
      </c>
      <c r="T5167" t="s">
        <v>380</v>
      </c>
      <c r="U5167" t="str">
        <f t="shared" si="1164"/>
        <v>Charles St</v>
      </c>
      <c r="W5167" t="str">
        <f t="shared" si="1165"/>
        <v/>
      </c>
      <c r="X5167" t="str">
        <f>IF(ISBLANK(S5167),"Intersection","Non-Intersection")</f>
        <v>Intersection</v>
      </c>
      <c r="Y5167" t="s">
        <v>2032</v>
      </c>
      <c r="Z5167" t="str">
        <f t="shared" si="1166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167"/>
        <v>41275</v>
      </c>
      <c r="D5168" s="4">
        <f t="shared" si="1168"/>
        <v>0.36986301369863012</v>
      </c>
      <c r="E5168" s="3">
        <f t="shared" si="1169"/>
        <v>2013</v>
      </c>
      <c r="F5168" s="3">
        <f t="shared" si="1170"/>
        <v>5</v>
      </c>
      <c r="G5168" s="3">
        <f t="shared" si="1171"/>
        <v>16</v>
      </c>
      <c r="H5168" s="3">
        <f t="shared" si="1172"/>
        <v>16</v>
      </c>
      <c r="I5168" s="3">
        <f t="shared" si="1173"/>
        <v>48</v>
      </c>
      <c r="J5168" s="3">
        <f t="shared" si="1174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175"/>
        <v>YES</v>
      </c>
      <c r="Q5168" t="str">
        <f t="shared" si="1176"/>
        <v>NO</v>
      </c>
      <c r="R5168" t="str">
        <f t="shared" si="1177"/>
        <v>YES</v>
      </c>
      <c r="T5168" t="s">
        <v>850</v>
      </c>
      <c r="U5168" t="str">
        <f t="shared" si="1164"/>
        <v>Rockingham St</v>
      </c>
      <c r="V5168" t="s">
        <v>86</v>
      </c>
      <c r="W5168" t="str">
        <f t="shared" si="1165"/>
        <v>Granite St</v>
      </c>
      <c r="X5168" t="str">
        <f>IF(ISBLANK(S5168),"Intersection","Non-Intersection")</f>
        <v>Intersection</v>
      </c>
      <c r="Y5168" t="s">
        <v>5655</v>
      </c>
      <c r="Z5168" t="str">
        <f t="shared" si="1166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167"/>
        <v>41275</v>
      </c>
      <c r="D5169" s="4">
        <f t="shared" si="1168"/>
        <v>0.37260273972602742</v>
      </c>
      <c r="E5169" s="3">
        <f t="shared" si="1169"/>
        <v>2013</v>
      </c>
      <c r="F5169" s="3">
        <f t="shared" si="1170"/>
        <v>5</v>
      </c>
      <c r="G5169" s="3">
        <f t="shared" si="1171"/>
        <v>17</v>
      </c>
      <c r="H5169" s="3">
        <f t="shared" si="1172"/>
        <v>9</v>
      </c>
      <c r="I5169" s="3">
        <f t="shared" si="1173"/>
        <v>56</v>
      </c>
      <c r="J5169" s="3">
        <f t="shared" si="1174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175"/>
        <v>YES</v>
      </c>
      <c r="Q5169" t="str">
        <f t="shared" si="1176"/>
        <v>YES</v>
      </c>
      <c r="R5169" t="str">
        <f t="shared" si="1177"/>
        <v>NO</v>
      </c>
      <c r="S5169">
        <v>1629</v>
      </c>
      <c r="T5169" t="s">
        <v>19</v>
      </c>
      <c r="U5169" t="str">
        <f t="shared" si="1164"/>
        <v>Cambridge St</v>
      </c>
      <c r="W5169" t="str">
        <f t="shared" si="1165"/>
        <v/>
      </c>
      <c r="X5169" t="str">
        <f>IF(ISBLANK(S5169),"Intersection","Non-Intersection")</f>
        <v>Non-Intersection</v>
      </c>
      <c r="Y5169" t="s">
        <v>5656</v>
      </c>
      <c r="Z5169" t="str">
        <f t="shared" si="1166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167"/>
        <v>41275</v>
      </c>
      <c r="D5170" s="4">
        <f t="shared" si="1168"/>
        <v>0.37260273972602742</v>
      </c>
      <c r="E5170" s="3">
        <f t="shared" si="1169"/>
        <v>2013</v>
      </c>
      <c r="F5170" s="3">
        <f t="shared" si="1170"/>
        <v>5</v>
      </c>
      <c r="G5170" s="3">
        <f t="shared" si="1171"/>
        <v>17</v>
      </c>
      <c r="H5170" s="3">
        <f t="shared" si="1172"/>
        <v>11</v>
      </c>
      <c r="I5170" s="3">
        <f t="shared" si="1173"/>
        <v>29</v>
      </c>
      <c r="J5170" s="3">
        <f t="shared" si="1174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175"/>
        <v>YES</v>
      </c>
      <c r="Q5170" t="str">
        <f t="shared" si="1176"/>
        <v>NO</v>
      </c>
      <c r="R5170" t="str">
        <f t="shared" si="1177"/>
        <v>NO</v>
      </c>
      <c r="S5170">
        <v>2309</v>
      </c>
      <c r="T5170" t="s">
        <v>14</v>
      </c>
      <c r="U5170" t="str">
        <f t="shared" si="1164"/>
        <v>Massachusetts Ave</v>
      </c>
      <c r="W5170" t="str">
        <f t="shared" si="1165"/>
        <v/>
      </c>
      <c r="X5170" t="str">
        <f>IF(ISBLANK(S5170),"Intersection","Non-Intersection")</f>
        <v>Non-Intersection</v>
      </c>
      <c r="Y5170" t="s">
        <v>5658</v>
      </c>
      <c r="Z5170" t="str">
        <f t="shared" si="1166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167"/>
        <v>41275</v>
      </c>
      <c r="D5171" s="4">
        <f t="shared" si="1168"/>
        <v>0.37260273972602742</v>
      </c>
      <c r="E5171" s="3">
        <f t="shared" si="1169"/>
        <v>2013</v>
      </c>
      <c r="F5171" s="3">
        <f t="shared" si="1170"/>
        <v>5</v>
      </c>
      <c r="G5171" s="3">
        <f t="shared" si="1171"/>
        <v>17</v>
      </c>
      <c r="H5171" s="3">
        <f t="shared" si="1172"/>
        <v>15</v>
      </c>
      <c r="I5171" s="3">
        <f t="shared" si="1173"/>
        <v>14</v>
      </c>
      <c r="J5171" s="3">
        <f t="shared" si="1174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175"/>
        <v>YES</v>
      </c>
      <c r="Q5171" t="str">
        <f t="shared" si="1176"/>
        <v>NO</v>
      </c>
      <c r="R5171" t="str">
        <f t="shared" si="1177"/>
        <v>YES</v>
      </c>
      <c r="T5171" t="s">
        <v>105</v>
      </c>
      <c r="U5171" t="str">
        <f t="shared" si="1164"/>
        <v>Broadway</v>
      </c>
      <c r="V5171" t="s">
        <v>260</v>
      </c>
      <c r="W5171" t="str">
        <f t="shared" si="1165"/>
        <v>Third St</v>
      </c>
      <c r="X5171" t="str">
        <f>IF(ISBLANK(S5171),"Intersection","Non-Intersection")</f>
        <v>Intersection</v>
      </c>
      <c r="Y5171" t="s">
        <v>2506</v>
      </c>
      <c r="Z5171" t="str">
        <f t="shared" si="1166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167"/>
        <v>41275</v>
      </c>
      <c r="D5172" s="4">
        <f t="shared" si="1168"/>
        <v>0.37260273972602742</v>
      </c>
      <c r="E5172" s="3">
        <f t="shared" si="1169"/>
        <v>2013</v>
      </c>
      <c r="F5172" s="3">
        <f t="shared" si="1170"/>
        <v>5</v>
      </c>
      <c r="G5172" s="3">
        <f t="shared" si="1171"/>
        <v>17</v>
      </c>
      <c r="H5172" s="3">
        <f t="shared" si="1172"/>
        <v>19</v>
      </c>
      <c r="I5172" s="3">
        <f t="shared" si="1173"/>
        <v>53</v>
      </c>
      <c r="J5172" s="3">
        <f t="shared" si="1174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175"/>
        <v>YES</v>
      </c>
      <c r="Q5172" t="str">
        <f t="shared" si="1176"/>
        <v>YES</v>
      </c>
      <c r="R5172" t="str">
        <f t="shared" si="1177"/>
        <v>NO</v>
      </c>
      <c r="T5172" t="s">
        <v>74</v>
      </c>
      <c r="U5172" t="str">
        <f t="shared" si="1164"/>
        <v>Hampshire St</v>
      </c>
      <c r="V5172" t="s">
        <v>75</v>
      </c>
      <c r="W5172" t="str">
        <f t="shared" si="1165"/>
        <v>Elm St</v>
      </c>
      <c r="X5172" t="str">
        <f>IF(ISBLANK(S5172),"Intersection","Non-Intersection")</f>
        <v>Intersection</v>
      </c>
      <c r="Y5172" t="s">
        <v>76</v>
      </c>
      <c r="Z5172" t="str">
        <f t="shared" si="1166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167"/>
        <v>41275</v>
      </c>
      <c r="D5173" s="4">
        <f t="shared" si="1168"/>
        <v>0.37260273972602742</v>
      </c>
      <c r="E5173" s="3">
        <f t="shared" si="1169"/>
        <v>2013</v>
      </c>
      <c r="F5173" s="3">
        <f t="shared" si="1170"/>
        <v>5</v>
      </c>
      <c r="G5173" s="3">
        <f t="shared" si="1171"/>
        <v>17</v>
      </c>
      <c r="H5173" s="3">
        <f t="shared" si="1172"/>
        <v>22</v>
      </c>
      <c r="I5173" s="3">
        <f t="shared" si="1173"/>
        <v>15</v>
      </c>
      <c r="J5173" s="3">
        <f t="shared" si="1174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175"/>
        <v>YES</v>
      </c>
      <c r="Q5173" t="str">
        <f t="shared" si="1176"/>
        <v>NO</v>
      </c>
      <c r="R5173" t="str">
        <f t="shared" si="1177"/>
        <v>NO</v>
      </c>
      <c r="S5173">
        <v>269</v>
      </c>
      <c r="T5173" t="s">
        <v>75</v>
      </c>
      <c r="U5173" t="str">
        <f t="shared" si="1164"/>
        <v>Elm St</v>
      </c>
      <c r="W5173" t="str">
        <f t="shared" si="1165"/>
        <v/>
      </c>
      <c r="X5173" t="str">
        <f>IF(ISBLANK(S5173),"Intersection","Non-Intersection")</f>
        <v>Non-Intersection</v>
      </c>
      <c r="Y5173" t="s">
        <v>5660</v>
      </c>
      <c r="Z5173" t="str">
        <f t="shared" si="1166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167"/>
        <v>41275</v>
      </c>
      <c r="D5174" s="4">
        <f t="shared" si="1168"/>
        <v>0.37534246575342467</v>
      </c>
      <c r="E5174" s="3">
        <f t="shared" si="1169"/>
        <v>2013</v>
      </c>
      <c r="F5174" s="3">
        <f t="shared" si="1170"/>
        <v>5</v>
      </c>
      <c r="G5174" s="3">
        <f t="shared" si="1171"/>
        <v>18</v>
      </c>
      <c r="H5174" s="3">
        <f t="shared" si="1172"/>
        <v>3</v>
      </c>
      <c r="I5174" s="3">
        <f t="shared" si="1173"/>
        <v>20</v>
      </c>
      <c r="J5174" s="3">
        <f t="shared" si="1174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175"/>
        <v>YES</v>
      </c>
      <c r="Q5174" t="str">
        <f t="shared" si="1176"/>
        <v>NO</v>
      </c>
      <c r="R5174" t="str">
        <f t="shared" si="1177"/>
        <v>NO</v>
      </c>
      <c r="T5174" t="s">
        <v>105</v>
      </c>
      <c r="U5174" t="str">
        <f t="shared" si="1164"/>
        <v>Broadway</v>
      </c>
      <c r="V5174" t="s">
        <v>288</v>
      </c>
      <c r="W5174" t="str">
        <f t="shared" si="1165"/>
        <v>Galileo Galilei Way</v>
      </c>
      <c r="X5174" t="str">
        <f>IF(ISBLANK(S5174),"Intersection","Non-Intersection")</f>
        <v>Intersection</v>
      </c>
      <c r="Y5174" t="s">
        <v>289</v>
      </c>
      <c r="Z5174" t="str">
        <f t="shared" si="1166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167"/>
        <v>41275</v>
      </c>
      <c r="D5175" s="4">
        <f t="shared" si="1168"/>
        <v>0.37808219178082192</v>
      </c>
      <c r="E5175" s="3">
        <f t="shared" si="1169"/>
        <v>2013</v>
      </c>
      <c r="F5175" s="3">
        <f t="shared" si="1170"/>
        <v>5</v>
      </c>
      <c r="G5175" s="3">
        <f t="shared" si="1171"/>
        <v>19</v>
      </c>
      <c r="H5175" s="3">
        <f t="shared" si="1172"/>
        <v>21</v>
      </c>
      <c r="I5175" s="3">
        <f t="shared" si="1173"/>
        <v>30</v>
      </c>
      <c r="J5175" s="3">
        <f t="shared" si="1174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175"/>
        <v>YES</v>
      </c>
      <c r="Q5175" t="str">
        <f t="shared" si="1176"/>
        <v>NO</v>
      </c>
      <c r="R5175" t="str">
        <f t="shared" si="1177"/>
        <v>NO</v>
      </c>
      <c r="T5175" t="s">
        <v>198</v>
      </c>
      <c r="U5175" t="str">
        <f t="shared" si="1164"/>
        <v>Mount Auburn St</v>
      </c>
      <c r="V5175" t="s">
        <v>50</v>
      </c>
      <c r="W5175" t="str">
        <f t="shared" si="1165"/>
        <v>Belmont St</v>
      </c>
      <c r="X5175" t="str">
        <f>IF(ISBLANK(S5175),"Intersection","Non-Intersection")</f>
        <v>Intersection</v>
      </c>
      <c r="Y5175" t="s">
        <v>3121</v>
      </c>
      <c r="Z5175" t="str">
        <f t="shared" si="1166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167"/>
        <v>41275</v>
      </c>
      <c r="D5176" s="4">
        <f t="shared" si="1168"/>
        <v>0.37808219178082192</v>
      </c>
      <c r="E5176" s="3">
        <f t="shared" si="1169"/>
        <v>2013</v>
      </c>
      <c r="F5176" s="3">
        <f t="shared" si="1170"/>
        <v>5</v>
      </c>
      <c r="G5176" s="3">
        <f t="shared" si="1171"/>
        <v>19</v>
      </c>
      <c r="H5176" s="3">
        <f t="shared" si="1172"/>
        <v>2</v>
      </c>
      <c r="I5176" s="3">
        <f t="shared" si="1173"/>
        <v>13</v>
      </c>
      <c r="J5176" s="3">
        <f t="shared" si="1174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175"/>
        <v>YES</v>
      </c>
      <c r="Q5176" t="str">
        <f t="shared" si="1176"/>
        <v>NO</v>
      </c>
      <c r="R5176" t="str">
        <f t="shared" si="1177"/>
        <v>NO</v>
      </c>
      <c r="S5176">
        <v>84</v>
      </c>
      <c r="T5176" t="s">
        <v>14</v>
      </c>
      <c r="U5176" t="str">
        <f t="shared" si="1164"/>
        <v>Massachusetts Ave</v>
      </c>
      <c r="W5176" t="str">
        <f t="shared" si="1165"/>
        <v/>
      </c>
      <c r="X5176" t="str">
        <f>IF(ISBLANK(S5176),"Intersection","Non-Intersection")</f>
        <v>Non-Intersection</v>
      </c>
      <c r="Y5176" t="s">
        <v>888</v>
      </c>
      <c r="Z5176" t="str">
        <f t="shared" si="1166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167"/>
        <v>41275</v>
      </c>
      <c r="D5177" s="4">
        <f t="shared" si="1168"/>
        <v>0.37808219178082192</v>
      </c>
      <c r="E5177" s="3">
        <f t="shared" si="1169"/>
        <v>2013</v>
      </c>
      <c r="F5177" s="3">
        <f t="shared" si="1170"/>
        <v>5</v>
      </c>
      <c r="G5177" s="3">
        <f t="shared" si="1171"/>
        <v>19</v>
      </c>
      <c r="H5177" s="3">
        <f t="shared" si="1172"/>
        <v>15</v>
      </c>
      <c r="I5177" s="3">
        <f t="shared" si="1173"/>
        <v>30</v>
      </c>
      <c r="J5177" s="3">
        <f t="shared" si="1174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175"/>
        <v>YES</v>
      </c>
      <c r="Q5177" t="str">
        <f t="shared" si="1176"/>
        <v>NO</v>
      </c>
      <c r="R5177" t="str">
        <f t="shared" si="1177"/>
        <v>NO</v>
      </c>
      <c r="T5177" t="s">
        <v>1438</v>
      </c>
      <c r="U5177" t="str">
        <f t="shared" si="1164"/>
        <v>Dunster St</v>
      </c>
      <c r="V5177" t="s">
        <v>198</v>
      </c>
      <c r="W5177" t="str">
        <f t="shared" si="1165"/>
        <v>Mount Auburn St</v>
      </c>
      <c r="X5177" t="str">
        <f>IF(ISBLANK(S5177),"Intersection","Non-Intersection")</f>
        <v>Intersection</v>
      </c>
      <c r="Y5177" t="s">
        <v>1786</v>
      </c>
      <c r="Z5177" t="str">
        <f t="shared" si="1166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167"/>
        <v>41275</v>
      </c>
      <c r="D5178" s="4">
        <f t="shared" si="1168"/>
        <v>0.37808219178082192</v>
      </c>
      <c r="E5178" s="3">
        <f t="shared" si="1169"/>
        <v>2013</v>
      </c>
      <c r="F5178" s="3">
        <f t="shared" si="1170"/>
        <v>5</v>
      </c>
      <c r="G5178" s="3">
        <f t="shared" si="1171"/>
        <v>19</v>
      </c>
      <c r="H5178" s="3">
        <f t="shared" si="1172"/>
        <v>15</v>
      </c>
      <c r="I5178" s="3">
        <f t="shared" si="1173"/>
        <v>59</v>
      </c>
      <c r="J5178" s="3">
        <f t="shared" si="1174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175"/>
        <v>YES</v>
      </c>
      <c r="Q5178" t="str">
        <f t="shared" si="1176"/>
        <v>NO</v>
      </c>
      <c r="R5178" t="str">
        <f t="shared" si="1177"/>
        <v>NO</v>
      </c>
      <c r="T5178" t="s">
        <v>14</v>
      </c>
      <c r="U5178" t="str">
        <f t="shared" si="1164"/>
        <v>Massachusetts Ave</v>
      </c>
      <c r="W5178" t="str">
        <f t="shared" si="1165"/>
        <v/>
      </c>
      <c r="X5178" t="str">
        <f>IF(ISBLANK(S5178),"Intersection","Non-Intersection")</f>
        <v>Intersection</v>
      </c>
      <c r="Y5178" t="s">
        <v>137</v>
      </c>
      <c r="Z5178" t="str">
        <f t="shared" si="1166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167"/>
        <v>41275</v>
      </c>
      <c r="D5179" s="4">
        <f t="shared" si="1168"/>
        <v>0.38082191780821917</v>
      </c>
      <c r="E5179" s="3">
        <f t="shared" si="1169"/>
        <v>2013</v>
      </c>
      <c r="F5179" s="3">
        <f t="shared" si="1170"/>
        <v>5</v>
      </c>
      <c r="G5179" s="3">
        <f t="shared" si="1171"/>
        <v>20</v>
      </c>
      <c r="H5179" s="3">
        <f t="shared" si="1172"/>
        <v>8</v>
      </c>
      <c r="I5179" s="3">
        <f t="shared" si="1173"/>
        <v>45</v>
      </c>
      <c r="J5179" s="3">
        <f t="shared" si="1174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175"/>
        <v>YES</v>
      </c>
      <c r="Q5179" t="str">
        <f t="shared" si="1176"/>
        <v>NO</v>
      </c>
      <c r="R5179" t="str">
        <f t="shared" si="1177"/>
        <v>NO</v>
      </c>
      <c r="S5179">
        <v>245</v>
      </c>
      <c r="T5179" t="s">
        <v>61</v>
      </c>
      <c r="U5179" t="str">
        <f t="shared" si="1164"/>
        <v>First St</v>
      </c>
      <c r="V5179" t="s">
        <v>3077</v>
      </c>
      <c r="W5179" t="str">
        <f t="shared" si="1165"/>
        <v>Athenaeum St</v>
      </c>
      <c r="X5179" t="str">
        <f>IF(ISBLANK(S5179),"Intersection","Non-Intersection")</f>
        <v>Non-Intersection</v>
      </c>
      <c r="Y5179" t="s">
        <v>5662</v>
      </c>
      <c r="Z5179" t="str">
        <f t="shared" si="1166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167"/>
        <v>41275</v>
      </c>
      <c r="D5180" s="4">
        <f t="shared" si="1168"/>
        <v>0.38082191780821917</v>
      </c>
      <c r="E5180" s="3">
        <f t="shared" si="1169"/>
        <v>2013</v>
      </c>
      <c r="F5180" s="3">
        <f t="shared" si="1170"/>
        <v>5</v>
      </c>
      <c r="G5180" s="3">
        <f t="shared" si="1171"/>
        <v>20</v>
      </c>
      <c r="H5180" s="3">
        <f t="shared" si="1172"/>
        <v>14</v>
      </c>
      <c r="I5180" s="3">
        <f t="shared" si="1173"/>
        <v>1</v>
      </c>
      <c r="J5180" s="3">
        <f t="shared" si="1174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175"/>
        <v>YES</v>
      </c>
      <c r="Q5180" t="str">
        <f t="shared" si="1176"/>
        <v>NO</v>
      </c>
      <c r="R5180" t="str">
        <f t="shared" si="1177"/>
        <v>NO</v>
      </c>
      <c r="S5180">
        <v>23</v>
      </c>
      <c r="T5180" t="s">
        <v>181</v>
      </c>
      <c r="U5180" t="str">
        <f t="shared" si="1164"/>
        <v>Florence St</v>
      </c>
      <c r="W5180" t="str">
        <f t="shared" si="1165"/>
        <v/>
      </c>
      <c r="X5180" t="str">
        <f>IF(ISBLANK(S5180),"Intersection","Non-Intersection")</f>
        <v>Non-Intersection</v>
      </c>
      <c r="Y5180" t="s">
        <v>5664</v>
      </c>
      <c r="Z5180" t="str">
        <f t="shared" si="1166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167"/>
        <v>41275</v>
      </c>
      <c r="D5181" s="4">
        <f t="shared" si="1168"/>
        <v>0.38082191780821917</v>
      </c>
      <c r="E5181" s="3">
        <f t="shared" si="1169"/>
        <v>2013</v>
      </c>
      <c r="F5181" s="3">
        <f t="shared" si="1170"/>
        <v>5</v>
      </c>
      <c r="G5181" s="3">
        <f t="shared" si="1171"/>
        <v>20</v>
      </c>
      <c r="H5181" s="3">
        <f t="shared" si="1172"/>
        <v>8</v>
      </c>
      <c r="I5181" s="3">
        <f t="shared" si="1173"/>
        <v>15</v>
      </c>
      <c r="J5181" s="3">
        <f t="shared" si="1174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175"/>
        <v>YES</v>
      </c>
      <c r="Q5181" t="str">
        <f t="shared" si="1176"/>
        <v>NO</v>
      </c>
      <c r="R5181" t="str">
        <f t="shared" si="1177"/>
        <v>NO</v>
      </c>
      <c r="S5181">
        <v>68</v>
      </c>
      <c r="T5181" t="s">
        <v>119</v>
      </c>
      <c r="U5181" t="str">
        <f t="shared" si="1164"/>
        <v>Albany St</v>
      </c>
      <c r="W5181" t="str">
        <f t="shared" si="1165"/>
        <v/>
      </c>
      <c r="X5181" t="str">
        <f>IF(ISBLANK(S5181),"Intersection","Non-Intersection")</f>
        <v>Non-Intersection</v>
      </c>
      <c r="Y5181" t="s">
        <v>5666</v>
      </c>
      <c r="Z5181" t="str">
        <f t="shared" si="1166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167"/>
        <v>41275</v>
      </c>
      <c r="D5182" s="4">
        <f t="shared" si="1168"/>
        <v>0.38082191780821917</v>
      </c>
      <c r="E5182" s="3">
        <f t="shared" si="1169"/>
        <v>2013</v>
      </c>
      <c r="F5182" s="3">
        <f t="shared" si="1170"/>
        <v>5</v>
      </c>
      <c r="G5182" s="3">
        <f t="shared" si="1171"/>
        <v>20</v>
      </c>
      <c r="H5182" s="3">
        <f t="shared" si="1172"/>
        <v>11</v>
      </c>
      <c r="I5182" s="3">
        <f t="shared" si="1173"/>
        <v>39</v>
      </c>
      <c r="J5182" s="3">
        <f t="shared" si="1174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175"/>
        <v>YES</v>
      </c>
      <c r="Q5182" t="str">
        <f t="shared" si="1176"/>
        <v>NO</v>
      </c>
      <c r="R5182" t="str">
        <f t="shared" si="1177"/>
        <v>NO</v>
      </c>
      <c r="T5182" t="s">
        <v>288</v>
      </c>
      <c r="U5182" t="str">
        <f t="shared" si="1164"/>
        <v>Galileo Galilei Way</v>
      </c>
      <c r="V5182" t="s">
        <v>32</v>
      </c>
      <c r="W5182" t="str">
        <f t="shared" si="1165"/>
        <v>Main St</v>
      </c>
      <c r="X5182" t="str">
        <f>IF(ISBLANK(S5182),"Intersection","Non-Intersection")</f>
        <v>Intersection</v>
      </c>
      <c r="Y5182" t="s">
        <v>1281</v>
      </c>
      <c r="Z5182" t="str">
        <f t="shared" si="1166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167"/>
        <v>41275</v>
      </c>
      <c r="D5183" s="4">
        <f t="shared" si="1168"/>
        <v>0.38082191780821917</v>
      </c>
      <c r="E5183" s="3">
        <f t="shared" si="1169"/>
        <v>2013</v>
      </c>
      <c r="F5183" s="3">
        <f t="shared" si="1170"/>
        <v>5</v>
      </c>
      <c r="G5183" s="3">
        <f t="shared" si="1171"/>
        <v>20</v>
      </c>
      <c r="H5183" s="3">
        <f t="shared" si="1172"/>
        <v>14</v>
      </c>
      <c r="I5183" s="3">
        <f t="shared" si="1173"/>
        <v>19</v>
      </c>
      <c r="J5183" s="3">
        <f t="shared" si="1174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175"/>
        <v>YES</v>
      </c>
      <c r="Q5183" t="str">
        <f t="shared" si="1176"/>
        <v>NO</v>
      </c>
      <c r="R5183" t="str">
        <f t="shared" si="1177"/>
        <v>NO</v>
      </c>
      <c r="S5183">
        <v>581</v>
      </c>
      <c r="T5183" t="s">
        <v>198</v>
      </c>
      <c r="U5183" t="str">
        <f t="shared" si="1164"/>
        <v>Mount Auburn St</v>
      </c>
      <c r="V5183" t="s">
        <v>464</v>
      </c>
      <c r="W5183" t="str">
        <f t="shared" si="1165"/>
        <v>Aberdeen Way</v>
      </c>
      <c r="X5183" t="str">
        <f>IF(ISBLANK(S5183),"Intersection","Non-Intersection")</f>
        <v>Non-Intersection</v>
      </c>
      <c r="Y5183" t="s">
        <v>2317</v>
      </c>
      <c r="Z5183" t="str">
        <f t="shared" si="1166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167"/>
        <v>41275</v>
      </c>
      <c r="D5184" s="4">
        <f t="shared" si="1168"/>
        <v>0.38356164383561642</v>
      </c>
      <c r="E5184" s="3">
        <f t="shared" si="1169"/>
        <v>2013</v>
      </c>
      <c r="F5184" s="3">
        <f t="shared" si="1170"/>
        <v>5</v>
      </c>
      <c r="G5184" s="3">
        <f t="shared" si="1171"/>
        <v>21</v>
      </c>
      <c r="H5184" s="3">
        <f t="shared" si="1172"/>
        <v>8</v>
      </c>
      <c r="I5184" s="3">
        <f t="shared" si="1173"/>
        <v>35</v>
      </c>
      <c r="J5184" s="3">
        <f t="shared" si="1174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175"/>
        <v>YES</v>
      </c>
      <c r="Q5184" t="str">
        <f t="shared" si="1176"/>
        <v>YES</v>
      </c>
      <c r="R5184" t="str">
        <f t="shared" si="1177"/>
        <v>NO</v>
      </c>
      <c r="T5184" t="s">
        <v>260</v>
      </c>
      <c r="U5184" t="str">
        <f t="shared" si="1164"/>
        <v>Third St</v>
      </c>
      <c r="V5184" t="s">
        <v>60</v>
      </c>
      <c r="W5184" t="str">
        <f t="shared" si="1165"/>
        <v>Rogers St</v>
      </c>
      <c r="X5184" t="str">
        <f>IF(ISBLANK(S5184),"Intersection","Non-Intersection")</f>
        <v>Intersection</v>
      </c>
      <c r="Y5184" t="s">
        <v>4334</v>
      </c>
      <c r="Z5184" t="str">
        <f t="shared" si="1166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167"/>
        <v>41275</v>
      </c>
      <c r="D5185" s="4">
        <f t="shared" si="1168"/>
        <v>0.38356164383561642</v>
      </c>
      <c r="E5185" s="3">
        <f t="shared" si="1169"/>
        <v>2013</v>
      </c>
      <c r="F5185" s="3">
        <f t="shared" si="1170"/>
        <v>5</v>
      </c>
      <c r="G5185" s="3">
        <f t="shared" si="1171"/>
        <v>21</v>
      </c>
      <c r="H5185" s="3">
        <f t="shared" si="1172"/>
        <v>2</v>
      </c>
      <c r="I5185" s="3">
        <f t="shared" si="1173"/>
        <v>29</v>
      </c>
      <c r="J5185" s="3">
        <f t="shared" si="1174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175"/>
        <v>YES</v>
      </c>
      <c r="Q5185" t="str">
        <f t="shared" si="1176"/>
        <v>NO</v>
      </c>
      <c r="R5185" t="str">
        <f t="shared" si="1177"/>
        <v>NO</v>
      </c>
      <c r="S5185">
        <v>1414</v>
      </c>
      <c r="T5185" t="s">
        <v>14</v>
      </c>
      <c r="U5185" t="str">
        <f t="shared" si="1164"/>
        <v>Massachusetts Ave</v>
      </c>
      <c r="W5185" t="str">
        <f t="shared" si="1165"/>
        <v/>
      </c>
      <c r="X5185" t="str">
        <f>IF(ISBLANK(S5185),"Intersection","Non-Intersection")</f>
        <v>Non-Intersection</v>
      </c>
      <c r="Y5185" t="s">
        <v>3273</v>
      </c>
      <c r="Z5185" t="str">
        <f t="shared" si="1166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167"/>
        <v>41275</v>
      </c>
      <c r="D5186" s="4">
        <f t="shared" si="1168"/>
        <v>0.38356164383561642</v>
      </c>
      <c r="E5186" s="3">
        <f t="shared" si="1169"/>
        <v>2013</v>
      </c>
      <c r="F5186" s="3">
        <f t="shared" si="1170"/>
        <v>5</v>
      </c>
      <c r="G5186" s="3">
        <f t="shared" si="1171"/>
        <v>21</v>
      </c>
      <c r="H5186" s="3">
        <f t="shared" si="1172"/>
        <v>8</v>
      </c>
      <c r="I5186" s="3">
        <f t="shared" si="1173"/>
        <v>1</v>
      </c>
      <c r="J5186" s="3">
        <f t="shared" si="1174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175"/>
        <v>YES</v>
      </c>
      <c r="Q5186" t="str">
        <f t="shared" si="1176"/>
        <v>YES</v>
      </c>
      <c r="R5186" t="str">
        <f t="shared" si="1177"/>
        <v>NO</v>
      </c>
      <c r="S5186">
        <v>1945</v>
      </c>
      <c r="T5186" t="s">
        <v>14</v>
      </c>
      <c r="U5186" t="str">
        <f t="shared" si="1164"/>
        <v>Massachusetts Ave</v>
      </c>
      <c r="W5186" t="str">
        <f t="shared" si="1165"/>
        <v/>
      </c>
      <c r="X5186" t="str">
        <f>IF(ISBLANK(S5186),"Intersection","Non-Intersection")</f>
        <v>Non-Intersection</v>
      </c>
      <c r="Y5186" t="s">
        <v>1205</v>
      </c>
      <c r="Z5186" t="str">
        <f t="shared" si="1166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167"/>
        <v>41275</v>
      </c>
      <c r="D5187" s="4">
        <f t="shared" si="1168"/>
        <v>0.38356164383561642</v>
      </c>
      <c r="E5187" s="3">
        <f t="shared" si="1169"/>
        <v>2013</v>
      </c>
      <c r="F5187" s="3">
        <f t="shared" si="1170"/>
        <v>5</v>
      </c>
      <c r="G5187" s="3">
        <f t="shared" si="1171"/>
        <v>21</v>
      </c>
      <c r="H5187" s="3">
        <f t="shared" si="1172"/>
        <v>8</v>
      </c>
      <c r="I5187" s="3">
        <f t="shared" si="1173"/>
        <v>0</v>
      </c>
      <c r="J5187" s="3">
        <f t="shared" si="1174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175"/>
        <v>YES</v>
      </c>
      <c r="Q5187" t="str">
        <f t="shared" si="1176"/>
        <v>NO</v>
      </c>
      <c r="R5187" t="str">
        <f t="shared" si="1177"/>
        <v>NO</v>
      </c>
      <c r="S5187" t="s">
        <v>5668</v>
      </c>
      <c r="T5187" t="s">
        <v>587</v>
      </c>
      <c r="U5187" t="str">
        <f t="shared" ref="U5187:U5250" si="1178">TRIM(PROPER(T5187))</f>
        <v>Webster Ave</v>
      </c>
      <c r="W5187" t="str">
        <f t="shared" ref="W5187:W5250" si="1179">TRIM(PROPER(V5187))</f>
        <v/>
      </c>
      <c r="X5187" t="str">
        <f>IF(ISBLANK(S5187),"Intersection","Non-Intersection")</f>
        <v>Non-Intersection</v>
      </c>
      <c r="Y5187" t="s">
        <v>5669</v>
      </c>
      <c r="Z5187" t="str">
        <f t="shared" ref="Z5187:Z5250" si="1180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167"/>
        <v>41275</v>
      </c>
      <c r="D5188" s="4">
        <f t="shared" si="1168"/>
        <v>0.38356164383561642</v>
      </c>
      <c r="E5188" s="3">
        <f t="shared" si="1169"/>
        <v>2013</v>
      </c>
      <c r="F5188" s="3">
        <f t="shared" si="1170"/>
        <v>5</v>
      </c>
      <c r="G5188" s="3">
        <f t="shared" si="1171"/>
        <v>21</v>
      </c>
      <c r="H5188" s="3">
        <f t="shared" si="1172"/>
        <v>9</v>
      </c>
      <c r="I5188" s="3">
        <f t="shared" si="1173"/>
        <v>59</v>
      </c>
      <c r="J5188" s="3">
        <f t="shared" si="1174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175"/>
        <v>YES</v>
      </c>
      <c r="Q5188" t="str">
        <f t="shared" si="1176"/>
        <v>NO</v>
      </c>
      <c r="R5188" t="str">
        <f t="shared" si="1177"/>
        <v>NO</v>
      </c>
      <c r="S5188">
        <v>1</v>
      </c>
      <c r="T5188" t="s">
        <v>269</v>
      </c>
      <c r="U5188" t="str">
        <f t="shared" si="1178"/>
        <v>Porter Sq</v>
      </c>
      <c r="W5188" t="str">
        <f t="shared" si="1179"/>
        <v/>
      </c>
      <c r="X5188" t="str">
        <f>IF(ISBLANK(S5188),"Intersection","Non-Intersection")</f>
        <v>Non-Intersection</v>
      </c>
      <c r="Y5188" t="s">
        <v>359</v>
      </c>
      <c r="Z5188" t="str">
        <f t="shared" si="1180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167"/>
        <v>41275</v>
      </c>
      <c r="D5189" s="4">
        <f t="shared" si="1168"/>
        <v>0.38356164383561642</v>
      </c>
      <c r="E5189" s="3">
        <f t="shared" si="1169"/>
        <v>2013</v>
      </c>
      <c r="F5189" s="3">
        <f t="shared" si="1170"/>
        <v>5</v>
      </c>
      <c r="G5189" s="3">
        <f t="shared" si="1171"/>
        <v>21</v>
      </c>
      <c r="H5189" s="3">
        <f t="shared" si="1172"/>
        <v>11</v>
      </c>
      <c r="I5189" s="3">
        <f t="shared" si="1173"/>
        <v>6</v>
      </c>
      <c r="J5189" s="3">
        <f t="shared" si="1174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175"/>
        <v>YES</v>
      </c>
      <c r="Q5189" t="str">
        <f t="shared" si="1176"/>
        <v>NO</v>
      </c>
      <c r="R5189" t="str">
        <f t="shared" si="1177"/>
        <v>NO</v>
      </c>
      <c r="S5189">
        <v>2400</v>
      </c>
      <c r="T5189" t="s">
        <v>14</v>
      </c>
      <c r="U5189" t="str">
        <f t="shared" si="1178"/>
        <v>Massachusetts Ave</v>
      </c>
      <c r="W5189" t="str">
        <f t="shared" si="1179"/>
        <v/>
      </c>
      <c r="X5189" t="str">
        <f>IF(ISBLANK(S5189),"Intersection","Non-Intersection")</f>
        <v>Non-Intersection</v>
      </c>
      <c r="Y5189" t="s">
        <v>3095</v>
      </c>
      <c r="Z5189" t="str">
        <f t="shared" si="1180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167"/>
        <v>41275</v>
      </c>
      <c r="D5190" s="4">
        <f t="shared" si="1168"/>
        <v>0.38356164383561642</v>
      </c>
      <c r="E5190" s="3">
        <f t="shared" si="1169"/>
        <v>2013</v>
      </c>
      <c r="F5190" s="3">
        <f t="shared" si="1170"/>
        <v>5</v>
      </c>
      <c r="G5190" s="3">
        <f t="shared" si="1171"/>
        <v>21</v>
      </c>
      <c r="H5190" s="3">
        <f t="shared" si="1172"/>
        <v>13</v>
      </c>
      <c r="I5190" s="3">
        <f t="shared" si="1173"/>
        <v>54</v>
      </c>
      <c r="J5190" s="3">
        <f t="shared" si="1174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175"/>
        <v>YES</v>
      </c>
      <c r="Q5190" t="str">
        <f t="shared" si="1176"/>
        <v>NO</v>
      </c>
      <c r="R5190" t="str">
        <f t="shared" si="1177"/>
        <v>NO</v>
      </c>
      <c r="T5190" t="s">
        <v>19</v>
      </c>
      <c r="U5190" t="str">
        <f t="shared" si="1178"/>
        <v>Cambridge St</v>
      </c>
      <c r="V5190" t="s">
        <v>667</v>
      </c>
      <c r="W5190" t="str">
        <f t="shared" si="1179"/>
        <v>Tremont St</v>
      </c>
      <c r="X5190" t="str">
        <f>IF(ISBLANK(S5190),"Intersection","Non-Intersection")</f>
        <v>Intersection</v>
      </c>
      <c r="Y5190" t="s">
        <v>3074</v>
      </c>
      <c r="Z5190" t="str">
        <f t="shared" si="1180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167"/>
        <v>41275</v>
      </c>
      <c r="D5191" s="4">
        <f t="shared" si="1168"/>
        <v>0.38356164383561642</v>
      </c>
      <c r="E5191" s="3">
        <f t="shared" si="1169"/>
        <v>2013</v>
      </c>
      <c r="F5191" s="3">
        <f t="shared" si="1170"/>
        <v>5</v>
      </c>
      <c r="G5191" s="3">
        <f t="shared" si="1171"/>
        <v>21</v>
      </c>
      <c r="H5191" s="3">
        <f t="shared" si="1172"/>
        <v>15</v>
      </c>
      <c r="I5191" s="3">
        <f t="shared" si="1173"/>
        <v>34</v>
      </c>
      <c r="J5191" s="3">
        <f t="shared" si="1174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175"/>
        <v>YES</v>
      </c>
      <c r="Q5191" t="str">
        <f t="shared" si="1176"/>
        <v>NO</v>
      </c>
      <c r="R5191" t="str">
        <f t="shared" si="1177"/>
        <v>NO</v>
      </c>
      <c r="T5191" t="s">
        <v>209</v>
      </c>
      <c r="U5191" t="str">
        <f t="shared" si="1178"/>
        <v>Binney St</v>
      </c>
      <c r="V5191" t="s">
        <v>61</v>
      </c>
      <c r="W5191" t="str">
        <f t="shared" si="1179"/>
        <v>First St</v>
      </c>
      <c r="X5191" t="str">
        <f>IF(ISBLANK(S5191),"Intersection","Non-Intersection")</f>
        <v>Intersection</v>
      </c>
      <c r="Y5191" t="s">
        <v>579</v>
      </c>
      <c r="Z5191" t="str">
        <f t="shared" si="1180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167"/>
        <v>41275</v>
      </c>
      <c r="D5192" s="4">
        <f t="shared" si="1168"/>
        <v>0.38356164383561642</v>
      </c>
      <c r="E5192" s="3">
        <f t="shared" si="1169"/>
        <v>2013</v>
      </c>
      <c r="F5192" s="3">
        <f t="shared" si="1170"/>
        <v>5</v>
      </c>
      <c r="G5192" s="3">
        <f t="shared" si="1171"/>
        <v>21</v>
      </c>
      <c r="H5192" s="3">
        <f t="shared" si="1172"/>
        <v>21</v>
      </c>
      <c r="I5192" s="3">
        <f t="shared" si="1173"/>
        <v>59</v>
      </c>
      <c r="J5192" s="3">
        <f t="shared" si="1174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175"/>
        <v>YES</v>
      </c>
      <c r="Q5192" t="str">
        <f t="shared" si="1176"/>
        <v>NO</v>
      </c>
      <c r="R5192" t="str">
        <f t="shared" si="1177"/>
        <v>NO</v>
      </c>
      <c r="S5192">
        <v>21</v>
      </c>
      <c r="T5192" t="s">
        <v>423</v>
      </c>
      <c r="U5192" t="str">
        <f t="shared" si="1178"/>
        <v>Stearns St</v>
      </c>
      <c r="W5192" t="str">
        <f t="shared" si="1179"/>
        <v/>
      </c>
      <c r="X5192" t="str">
        <f>IF(ISBLANK(S5192),"Intersection","Non-Intersection")</f>
        <v>Non-Intersection</v>
      </c>
      <c r="Y5192" t="s">
        <v>5671</v>
      </c>
      <c r="Z5192" t="str">
        <f t="shared" si="1180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167"/>
        <v>41275</v>
      </c>
      <c r="D5193" s="4">
        <f t="shared" si="1168"/>
        <v>0.38630136986301372</v>
      </c>
      <c r="E5193" s="3">
        <f t="shared" si="1169"/>
        <v>2013</v>
      </c>
      <c r="F5193" s="3">
        <f t="shared" si="1170"/>
        <v>5</v>
      </c>
      <c r="G5193" s="3">
        <f t="shared" si="1171"/>
        <v>22</v>
      </c>
      <c r="H5193" s="3">
        <f t="shared" si="1172"/>
        <v>6</v>
      </c>
      <c r="I5193" s="3">
        <f t="shared" si="1173"/>
        <v>45</v>
      </c>
      <c r="J5193" s="3">
        <f t="shared" si="1174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175"/>
        <v>YES</v>
      </c>
      <c r="Q5193" t="str">
        <f t="shared" si="1176"/>
        <v>NO</v>
      </c>
      <c r="R5193" t="str">
        <f t="shared" si="1177"/>
        <v>YES</v>
      </c>
      <c r="T5193" t="s">
        <v>14</v>
      </c>
      <c r="U5193" t="str">
        <f t="shared" si="1178"/>
        <v>Massachusetts Ave</v>
      </c>
      <c r="V5193" t="s">
        <v>189</v>
      </c>
      <c r="W5193" t="str">
        <f t="shared" si="1179"/>
        <v>Windsor St</v>
      </c>
      <c r="X5193" t="str">
        <f>IF(ISBLANK(S5193),"Intersection","Non-Intersection")</f>
        <v>Intersection</v>
      </c>
      <c r="Y5193" t="s">
        <v>595</v>
      </c>
      <c r="Z5193" t="str">
        <f t="shared" si="1180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167"/>
        <v>41275</v>
      </c>
      <c r="D5194" s="4">
        <f t="shared" si="1168"/>
        <v>0.38630136986301372</v>
      </c>
      <c r="E5194" s="3">
        <f t="shared" si="1169"/>
        <v>2013</v>
      </c>
      <c r="F5194" s="3">
        <f t="shared" si="1170"/>
        <v>5</v>
      </c>
      <c r="G5194" s="3">
        <f t="shared" si="1171"/>
        <v>22</v>
      </c>
      <c r="H5194" s="3">
        <f t="shared" si="1172"/>
        <v>8</v>
      </c>
      <c r="I5194" s="3">
        <f t="shared" si="1173"/>
        <v>35</v>
      </c>
      <c r="J5194" s="3">
        <f t="shared" si="1174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175"/>
        <v>YES</v>
      </c>
      <c r="Q5194" t="str">
        <f t="shared" si="1176"/>
        <v>NO</v>
      </c>
      <c r="R5194" t="str">
        <f t="shared" si="1177"/>
        <v>NO</v>
      </c>
      <c r="S5194">
        <v>175</v>
      </c>
      <c r="T5194" t="s">
        <v>198</v>
      </c>
      <c r="U5194" t="str">
        <f t="shared" si="1178"/>
        <v>Mount Auburn St</v>
      </c>
      <c r="V5194" t="s">
        <v>935</v>
      </c>
      <c r="W5194" t="str">
        <f t="shared" si="1179"/>
        <v>Hawthorne St</v>
      </c>
      <c r="X5194" t="str">
        <f>IF(ISBLANK(S5194),"Intersection","Non-Intersection")</f>
        <v>Non-Intersection</v>
      </c>
      <c r="Y5194" t="s">
        <v>5673</v>
      </c>
      <c r="Z5194" t="str">
        <f t="shared" si="1180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167"/>
        <v>41275</v>
      </c>
      <c r="D5195" s="4">
        <f t="shared" si="1168"/>
        <v>0.38630136986301372</v>
      </c>
      <c r="E5195" s="3">
        <f t="shared" si="1169"/>
        <v>2013</v>
      </c>
      <c r="F5195" s="3">
        <f t="shared" si="1170"/>
        <v>5</v>
      </c>
      <c r="G5195" s="3">
        <f t="shared" si="1171"/>
        <v>22</v>
      </c>
      <c r="H5195" s="3">
        <f t="shared" si="1172"/>
        <v>10</v>
      </c>
      <c r="I5195" s="3">
        <f t="shared" si="1173"/>
        <v>5</v>
      </c>
      <c r="J5195" s="3">
        <f t="shared" si="1174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175"/>
        <v>YES</v>
      </c>
      <c r="Q5195" t="str">
        <f t="shared" si="1176"/>
        <v>NO</v>
      </c>
      <c r="R5195" t="str">
        <f t="shared" si="1177"/>
        <v>NO</v>
      </c>
      <c r="T5195" t="s">
        <v>61</v>
      </c>
      <c r="U5195" t="str">
        <f t="shared" si="1178"/>
        <v>First St</v>
      </c>
      <c r="V5195" t="s">
        <v>209</v>
      </c>
      <c r="W5195" t="str">
        <f t="shared" si="1179"/>
        <v>Binney St</v>
      </c>
      <c r="X5195" t="str">
        <f>IF(ISBLANK(S5195),"Intersection","Non-Intersection")</f>
        <v>Intersection</v>
      </c>
      <c r="Y5195" t="s">
        <v>447</v>
      </c>
      <c r="Z5195" t="str">
        <f t="shared" si="1180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167"/>
        <v>41275</v>
      </c>
      <c r="D5196" s="4">
        <f t="shared" si="1168"/>
        <v>0.38630136986301372</v>
      </c>
      <c r="E5196" s="3">
        <f t="shared" si="1169"/>
        <v>2013</v>
      </c>
      <c r="F5196" s="3">
        <f t="shared" si="1170"/>
        <v>5</v>
      </c>
      <c r="G5196" s="3">
        <f t="shared" si="1171"/>
        <v>22</v>
      </c>
      <c r="H5196" s="3">
        <f t="shared" si="1172"/>
        <v>11</v>
      </c>
      <c r="I5196" s="3">
        <f t="shared" si="1173"/>
        <v>55</v>
      </c>
      <c r="J5196" s="3">
        <f t="shared" si="1174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175"/>
        <v>YES</v>
      </c>
      <c r="Q5196" t="str">
        <f t="shared" si="1176"/>
        <v>NO</v>
      </c>
      <c r="R5196" t="str">
        <f t="shared" si="1177"/>
        <v>YES</v>
      </c>
      <c r="T5196" t="s">
        <v>178</v>
      </c>
      <c r="U5196" t="str">
        <f t="shared" si="1178"/>
        <v>Pleasant St</v>
      </c>
      <c r="V5196" t="s">
        <v>116</v>
      </c>
      <c r="W5196" t="str">
        <f t="shared" si="1179"/>
        <v>Chestnut St</v>
      </c>
      <c r="X5196" t="str">
        <f>IF(ISBLANK(S5196),"Intersection","Non-Intersection")</f>
        <v>Intersection</v>
      </c>
      <c r="Y5196" t="s">
        <v>5675</v>
      </c>
      <c r="Z5196" t="str">
        <f t="shared" si="1180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167"/>
        <v>41275</v>
      </c>
      <c r="D5197" s="4">
        <f t="shared" si="1168"/>
        <v>0.38630136986301372</v>
      </c>
      <c r="E5197" s="3">
        <f t="shared" si="1169"/>
        <v>2013</v>
      </c>
      <c r="F5197" s="3">
        <f t="shared" si="1170"/>
        <v>5</v>
      </c>
      <c r="G5197" s="3">
        <f t="shared" si="1171"/>
        <v>22</v>
      </c>
      <c r="H5197" s="3">
        <f t="shared" si="1172"/>
        <v>15</v>
      </c>
      <c r="I5197" s="3">
        <f t="shared" si="1173"/>
        <v>0</v>
      </c>
      <c r="J5197" s="3">
        <f t="shared" si="1174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175"/>
        <v>YES</v>
      </c>
      <c r="Q5197" t="str">
        <f t="shared" si="1176"/>
        <v>NO</v>
      </c>
      <c r="R5197" t="str">
        <f t="shared" si="1177"/>
        <v>NO</v>
      </c>
      <c r="S5197">
        <v>671</v>
      </c>
      <c r="T5197" t="s">
        <v>186</v>
      </c>
      <c r="U5197" t="str">
        <f t="shared" si="1178"/>
        <v>Concord Ave</v>
      </c>
      <c r="W5197" t="str">
        <f t="shared" si="1179"/>
        <v/>
      </c>
      <c r="X5197" t="str">
        <f>IF(ISBLANK(S5197),"Intersection","Non-Intersection")</f>
        <v>Non-Intersection</v>
      </c>
      <c r="Y5197" t="s">
        <v>5677</v>
      </c>
      <c r="Z5197" t="str">
        <f t="shared" si="1180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167"/>
        <v>41275</v>
      </c>
      <c r="D5198" s="4">
        <f t="shared" si="1168"/>
        <v>0.38904109589041097</v>
      </c>
      <c r="E5198" s="3">
        <f t="shared" si="1169"/>
        <v>2013</v>
      </c>
      <c r="F5198" s="3">
        <f t="shared" si="1170"/>
        <v>5</v>
      </c>
      <c r="G5198" s="3">
        <f t="shared" si="1171"/>
        <v>23</v>
      </c>
      <c r="H5198" s="3">
        <f t="shared" si="1172"/>
        <v>10</v>
      </c>
      <c r="I5198" s="3">
        <f t="shared" si="1173"/>
        <v>50</v>
      </c>
      <c r="J5198" s="3">
        <f t="shared" si="1174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175"/>
        <v>YES</v>
      </c>
      <c r="Q5198" t="str">
        <f t="shared" si="1176"/>
        <v>YES</v>
      </c>
      <c r="R5198" t="str">
        <f t="shared" si="1177"/>
        <v>NO</v>
      </c>
      <c r="T5198" t="s">
        <v>342</v>
      </c>
      <c r="U5198" t="str">
        <f t="shared" si="1178"/>
        <v>Prospect St</v>
      </c>
      <c r="V5198" t="s">
        <v>133</v>
      </c>
      <c r="W5198" t="str">
        <f t="shared" si="1179"/>
        <v>Harvard St</v>
      </c>
      <c r="X5198" t="str">
        <f>IF(ISBLANK(S5198),"Intersection","Non-Intersection")</f>
        <v>Intersection</v>
      </c>
      <c r="Y5198" t="s">
        <v>884</v>
      </c>
      <c r="Z5198" t="str">
        <f t="shared" si="1180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167"/>
        <v>41275</v>
      </c>
      <c r="D5199" s="4">
        <f t="shared" si="1168"/>
        <v>0.38904109589041097</v>
      </c>
      <c r="E5199" s="3">
        <f t="shared" si="1169"/>
        <v>2013</v>
      </c>
      <c r="F5199" s="3">
        <f t="shared" si="1170"/>
        <v>5</v>
      </c>
      <c r="G5199" s="3">
        <f t="shared" si="1171"/>
        <v>23</v>
      </c>
      <c r="H5199" s="3">
        <f t="shared" si="1172"/>
        <v>8</v>
      </c>
      <c r="I5199" s="3">
        <f t="shared" si="1173"/>
        <v>55</v>
      </c>
      <c r="J5199" s="3">
        <f t="shared" si="1174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175"/>
        <v>YES</v>
      </c>
      <c r="Q5199" t="str">
        <f t="shared" si="1176"/>
        <v>YES</v>
      </c>
      <c r="R5199" t="str">
        <f t="shared" si="1177"/>
        <v>NO</v>
      </c>
      <c r="T5199" t="s">
        <v>185</v>
      </c>
      <c r="U5199" t="str">
        <f t="shared" si="1178"/>
        <v>Garden St</v>
      </c>
      <c r="V5199" t="s">
        <v>252</v>
      </c>
      <c r="W5199" t="str">
        <f t="shared" si="1179"/>
        <v>Walden St</v>
      </c>
      <c r="X5199" t="str">
        <f>IF(ISBLANK(S5199),"Intersection","Non-Intersection")</f>
        <v>Intersection</v>
      </c>
      <c r="Y5199" t="s">
        <v>1460</v>
      </c>
      <c r="Z5199" t="str">
        <f t="shared" si="1180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167"/>
        <v>41275</v>
      </c>
      <c r="D5200" s="4">
        <f t="shared" si="1168"/>
        <v>0.38904109589041097</v>
      </c>
      <c r="E5200" s="3">
        <f t="shared" si="1169"/>
        <v>2013</v>
      </c>
      <c r="F5200" s="3">
        <f t="shared" si="1170"/>
        <v>5</v>
      </c>
      <c r="G5200" s="3">
        <f t="shared" si="1171"/>
        <v>23</v>
      </c>
      <c r="H5200" s="3">
        <f t="shared" si="1172"/>
        <v>9</v>
      </c>
      <c r="I5200" s="3">
        <f t="shared" si="1173"/>
        <v>59</v>
      </c>
      <c r="J5200" s="3">
        <f t="shared" si="1174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175"/>
        <v>YES</v>
      </c>
      <c r="Q5200" t="str">
        <f t="shared" si="1176"/>
        <v>YES</v>
      </c>
      <c r="R5200" t="str">
        <f t="shared" si="1177"/>
        <v>NO</v>
      </c>
      <c r="T5200" t="s">
        <v>14</v>
      </c>
      <c r="U5200" t="str">
        <f t="shared" si="1178"/>
        <v>Massachusetts Ave</v>
      </c>
      <c r="V5200" t="s">
        <v>805</v>
      </c>
      <c r="W5200" t="str">
        <f t="shared" si="1179"/>
        <v>Trowbridge St</v>
      </c>
      <c r="X5200" t="str">
        <f>IF(ISBLANK(S5200),"Intersection","Non-Intersection")</f>
        <v>Intersection</v>
      </c>
      <c r="Y5200" t="s">
        <v>4234</v>
      </c>
      <c r="Z5200" t="str">
        <f t="shared" si="1180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167"/>
        <v>41275</v>
      </c>
      <c r="D5201" s="4">
        <f t="shared" si="1168"/>
        <v>0.38904109589041097</v>
      </c>
      <c r="E5201" s="3">
        <f t="shared" si="1169"/>
        <v>2013</v>
      </c>
      <c r="F5201" s="3">
        <f t="shared" si="1170"/>
        <v>5</v>
      </c>
      <c r="G5201" s="3">
        <f t="shared" si="1171"/>
        <v>23</v>
      </c>
      <c r="H5201" s="3">
        <f t="shared" si="1172"/>
        <v>9</v>
      </c>
      <c r="I5201" s="3">
        <f t="shared" si="1173"/>
        <v>45</v>
      </c>
      <c r="J5201" s="3">
        <f t="shared" si="1174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175"/>
        <v>YES</v>
      </c>
      <c r="Q5201" t="str">
        <f t="shared" si="1176"/>
        <v>NO</v>
      </c>
      <c r="R5201" t="str">
        <f t="shared" si="1177"/>
        <v>NO</v>
      </c>
      <c r="T5201" t="s">
        <v>198</v>
      </c>
      <c r="U5201" t="str">
        <f t="shared" si="1178"/>
        <v>Mount Auburn St</v>
      </c>
      <c r="V5201" t="s">
        <v>24</v>
      </c>
      <c r="W5201" t="str">
        <f t="shared" si="1179"/>
        <v>Coolidge Ave</v>
      </c>
      <c r="X5201" t="str">
        <f>IF(ISBLANK(S5201),"Intersection","Non-Intersection")</f>
        <v>Intersection</v>
      </c>
      <c r="Y5201" t="s">
        <v>2019</v>
      </c>
      <c r="Z5201" t="str">
        <f t="shared" si="1180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167"/>
        <v>41275</v>
      </c>
      <c r="D5202" s="4">
        <f t="shared" si="1168"/>
        <v>0.38904109589041097</v>
      </c>
      <c r="E5202" s="3">
        <f t="shared" si="1169"/>
        <v>2013</v>
      </c>
      <c r="F5202" s="3">
        <f t="shared" si="1170"/>
        <v>5</v>
      </c>
      <c r="G5202" s="3">
        <f t="shared" si="1171"/>
        <v>23</v>
      </c>
      <c r="H5202" s="3">
        <f t="shared" si="1172"/>
        <v>18</v>
      </c>
      <c r="I5202" s="3">
        <f t="shared" si="1173"/>
        <v>0</v>
      </c>
      <c r="J5202" s="3">
        <f t="shared" si="1174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175"/>
        <v>YES</v>
      </c>
      <c r="Q5202" t="str">
        <f t="shared" si="1176"/>
        <v>NO</v>
      </c>
      <c r="R5202" t="str">
        <f t="shared" si="1177"/>
        <v>NO</v>
      </c>
      <c r="S5202">
        <v>17</v>
      </c>
      <c r="T5202" t="s">
        <v>2737</v>
      </c>
      <c r="U5202" t="str">
        <f t="shared" si="1178"/>
        <v>Woodbridge St</v>
      </c>
      <c r="W5202" t="str">
        <f t="shared" si="1179"/>
        <v/>
      </c>
      <c r="X5202" t="str">
        <f>IF(ISBLANK(S5202),"Intersection","Non-Intersection")</f>
        <v>Non-Intersection</v>
      </c>
      <c r="Y5202" t="s">
        <v>5679</v>
      </c>
      <c r="Z5202" t="str">
        <f t="shared" si="1180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167"/>
        <v>41275</v>
      </c>
      <c r="D5203" s="4">
        <f t="shared" si="1168"/>
        <v>0.38904109589041097</v>
      </c>
      <c r="E5203" s="3">
        <f t="shared" si="1169"/>
        <v>2013</v>
      </c>
      <c r="F5203" s="3">
        <f t="shared" si="1170"/>
        <v>5</v>
      </c>
      <c r="G5203" s="3">
        <f t="shared" si="1171"/>
        <v>23</v>
      </c>
      <c r="H5203" s="3">
        <f t="shared" si="1172"/>
        <v>20</v>
      </c>
      <c r="I5203" s="3">
        <f t="shared" si="1173"/>
        <v>29</v>
      </c>
      <c r="J5203" s="3">
        <f t="shared" si="1174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175"/>
        <v>YES</v>
      </c>
      <c r="Q5203" t="str">
        <f t="shared" si="1176"/>
        <v>NO</v>
      </c>
      <c r="R5203" t="str">
        <f t="shared" si="1177"/>
        <v>NO</v>
      </c>
      <c r="T5203" t="s">
        <v>556</v>
      </c>
      <c r="U5203" t="str">
        <f t="shared" si="1178"/>
        <v>Bent St</v>
      </c>
      <c r="V5203" t="s">
        <v>993</v>
      </c>
      <c r="W5203" t="str">
        <f t="shared" si="1179"/>
        <v>Fifth St</v>
      </c>
      <c r="X5203" t="str">
        <f>IF(ISBLANK(S5203),"Intersection","Non-Intersection")</f>
        <v>Intersection</v>
      </c>
      <c r="Y5203" t="s">
        <v>4721</v>
      </c>
      <c r="Z5203" t="str">
        <f t="shared" si="1180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167"/>
        <v>41275</v>
      </c>
      <c r="D5204" s="4">
        <f t="shared" si="1168"/>
        <v>0.38904109589041097</v>
      </c>
      <c r="E5204" s="3">
        <f t="shared" si="1169"/>
        <v>2013</v>
      </c>
      <c r="F5204" s="3">
        <f t="shared" si="1170"/>
        <v>5</v>
      </c>
      <c r="G5204" s="3">
        <f t="shared" si="1171"/>
        <v>23</v>
      </c>
      <c r="H5204" s="3">
        <f t="shared" si="1172"/>
        <v>22</v>
      </c>
      <c r="I5204" s="3">
        <f t="shared" si="1173"/>
        <v>5</v>
      </c>
      <c r="J5204" s="3">
        <f t="shared" si="1174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175"/>
        <v>YES</v>
      </c>
      <c r="Q5204" t="str">
        <f t="shared" si="1176"/>
        <v>NO</v>
      </c>
      <c r="R5204" t="str">
        <f t="shared" si="1177"/>
        <v>YES</v>
      </c>
      <c r="T5204" t="s">
        <v>14</v>
      </c>
      <c r="U5204" t="str">
        <f t="shared" si="1178"/>
        <v>Massachusetts Ave</v>
      </c>
      <c r="V5204" t="s">
        <v>985</v>
      </c>
      <c r="W5204" t="str">
        <f t="shared" si="1179"/>
        <v>Plymouth St</v>
      </c>
      <c r="X5204" t="str">
        <f>IF(ISBLANK(S5204),"Intersection","Non-Intersection")</f>
        <v>Intersection</v>
      </c>
      <c r="Y5204" t="s">
        <v>4757</v>
      </c>
      <c r="Z5204" t="str">
        <f t="shared" si="1180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167"/>
        <v>41275</v>
      </c>
      <c r="D5205" s="4">
        <f t="shared" si="1168"/>
        <v>0.39178082191780822</v>
      </c>
      <c r="E5205" s="3">
        <f t="shared" si="1169"/>
        <v>2013</v>
      </c>
      <c r="F5205" s="3">
        <f t="shared" si="1170"/>
        <v>5</v>
      </c>
      <c r="G5205" s="3">
        <f t="shared" si="1171"/>
        <v>24</v>
      </c>
      <c r="H5205" s="3">
        <f t="shared" si="1172"/>
        <v>15</v>
      </c>
      <c r="I5205" s="3">
        <f t="shared" si="1173"/>
        <v>59</v>
      </c>
      <c r="J5205" s="3">
        <f t="shared" si="1174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175"/>
        <v>YES</v>
      </c>
      <c r="Q5205" t="str">
        <f t="shared" si="1176"/>
        <v>NO</v>
      </c>
      <c r="R5205" t="str">
        <f t="shared" si="1177"/>
        <v>NO</v>
      </c>
      <c r="T5205" t="s">
        <v>14</v>
      </c>
      <c r="U5205" t="str">
        <f t="shared" si="1178"/>
        <v>Massachusetts Ave</v>
      </c>
      <c r="V5205" t="s">
        <v>5681</v>
      </c>
      <c r="W5205" t="str">
        <f t="shared" si="1179"/>
        <v>Amherst Alley</v>
      </c>
      <c r="X5205" t="str">
        <f>IF(ISBLANK(S5205),"Intersection","Non-Intersection")</f>
        <v>Intersection</v>
      </c>
      <c r="Y5205" t="s">
        <v>5682</v>
      </c>
      <c r="Z5205" t="str">
        <f t="shared" si="1180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167"/>
        <v>41275</v>
      </c>
      <c r="D5206" s="4">
        <f t="shared" si="1168"/>
        <v>0.39178082191780822</v>
      </c>
      <c r="E5206" s="3">
        <f t="shared" si="1169"/>
        <v>2013</v>
      </c>
      <c r="F5206" s="3">
        <f t="shared" si="1170"/>
        <v>5</v>
      </c>
      <c r="G5206" s="3">
        <f t="shared" si="1171"/>
        <v>24</v>
      </c>
      <c r="H5206" s="3">
        <f t="shared" si="1172"/>
        <v>16</v>
      </c>
      <c r="I5206" s="3">
        <f t="shared" si="1173"/>
        <v>59</v>
      </c>
      <c r="J5206" s="3">
        <f t="shared" si="1174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175"/>
        <v>YES</v>
      </c>
      <c r="Q5206" t="str">
        <f t="shared" si="1176"/>
        <v>NO</v>
      </c>
      <c r="R5206" t="str">
        <f t="shared" si="1177"/>
        <v>YES</v>
      </c>
      <c r="S5206">
        <v>260</v>
      </c>
      <c r="T5206" t="s">
        <v>509</v>
      </c>
      <c r="U5206" t="str">
        <f t="shared" si="1178"/>
        <v>Green St</v>
      </c>
      <c r="W5206" t="str">
        <f t="shared" si="1179"/>
        <v/>
      </c>
      <c r="X5206" t="str">
        <f>IF(ISBLANK(S5206),"Intersection","Non-Intersection")</f>
        <v>Non-Intersection</v>
      </c>
      <c r="Y5206" t="s">
        <v>5630</v>
      </c>
      <c r="Z5206" t="str">
        <f t="shared" si="1180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167"/>
        <v>41275</v>
      </c>
      <c r="D5207" s="4">
        <f t="shared" si="1168"/>
        <v>0.39178082191780822</v>
      </c>
      <c r="E5207" s="3">
        <f t="shared" si="1169"/>
        <v>2013</v>
      </c>
      <c r="F5207" s="3">
        <f t="shared" si="1170"/>
        <v>5</v>
      </c>
      <c r="G5207" s="3">
        <f t="shared" si="1171"/>
        <v>24</v>
      </c>
      <c r="H5207" s="3">
        <f t="shared" si="1172"/>
        <v>13</v>
      </c>
      <c r="I5207" s="3">
        <f t="shared" si="1173"/>
        <v>30</v>
      </c>
      <c r="J5207" s="3">
        <f t="shared" si="1174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175"/>
        <v>YES</v>
      </c>
      <c r="Q5207" t="str">
        <f t="shared" si="1176"/>
        <v>YES</v>
      </c>
      <c r="R5207" t="str">
        <f t="shared" si="1177"/>
        <v>NO</v>
      </c>
      <c r="T5207" t="s">
        <v>19</v>
      </c>
      <c r="U5207" t="str">
        <f t="shared" si="1178"/>
        <v>Cambridge St</v>
      </c>
      <c r="V5207" t="s">
        <v>74</v>
      </c>
      <c r="W5207" t="str">
        <f t="shared" si="1179"/>
        <v>Hampshire St</v>
      </c>
      <c r="X5207" t="str">
        <f>IF(ISBLANK(S5207),"Intersection","Non-Intersection")</f>
        <v>Intersection</v>
      </c>
      <c r="Y5207" t="s">
        <v>111</v>
      </c>
      <c r="Z5207" t="str">
        <f t="shared" si="1180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167"/>
        <v>41275</v>
      </c>
      <c r="D5208" s="4">
        <f t="shared" si="1168"/>
        <v>0.39178082191780822</v>
      </c>
      <c r="E5208" s="3">
        <f t="shared" si="1169"/>
        <v>2013</v>
      </c>
      <c r="F5208" s="3">
        <f t="shared" si="1170"/>
        <v>5</v>
      </c>
      <c r="G5208" s="3">
        <f t="shared" si="1171"/>
        <v>24</v>
      </c>
      <c r="H5208" s="3">
        <f t="shared" si="1172"/>
        <v>17</v>
      </c>
      <c r="I5208" s="3">
        <f t="shared" si="1173"/>
        <v>29</v>
      </c>
      <c r="J5208" s="3">
        <f t="shared" si="1174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175"/>
        <v>YES</v>
      </c>
      <c r="Q5208" t="str">
        <f t="shared" si="1176"/>
        <v>YES</v>
      </c>
      <c r="R5208" t="str">
        <f t="shared" si="1177"/>
        <v>NO</v>
      </c>
      <c r="S5208">
        <v>1608</v>
      </c>
      <c r="T5208" t="s">
        <v>19</v>
      </c>
      <c r="U5208" t="str">
        <f t="shared" si="1178"/>
        <v>Cambridge St</v>
      </c>
      <c r="W5208" t="str">
        <f t="shared" si="1179"/>
        <v/>
      </c>
      <c r="X5208" t="str">
        <f>IF(ISBLANK(S5208),"Intersection","Non-Intersection")</f>
        <v>Non-Intersection</v>
      </c>
      <c r="Y5208" t="s">
        <v>5683</v>
      </c>
      <c r="Z5208" t="str">
        <f t="shared" si="1180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167"/>
        <v>41275</v>
      </c>
      <c r="D5209" s="4">
        <f t="shared" si="1168"/>
        <v>0.39178082191780822</v>
      </c>
      <c r="E5209" s="3">
        <f t="shared" si="1169"/>
        <v>2013</v>
      </c>
      <c r="F5209" s="3">
        <f t="shared" si="1170"/>
        <v>5</v>
      </c>
      <c r="G5209" s="3">
        <f t="shared" si="1171"/>
        <v>24</v>
      </c>
      <c r="H5209" s="3">
        <f t="shared" si="1172"/>
        <v>8</v>
      </c>
      <c r="I5209" s="3">
        <f t="shared" si="1173"/>
        <v>48</v>
      </c>
      <c r="J5209" s="3">
        <f t="shared" si="1174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175"/>
        <v>YES</v>
      </c>
      <c r="Q5209" t="str">
        <f t="shared" si="1176"/>
        <v>NO</v>
      </c>
      <c r="R5209" t="str">
        <f t="shared" si="1177"/>
        <v>NO</v>
      </c>
      <c r="S5209">
        <v>6</v>
      </c>
      <c r="T5209" t="s">
        <v>553</v>
      </c>
      <c r="U5209" t="str">
        <f t="shared" si="1178"/>
        <v>Cameron Ave</v>
      </c>
      <c r="W5209" t="str">
        <f t="shared" si="1179"/>
        <v/>
      </c>
      <c r="X5209" t="str">
        <f>IF(ISBLANK(S5209),"Intersection","Non-Intersection")</f>
        <v>Non-Intersection</v>
      </c>
      <c r="Y5209" t="s">
        <v>5685</v>
      </c>
      <c r="Z5209" t="str">
        <f t="shared" si="1180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167"/>
        <v>41275</v>
      </c>
      <c r="D5210" s="4">
        <f t="shared" si="1168"/>
        <v>0.39178082191780822</v>
      </c>
      <c r="E5210" s="3">
        <f t="shared" si="1169"/>
        <v>2013</v>
      </c>
      <c r="F5210" s="3">
        <f t="shared" si="1170"/>
        <v>5</v>
      </c>
      <c r="G5210" s="3">
        <f t="shared" si="1171"/>
        <v>24</v>
      </c>
      <c r="H5210" s="3">
        <f t="shared" si="1172"/>
        <v>17</v>
      </c>
      <c r="I5210" s="3">
        <f t="shared" si="1173"/>
        <v>29</v>
      </c>
      <c r="J5210" s="3">
        <f t="shared" si="1174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175"/>
        <v>YES</v>
      </c>
      <c r="Q5210" t="str">
        <f t="shared" si="1176"/>
        <v>NO</v>
      </c>
      <c r="R5210" t="str">
        <f t="shared" si="1177"/>
        <v>NO</v>
      </c>
      <c r="S5210">
        <v>65</v>
      </c>
      <c r="T5210" t="s">
        <v>2460</v>
      </c>
      <c r="U5210" t="str">
        <f t="shared" si="1178"/>
        <v>Langdon St</v>
      </c>
      <c r="W5210" t="str">
        <f t="shared" si="1179"/>
        <v/>
      </c>
      <c r="X5210" t="str">
        <f>IF(ISBLANK(S5210),"Intersection","Non-Intersection")</f>
        <v>Non-Intersection</v>
      </c>
      <c r="Y5210" t="s">
        <v>5687</v>
      </c>
      <c r="Z5210" t="str">
        <f t="shared" si="1180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167"/>
        <v>41275</v>
      </c>
      <c r="D5211" s="4">
        <f t="shared" si="1168"/>
        <v>0.39452054794520547</v>
      </c>
      <c r="E5211" s="3">
        <f t="shared" si="1169"/>
        <v>2013</v>
      </c>
      <c r="F5211" s="3">
        <f t="shared" si="1170"/>
        <v>5</v>
      </c>
      <c r="G5211" s="3">
        <f t="shared" si="1171"/>
        <v>25</v>
      </c>
      <c r="H5211" s="3">
        <f t="shared" si="1172"/>
        <v>15</v>
      </c>
      <c r="I5211" s="3">
        <f t="shared" si="1173"/>
        <v>59</v>
      </c>
      <c r="J5211" s="3">
        <f t="shared" si="1174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175"/>
        <v>YES</v>
      </c>
      <c r="Q5211" t="str">
        <f t="shared" si="1176"/>
        <v>NO</v>
      </c>
      <c r="R5211" t="str">
        <f t="shared" si="1177"/>
        <v>NO</v>
      </c>
      <c r="S5211">
        <v>4</v>
      </c>
      <c r="T5211" t="s">
        <v>971</v>
      </c>
      <c r="U5211" t="str">
        <f t="shared" si="1178"/>
        <v>Ellsworth Ave</v>
      </c>
      <c r="W5211" t="str">
        <f t="shared" si="1179"/>
        <v/>
      </c>
      <c r="X5211" t="str">
        <f>IF(ISBLANK(S5211),"Intersection","Non-Intersection")</f>
        <v>Non-Intersection</v>
      </c>
      <c r="Y5211" t="s">
        <v>5689</v>
      </c>
      <c r="Z5211" t="str">
        <f t="shared" si="1180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167"/>
        <v>41275</v>
      </c>
      <c r="D5212" s="4">
        <f t="shared" si="1168"/>
        <v>0.39726027397260272</v>
      </c>
      <c r="E5212" s="3">
        <f t="shared" si="1169"/>
        <v>2013</v>
      </c>
      <c r="F5212" s="3">
        <f t="shared" si="1170"/>
        <v>5</v>
      </c>
      <c r="G5212" s="3">
        <f t="shared" si="1171"/>
        <v>26</v>
      </c>
      <c r="H5212" s="3">
        <f t="shared" si="1172"/>
        <v>2</v>
      </c>
      <c r="I5212" s="3">
        <f t="shared" si="1173"/>
        <v>44</v>
      </c>
      <c r="J5212" s="3">
        <f t="shared" si="1174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175"/>
        <v>YES</v>
      </c>
      <c r="Q5212" t="str">
        <f t="shared" si="1176"/>
        <v>NO</v>
      </c>
      <c r="R5212" t="str">
        <f t="shared" si="1177"/>
        <v>NO</v>
      </c>
      <c r="T5212" t="s">
        <v>14</v>
      </c>
      <c r="U5212" t="str">
        <f t="shared" si="1178"/>
        <v>Massachusetts Ave</v>
      </c>
      <c r="V5212" t="s">
        <v>252</v>
      </c>
      <c r="W5212" t="str">
        <f t="shared" si="1179"/>
        <v>Walden St</v>
      </c>
      <c r="X5212" t="str">
        <f>IF(ISBLANK(S5212),"Intersection","Non-Intersection")</f>
        <v>Intersection</v>
      </c>
      <c r="Y5212" t="s">
        <v>2600</v>
      </c>
      <c r="Z5212" t="str">
        <f t="shared" si="1180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167"/>
        <v>41275</v>
      </c>
      <c r="D5213" s="4">
        <f t="shared" si="1168"/>
        <v>0.39726027397260272</v>
      </c>
      <c r="E5213" s="3">
        <f t="shared" si="1169"/>
        <v>2013</v>
      </c>
      <c r="F5213" s="3">
        <f t="shared" si="1170"/>
        <v>5</v>
      </c>
      <c r="G5213" s="3">
        <f t="shared" si="1171"/>
        <v>26</v>
      </c>
      <c r="H5213" s="3">
        <f t="shared" si="1172"/>
        <v>3</v>
      </c>
      <c r="I5213" s="3">
        <f t="shared" si="1173"/>
        <v>45</v>
      </c>
      <c r="J5213" s="3">
        <f t="shared" si="1174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175"/>
        <v>YES</v>
      </c>
      <c r="Q5213" t="str">
        <f t="shared" si="1176"/>
        <v>NO</v>
      </c>
      <c r="R5213" t="str">
        <f t="shared" si="1177"/>
        <v>NO</v>
      </c>
      <c r="T5213" t="s">
        <v>14</v>
      </c>
      <c r="U5213" t="str">
        <f t="shared" si="1178"/>
        <v>Massachusetts Ave</v>
      </c>
      <c r="V5213" t="s">
        <v>126</v>
      </c>
      <c r="W5213" t="str">
        <f t="shared" si="1179"/>
        <v>Somerville Ave</v>
      </c>
      <c r="X5213" t="str">
        <f>IF(ISBLANK(S5213),"Intersection","Non-Intersection")</f>
        <v>Intersection</v>
      </c>
      <c r="Y5213" t="s">
        <v>127</v>
      </c>
      <c r="Z5213" t="str">
        <f t="shared" si="1180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167"/>
        <v>41275</v>
      </c>
      <c r="D5214" s="4">
        <f t="shared" si="1168"/>
        <v>0.39726027397260272</v>
      </c>
      <c r="E5214" s="3">
        <f t="shared" si="1169"/>
        <v>2013</v>
      </c>
      <c r="F5214" s="3">
        <f t="shared" si="1170"/>
        <v>5</v>
      </c>
      <c r="G5214" s="3">
        <f t="shared" si="1171"/>
        <v>26</v>
      </c>
      <c r="H5214" s="3">
        <f t="shared" si="1172"/>
        <v>13</v>
      </c>
      <c r="I5214" s="3">
        <f t="shared" si="1173"/>
        <v>54</v>
      </c>
      <c r="J5214" s="3">
        <f t="shared" si="1174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175"/>
        <v>YES</v>
      </c>
      <c r="Q5214" t="str">
        <f t="shared" si="1176"/>
        <v>NO</v>
      </c>
      <c r="R5214" t="str">
        <f t="shared" si="1177"/>
        <v>NO</v>
      </c>
      <c r="S5214">
        <v>2392</v>
      </c>
      <c r="T5214" t="s">
        <v>14</v>
      </c>
      <c r="U5214" t="str">
        <f t="shared" si="1178"/>
        <v>Massachusetts Ave</v>
      </c>
      <c r="W5214" t="str">
        <f t="shared" si="1179"/>
        <v/>
      </c>
      <c r="X5214" t="str">
        <f>IF(ISBLANK(S5214),"Intersection","Non-Intersection")</f>
        <v>Non-Intersection</v>
      </c>
      <c r="Y5214" t="s">
        <v>5691</v>
      </c>
      <c r="Z5214" t="str">
        <f t="shared" si="1180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167"/>
        <v>41275</v>
      </c>
      <c r="D5215" s="4">
        <f t="shared" si="1168"/>
        <v>0.39726027397260272</v>
      </c>
      <c r="E5215" s="3">
        <f t="shared" si="1169"/>
        <v>2013</v>
      </c>
      <c r="F5215" s="3">
        <f t="shared" si="1170"/>
        <v>5</v>
      </c>
      <c r="G5215" s="3">
        <f t="shared" si="1171"/>
        <v>26</v>
      </c>
      <c r="H5215" s="3">
        <f t="shared" si="1172"/>
        <v>17</v>
      </c>
      <c r="I5215" s="3">
        <f t="shared" si="1173"/>
        <v>45</v>
      </c>
      <c r="J5215" s="3">
        <f t="shared" si="1174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175"/>
        <v>YES</v>
      </c>
      <c r="Q5215" t="str">
        <f t="shared" si="1176"/>
        <v>NO</v>
      </c>
      <c r="R5215" t="str">
        <f t="shared" si="1177"/>
        <v>NO</v>
      </c>
      <c r="S5215">
        <v>1310</v>
      </c>
      <c r="T5215" t="s">
        <v>19</v>
      </c>
      <c r="U5215" t="str">
        <f t="shared" si="1178"/>
        <v>Cambridge St</v>
      </c>
      <c r="W5215" t="str">
        <f t="shared" si="1179"/>
        <v/>
      </c>
      <c r="X5215" t="str">
        <f>IF(ISBLANK(S5215),"Intersection","Non-Intersection")</f>
        <v>Non-Intersection</v>
      </c>
      <c r="Y5215" t="s">
        <v>583</v>
      </c>
      <c r="Z5215" t="str">
        <f t="shared" si="1180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167"/>
        <v>41275</v>
      </c>
      <c r="D5216" s="4">
        <f t="shared" si="1168"/>
        <v>0.39726027397260272</v>
      </c>
      <c r="E5216" s="3">
        <f t="shared" si="1169"/>
        <v>2013</v>
      </c>
      <c r="F5216" s="3">
        <f t="shared" si="1170"/>
        <v>5</v>
      </c>
      <c r="G5216" s="3">
        <f t="shared" si="1171"/>
        <v>26</v>
      </c>
      <c r="H5216" s="3">
        <f t="shared" si="1172"/>
        <v>20</v>
      </c>
      <c r="I5216" s="3">
        <f t="shared" si="1173"/>
        <v>10</v>
      </c>
      <c r="J5216" s="3">
        <f t="shared" si="1174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175"/>
        <v>YES</v>
      </c>
      <c r="Q5216" t="str">
        <f t="shared" si="1176"/>
        <v>NO</v>
      </c>
      <c r="R5216" t="str">
        <f t="shared" si="1177"/>
        <v>NO</v>
      </c>
      <c r="S5216">
        <v>413</v>
      </c>
      <c r="T5216" t="s">
        <v>14</v>
      </c>
      <c r="U5216" t="str">
        <f t="shared" si="1178"/>
        <v>Massachusetts Ave</v>
      </c>
      <c r="W5216" t="str">
        <f t="shared" si="1179"/>
        <v/>
      </c>
      <c r="X5216" t="str">
        <f>IF(ISBLANK(S5216),"Intersection","Non-Intersection")</f>
        <v>Non-Intersection</v>
      </c>
      <c r="Y5216" t="s">
        <v>5692</v>
      </c>
      <c r="Z5216" t="str">
        <f t="shared" si="1180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167"/>
        <v>41275</v>
      </c>
      <c r="D5217" s="4">
        <f t="shared" si="1168"/>
        <v>0.4</v>
      </c>
      <c r="E5217" s="3">
        <f t="shared" si="1169"/>
        <v>2013</v>
      </c>
      <c r="F5217" s="3">
        <f t="shared" si="1170"/>
        <v>5</v>
      </c>
      <c r="G5217" s="3">
        <f t="shared" si="1171"/>
        <v>27</v>
      </c>
      <c r="H5217" s="3">
        <f t="shared" si="1172"/>
        <v>23</v>
      </c>
      <c r="I5217" s="3">
        <f t="shared" si="1173"/>
        <v>0</v>
      </c>
      <c r="J5217" s="3">
        <f t="shared" si="1174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175"/>
        <v>YES</v>
      </c>
      <c r="Q5217" t="str">
        <f t="shared" si="1176"/>
        <v>NO</v>
      </c>
      <c r="R5217" t="str">
        <f t="shared" si="1177"/>
        <v>NO</v>
      </c>
      <c r="S5217">
        <v>48</v>
      </c>
      <c r="T5217" t="s">
        <v>459</v>
      </c>
      <c r="U5217" t="str">
        <f t="shared" si="1178"/>
        <v>Fayerweather St</v>
      </c>
      <c r="W5217" t="str">
        <f t="shared" si="1179"/>
        <v/>
      </c>
      <c r="X5217" t="str">
        <f>IF(ISBLANK(S5217),"Intersection","Non-Intersection")</f>
        <v>Non-Intersection</v>
      </c>
      <c r="Y5217" t="s">
        <v>3314</v>
      </c>
      <c r="Z5217" t="str">
        <f t="shared" si="1180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181">EOMONTH(B5218,MONTH(B5218)*-1)+1</f>
        <v>41275</v>
      </c>
      <c r="D5218" s="4">
        <f t="shared" ref="D5218:D5276" si="1182">YEARFRAC(C5218,B5218,1)</f>
        <v>0.40273972602739727</v>
      </c>
      <c r="E5218" s="3">
        <f t="shared" ref="E5218:E5276" si="1183">YEAR(B5218)</f>
        <v>2013</v>
      </c>
      <c r="F5218" s="3">
        <f t="shared" ref="F5218:F5276" si="1184">MONTH(B5218)</f>
        <v>5</v>
      </c>
      <c r="G5218" s="3">
        <f t="shared" ref="G5218:G5276" si="1185">DAY(B5218)</f>
        <v>28</v>
      </c>
      <c r="H5218" s="3">
        <f t="shared" ref="H5218:H5276" si="1186">HOUR(B5218)</f>
        <v>14</v>
      </c>
      <c r="I5218" s="3">
        <f t="shared" ref="I5218:I5276" si="1187">MINUTE(B5218)</f>
        <v>23</v>
      </c>
      <c r="J5218" s="3">
        <f t="shared" ref="J5218:J5276" si="1188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189">IF(OR(N5218="Auto",O5218="Auto"),"YES",IF(OR(N5218="Taxi",O5218="Taxi"),"YES",IF(OR(N5218="Van",O5218="Van"),"YES",IF(OR(N5218="Truck",O5218="Truck"),"YES","NO"))))</f>
        <v>YES</v>
      </c>
      <c r="Q5218" t="str">
        <f t="shared" ref="Q5218:Q5276" si="1190">IF(OR(N5218="Bicycle",O5218="Bicycle"),"YES","NO")</f>
        <v>NO</v>
      </c>
      <c r="R5218" t="str">
        <f t="shared" ref="R5218:R5276" si="1191">IF(OR(N5218="Pedestrian",O5218="Pedestrian"),"YES","NO")</f>
        <v>NO</v>
      </c>
      <c r="T5218" t="s">
        <v>60</v>
      </c>
      <c r="U5218" t="str">
        <f t="shared" si="1178"/>
        <v>Rogers St</v>
      </c>
      <c r="V5218" t="s">
        <v>147</v>
      </c>
      <c r="W5218" t="str">
        <f t="shared" si="1179"/>
        <v>Sixth St</v>
      </c>
      <c r="X5218" t="str">
        <f>IF(ISBLANK(S5218),"Intersection","Non-Intersection")</f>
        <v>Intersection</v>
      </c>
      <c r="Y5218" t="s">
        <v>5694</v>
      </c>
      <c r="Z5218" t="str">
        <f t="shared" si="1180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181"/>
        <v>41275</v>
      </c>
      <c r="D5219" s="4">
        <f t="shared" si="1182"/>
        <v>0.40273972602739727</v>
      </c>
      <c r="E5219" s="3">
        <f t="shared" si="1183"/>
        <v>2013</v>
      </c>
      <c r="F5219" s="3">
        <f t="shared" si="1184"/>
        <v>5</v>
      </c>
      <c r="G5219" s="3">
        <f t="shared" si="1185"/>
        <v>28</v>
      </c>
      <c r="H5219" s="3">
        <f t="shared" si="1186"/>
        <v>15</v>
      </c>
      <c r="I5219" s="3">
        <f t="shared" si="1187"/>
        <v>59</v>
      </c>
      <c r="J5219" s="3">
        <f t="shared" si="1188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189"/>
        <v>YES</v>
      </c>
      <c r="Q5219" t="str">
        <f t="shared" si="1190"/>
        <v>NO</v>
      </c>
      <c r="R5219" t="str">
        <f t="shared" si="1191"/>
        <v>NO</v>
      </c>
      <c r="T5219" t="s">
        <v>14</v>
      </c>
      <c r="U5219" t="str">
        <f t="shared" si="1178"/>
        <v>Massachusetts Ave</v>
      </c>
      <c r="V5219" t="s">
        <v>252</v>
      </c>
      <c r="W5219" t="str">
        <f t="shared" si="1179"/>
        <v>Walden St</v>
      </c>
      <c r="X5219" t="str">
        <f>IF(ISBLANK(S5219),"Intersection","Non-Intersection")</f>
        <v>Intersection</v>
      </c>
      <c r="Y5219" t="s">
        <v>2600</v>
      </c>
      <c r="Z5219" t="str">
        <f t="shared" si="1180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181"/>
        <v>41275</v>
      </c>
      <c r="D5220" s="4">
        <f t="shared" si="1182"/>
        <v>0.40273972602739727</v>
      </c>
      <c r="E5220" s="3">
        <f t="shared" si="1183"/>
        <v>2013</v>
      </c>
      <c r="F5220" s="3">
        <f t="shared" si="1184"/>
        <v>5</v>
      </c>
      <c r="G5220" s="3">
        <f t="shared" si="1185"/>
        <v>28</v>
      </c>
      <c r="H5220" s="3">
        <f t="shared" si="1186"/>
        <v>20</v>
      </c>
      <c r="I5220" s="3">
        <f t="shared" si="1187"/>
        <v>19</v>
      </c>
      <c r="J5220" s="3">
        <f t="shared" si="1188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189"/>
        <v>YES</v>
      </c>
      <c r="Q5220" t="str">
        <f t="shared" si="1190"/>
        <v>NO</v>
      </c>
      <c r="R5220" t="str">
        <f t="shared" si="1191"/>
        <v>NO</v>
      </c>
      <c r="S5220">
        <v>269</v>
      </c>
      <c r="T5220" t="s">
        <v>70</v>
      </c>
      <c r="U5220" t="str">
        <f t="shared" si="1178"/>
        <v>Pearl St</v>
      </c>
      <c r="W5220" t="str">
        <f t="shared" si="1179"/>
        <v/>
      </c>
      <c r="X5220" t="str">
        <f>IF(ISBLANK(S5220),"Intersection","Non-Intersection")</f>
        <v>Non-Intersection</v>
      </c>
      <c r="Y5220" t="s">
        <v>5695</v>
      </c>
      <c r="Z5220" t="str">
        <f t="shared" si="1180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181"/>
        <v>41275</v>
      </c>
      <c r="D5221" s="4">
        <f t="shared" si="1182"/>
        <v>0.40273972602739727</v>
      </c>
      <c r="E5221" s="3">
        <f t="shared" si="1183"/>
        <v>2013</v>
      </c>
      <c r="F5221" s="3">
        <f t="shared" si="1184"/>
        <v>5</v>
      </c>
      <c r="G5221" s="3">
        <f t="shared" si="1185"/>
        <v>28</v>
      </c>
      <c r="H5221" s="3">
        <f t="shared" si="1186"/>
        <v>23</v>
      </c>
      <c r="I5221" s="3">
        <f t="shared" si="1187"/>
        <v>20</v>
      </c>
      <c r="J5221" s="3">
        <f t="shared" si="1188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189"/>
        <v>YES</v>
      </c>
      <c r="Q5221" t="str">
        <f t="shared" si="1190"/>
        <v>YES</v>
      </c>
      <c r="R5221" t="str">
        <f t="shared" si="1191"/>
        <v>NO</v>
      </c>
      <c r="T5221" t="s">
        <v>14</v>
      </c>
      <c r="U5221" t="str">
        <f t="shared" si="1178"/>
        <v>Massachusetts Ave</v>
      </c>
      <c r="V5221" t="s">
        <v>487</v>
      </c>
      <c r="W5221" t="str">
        <f t="shared" si="1179"/>
        <v>Beech St</v>
      </c>
      <c r="X5221" t="str">
        <f>IF(ISBLANK(S5221),"Intersection","Non-Intersection")</f>
        <v>Intersection</v>
      </c>
      <c r="Y5221" t="s">
        <v>787</v>
      </c>
      <c r="Z5221" t="str">
        <f t="shared" si="1180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181"/>
        <v>41275</v>
      </c>
      <c r="D5222" s="4">
        <f t="shared" si="1182"/>
        <v>0.40547945205479452</v>
      </c>
      <c r="E5222" s="3">
        <f t="shared" si="1183"/>
        <v>2013</v>
      </c>
      <c r="F5222" s="3">
        <f t="shared" si="1184"/>
        <v>5</v>
      </c>
      <c r="G5222" s="3">
        <f t="shared" si="1185"/>
        <v>29</v>
      </c>
      <c r="H5222" s="3">
        <f t="shared" si="1186"/>
        <v>8</v>
      </c>
      <c r="I5222" s="3">
        <f t="shared" si="1187"/>
        <v>29</v>
      </c>
      <c r="J5222" s="3">
        <f t="shared" si="1188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189"/>
        <v>YES</v>
      </c>
      <c r="Q5222" t="str">
        <f t="shared" si="1190"/>
        <v>NO</v>
      </c>
      <c r="R5222" t="str">
        <f t="shared" si="1191"/>
        <v>NO</v>
      </c>
      <c r="S5222">
        <v>104</v>
      </c>
      <c r="T5222" t="s">
        <v>198</v>
      </c>
      <c r="U5222" t="str">
        <f t="shared" si="1178"/>
        <v>Mount Auburn St</v>
      </c>
      <c r="W5222" t="str">
        <f t="shared" si="1179"/>
        <v/>
      </c>
      <c r="X5222" t="str">
        <f>IF(ISBLANK(S5222),"Intersection","Non-Intersection")</f>
        <v>Non-Intersection</v>
      </c>
      <c r="Y5222" t="s">
        <v>1505</v>
      </c>
      <c r="Z5222" t="str">
        <f t="shared" si="1180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181"/>
        <v>41275</v>
      </c>
      <c r="D5223" s="4">
        <f t="shared" si="1182"/>
        <v>0.40547945205479452</v>
      </c>
      <c r="E5223" s="3">
        <f t="shared" si="1183"/>
        <v>2013</v>
      </c>
      <c r="F5223" s="3">
        <f t="shared" si="1184"/>
        <v>5</v>
      </c>
      <c r="G5223" s="3">
        <f t="shared" si="1185"/>
        <v>29</v>
      </c>
      <c r="H5223" s="3">
        <f t="shared" si="1186"/>
        <v>9</v>
      </c>
      <c r="I5223" s="3">
        <f t="shared" si="1187"/>
        <v>59</v>
      </c>
      <c r="J5223" s="3">
        <f t="shared" si="1188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189"/>
        <v>YES</v>
      </c>
      <c r="Q5223" t="str">
        <f t="shared" si="1190"/>
        <v>NO</v>
      </c>
      <c r="R5223" t="str">
        <f t="shared" si="1191"/>
        <v>NO</v>
      </c>
      <c r="S5223">
        <v>715</v>
      </c>
      <c r="T5223" t="s">
        <v>186</v>
      </c>
      <c r="U5223" t="str">
        <f t="shared" si="1178"/>
        <v>Concord Ave</v>
      </c>
      <c r="W5223" t="str">
        <f t="shared" si="1179"/>
        <v/>
      </c>
      <c r="X5223" t="str">
        <f>IF(ISBLANK(S5223),"Intersection","Non-Intersection")</f>
        <v>Non-Intersection</v>
      </c>
      <c r="Y5223" t="s">
        <v>5697</v>
      </c>
      <c r="Z5223" t="str">
        <f t="shared" si="1180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181"/>
        <v>41275</v>
      </c>
      <c r="D5224" s="4">
        <f t="shared" si="1182"/>
        <v>0.40547945205479452</v>
      </c>
      <c r="E5224" s="3">
        <f t="shared" si="1183"/>
        <v>2013</v>
      </c>
      <c r="F5224" s="3">
        <f t="shared" si="1184"/>
        <v>5</v>
      </c>
      <c r="G5224" s="3">
        <f t="shared" si="1185"/>
        <v>29</v>
      </c>
      <c r="H5224" s="3">
        <f t="shared" si="1186"/>
        <v>20</v>
      </c>
      <c r="I5224" s="3">
        <f t="shared" si="1187"/>
        <v>48</v>
      </c>
      <c r="J5224" s="3">
        <f t="shared" si="1188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189"/>
        <v>YES</v>
      </c>
      <c r="Q5224" t="str">
        <f t="shared" si="1190"/>
        <v>NO</v>
      </c>
      <c r="R5224" t="str">
        <f t="shared" si="1191"/>
        <v>NO</v>
      </c>
      <c r="S5224">
        <v>11</v>
      </c>
      <c r="T5224" t="s">
        <v>985</v>
      </c>
      <c r="U5224" t="str">
        <f t="shared" si="1178"/>
        <v>Plymouth St</v>
      </c>
      <c r="W5224" t="str">
        <f t="shared" si="1179"/>
        <v/>
      </c>
      <c r="X5224" t="str">
        <f>IF(ISBLANK(S5224),"Intersection","Non-Intersection")</f>
        <v>Non-Intersection</v>
      </c>
      <c r="Y5224" t="s">
        <v>5699</v>
      </c>
      <c r="Z5224" t="str">
        <f t="shared" si="1180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181"/>
        <v>41275</v>
      </c>
      <c r="D5225" s="4">
        <f t="shared" si="1182"/>
        <v>0.40821917808219177</v>
      </c>
      <c r="E5225" s="3">
        <f t="shared" si="1183"/>
        <v>2013</v>
      </c>
      <c r="F5225" s="3">
        <f t="shared" si="1184"/>
        <v>5</v>
      </c>
      <c r="G5225" s="3">
        <f t="shared" si="1185"/>
        <v>30</v>
      </c>
      <c r="H5225" s="3">
        <f t="shared" si="1186"/>
        <v>0</v>
      </c>
      <c r="I5225" s="3">
        <f t="shared" si="1187"/>
        <v>4</v>
      </c>
      <c r="J5225" s="3">
        <f t="shared" si="1188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189"/>
        <v>YES</v>
      </c>
      <c r="Q5225" t="str">
        <f t="shared" si="1190"/>
        <v>NO</v>
      </c>
      <c r="R5225" t="str">
        <f t="shared" si="1191"/>
        <v>NO</v>
      </c>
      <c r="S5225">
        <v>670</v>
      </c>
      <c r="T5225" t="s">
        <v>142</v>
      </c>
      <c r="U5225" t="str">
        <f t="shared" si="1178"/>
        <v>Huron Ave</v>
      </c>
      <c r="V5225" t="s">
        <v>899</v>
      </c>
      <c r="W5225" t="str">
        <f t="shared" si="1179"/>
        <v>Cushing St</v>
      </c>
      <c r="X5225" t="str">
        <f>IF(ISBLANK(S5225),"Intersection","Non-Intersection")</f>
        <v>Non-Intersection</v>
      </c>
      <c r="Y5225" t="s">
        <v>5701</v>
      </c>
      <c r="Z5225" t="str">
        <f t="shared" si="1180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181"/>
        <v>41275</v>
      </c>
      <c r="D5226" s="4">
        <f t="shared" si="1182"/>
        <v>0.40821917808219177</v>
      </c>
      <c r="E5226" s="3">
        <f t="shared" si="1183"/>
        <v>2013</v>
      </c>
      <c r="F5226" s="3">
        <f t="shared" si="1184"/>
        <v>5</v>
      </c>
      <c r="G5226" s="3">
        <f t="shared" si="1185"/>
        <v>30</v>
      </c>
      <c r="H5226" s="3">
        <f t="shared" si="1186"/>
        <v>17</v>
      </c>
      <c r="I5226" s="3">
        <f t="shared" si="1187"/>
        <v>29</v>
      </c>
      <c r="J5226" s="3">
        <f t="shared" si="1188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189"/>
        <v>YES</v>
      </c>
      <c r="Q5226" t="str">
        <f t="shared" si="1190"/>
        <v>NO</v>
      </c>
      <c r="R5226" t="str">
        <f t="shared" si="1191"/>
        <v>NO</v>
      </c>
      <c r="T5226" t="s">
        <v>252</v>
      </c>
      <c r="U5226" t="str">
        <f t="shared" si="1178"/>
        <v>Walden St</v>
      </c>
      <c r="V5226" t="s">
        <v>14</v>
      </c>
      <c r="W5226" t="str">
        <f t="shared" si="1179"/>
        <v>Massachusetts Ave</v>
      </c>
      <c r="X5226" t="str">
        <f>IF(ISBLANK(S5226),"Intersection","Non-Intersection")</f>
        <v>Intersection</v>
      </c>
      <c r="Y5226" t="s">
        <v>5703</v>
      </c>
      <c r="Z5226" t="str">
        <f t="shared" si="1180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181"/>
        <v>41275</v>
      </c>
      <c r="D5227" s="4">
        <f t="shared" si="1182"/>
        <v>0.40821917808219177</v>
      </c>
      <c r="E5227" s="3">
        <f t="shared" si="1183"/>
        <v>2013</v>
      </c>
      <c r="F5227" s="3">
        <f t="shared" si="1184"/>
        <v>5</v>
      </c>
      <c r="G5227" s="3">
        <f t="shared" si="1185"/>
        <v>30</v>
      </c>
      <c r="H5227" s="3">
        <f t="shared" si="1186"/>
        <v>9</v>
      </c>
      <c r="I5227" s="3">
        <f t="shared" si="1187"/>
        <v>59</v>
      </c>
      <c r="J5227" s="3">
        <f t="shared" si="1188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189"/>
        <v>YES</v>
      </c>
      <c r="Q5227" t="str">
        <f t="shared" si="1190"/>
        <v>NO</v>
      </c>
      <c r="R5227" t="str">
        <f t="shared" si="1191"/>
        <v>NO</v>
      </c>
      <c r="T5227" t="s">
        <v>19</v>
      </c>
      <c r="U5227" t="str">
        <f t="shared" si="1178"/>
        <v>Cambridge St</v>
      </c>
      <c r="V5227" t="s">
        <v>1739</v>
      </c>
      <c r="W5227" t="str">
        <f t="shared" si="1179"/>
        <v>Harding St</v>
      </c>
      <c r="X5227" t="str">
        <f>IF(ISBLANK(S5227),"Intersection","Non-Intersection")</f>
        <v>Intersection</v>
      </c>
      <c r="Y5227" t="s">
        <v>1740</v>
      </c>
      <c r="Z5227" t="str">
        <f t="shared" si="1180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181"/>
        <v>41275</v>
      </c>
      <c r="D5228" s="4">
        <f t="shared" si="1182"/>
        <v>0.40821917808219177</v>
      </c>
      <c r="E5228" s="3">
        <f t="shared" si="1183"/>
        <v>2013</v>
      </c>
      <c r="F5228" s="3">
        <f t="shared" si="1184"/>
        <v>5</v>
      </c>
      <c r="G5228" s="3">
        <f t="shared" si="1185"/>
        <v>30</v>
      </c>
      <c r="H5228" s="3">
        <f t="shared" si="1186"/>
        <v>16</v>
      </c>
      <c r="I5228" s="3">
        <f t="shared" si="1187"/>
        <v>34</v>
      </c>
      <c r="J5228" s="3">
        <f t="shared" si="1188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189"/>
        <v>YES</v>
      </c>
      <c r="Q5228" t="str">
        <f t="shared" si="1190"/>
        <v>NO</v>
      </c>
      <c r="R5228" t="str">
        <f t="shared" si="1191"/>
        <v>NO</v>
      </c>
      <c r="T5228" t="s">
        <v>189</v>
      </c>
      <c r="U5228" t="str">
        <f t="shared" si="1178"/>
        <v>Windsor St</v>
      </c>
      <c r="W5228" t="str">
        <f t="shared" si="1179"/>
        <v/>
      </c>
      <c r="X5228" t="str">
        <f>IF(ISBLANK(S5228),"Intersection","Non-Intersection")</f>
        <v>Intersection</v>
      </c>
      <c r="Y5228" t="s">
        <v>1280</v>
      </c>
      <c r="Z5228" t="str">
        <f t="shared" si="1180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181"/>
        <v>41275</v>
      </c>
      <c r="D5229" s="4">
        <f t="shared" si="1182"/>
        <v>0.40821917808219177</v>
      </c>
      <c r="E5229" s="3">
        <f t="shared" si="1183"/>
        <v>2013</v>
      </c>
      <c r="F5229" s="3">
        <f t="shared" si="1184"/>
        <v>5</v>
      </c>
      <c r="G5229" s="3">
        <f t="shared" si="1185"/>
        <v>30</v>
      </c>
      <c r="H5229" s="3">
        <f t="shared" si="1186"/>
        <v>7</v>
      </c>
      <c r="I5229" s="3">
        <f t="shared" si="1187"/>
        <v>5</v>
      </c>
      <c r="J5229" s="3">
        <f t="shared" si="1188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189"/>
        <v>YES</v>
      </c>
      <c r="Q5229" t="str">
        <f t="shared" si="1190"/>
        <v>NO</v>
      </c>
      <c r="R5229" t="str">
        <f t="shared" si="1191"/>
        <v>NO</v>
      </c>
      <c r="T5229" t="s">
        <v>105</v>
      </c>
      <c r="U5229" t="str">
        <f t="shared" si="1178"/>
        <v>Broadway</v>
      </c>
      <c r="V5229" t="s">
        <v>260</v>
      </c>
      <c r="W5229" t="str">
        <f t="shared" si="1179"/>
        <v>Third St</v>
      </c>
      <c r="X5229" t="str">
        <f>IF(ISBLANK(S5229),"Intersection","Non-Intersection")</f>
        <v>Intersection</v>
      </c>
      <c r="Y5229" t="s">
        <v>2506</v>
      </c>
      <c r="Z5229" t="str">
        <f t="shared" si="1180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181"/>
        <v>41275</v>
      </c>
      <c r="D5230" s="4">
        <f t="shared" si="1182"/>
        <v>0.41095890410958902</v>
      </c>
      <c r="E5230" s="3">
        <f t="shared" si="1183"/>
        <v>2013</v>
      </c>
      <c r="F5230" s="3">
        <f t="shared" si="1184"/>
        <v>5</v>
      </c>
      <c r="G5230" s="3">
        <f t="shared" si="1185"/>
        <v>31</v>
      </c>
      <c r="H5230" s="3">
        <f t="shared" si="1186"/>
        <v>13</v>
      </c>
      <c r="I5230" s="3">
        <f t="shared" si="1187"/>
        <v>12</v>
      </c>
      <c r="J5230" s="3">
        <f t="shared" si="1188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189"/>
        <v>YES</v>
      </c>
      <c r="Q5230" t="str">
        <f t="shared" si="1190"/>
        <v>NO</v>
      </c>
      <c r="R5230" t="str">
        <f t="shared" si="1191"/>
        <v>NO</v>
      </c>
      <c r="T5230" t="s">
        <v>199</v>
      </c>
      <c r="U5230" t="str">
        <f t="shared" si="1178"/>
        <v>Brattle St</v>
      </c>
      <c r="V5230" t="s">
        <v>326</v>
      </c>
      <c r="W5230" t="str">
        <f t="shared" si="1179"/>
        <v>Jfk St</v>
      </c>
      <c r="X5230" t="str">
        <f>IF(ISBLANK(S5230),"Intersection","Non-Intersection")</f>
        <v>Intersection</v>
      </c>
      <c r="Y5230" t="s">
        <v>574</v>
      </c>
      <c r="Z5230" t="str">
        <f t="shared" si="1180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181"/>
        <v>41275</v>
      </c>
      <c r="D5231" s="4">
        <f t="shared" si="1182"/>
        <v>0.41095890410958902</v>
      </c>
      <c r="E5231" s="3">
        <f t="shared" si="1183"/>
        <v>2013</v>
      </c>
      <c r="F5231" s="3">
        <f t="shared" si="1184"/>
        <v>5</v>
      </c>
      <c r="G5231" s="3">
        <f t="shared" si="1185"/>
        <v>31</v>
      </c>
      <c r="H5231" s="3">
        <f t="shared" si="1186"/>
        <v>13</v>
      </c>
      <c r="I5231" s="3">
        <f t="shared" si="1187"/>
        <v>35</v>
      </c>
      <c r="J5231" s="3">
        <f t="shared" si="1188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189"/>
        <v>YES</v>
      </c>
      <c r="Q5231" t="str">
        <f t="shared" si="1190"/>
        <v>NO</v>
      </c>
      <c r="R5231" t="str">
        <f t="shared" si="1191"/>
        <v>NO</v>
      </c>
      <c r="T5231" t="s">
        <v>20</v>
      </c>
      <c r="U5231" t="str">
        <f t="shared" si="1178"/>
        <v>Sciarappa St</v>
      </c>
      <c r="V5231" t="s">
        <v>1502</v>
      </c>
      <c r="W5231" t="str">
        <f t="shared" si="1179"/>
        <v>Gore St</v>
      </c>
      <c r="X5231" t="str">
        <f>IF(ISBLANK(S5231),"Intersection","Non-Intersection")</f>
        <v>Intersection</v>
      </c>
      <c r="Y5231" t="s">
        <v>5704</v>
      </c>
      <c r="Z5231" t="str">
        <f t="shared" si="1180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181"/>
        <v>41275</v>
      </c>
      <c r="D5232" s="4">
        <f t="shared" si="1182"/>
        <v>0.41095890410958902</v>
      </c>
      <c r="E5232" s="3">
        <f t="shared" si="1183"/>
        <v>2013</v>
      </c>
      <c r="F5232" s="3">
        <f t="shared" si="1184"/>
        <v>5</v>
      </c>
      <c r="G5232" s="3">
        <f t="shared" si="1185"/>
        <v>31</v>
      </c>
      <c r="H5232" s="3">
        <f t="shared" si="1186"/>
        <v>22</v>
      </c>
      <c r="I5232" s="3">
        <f t="shared" si="1187"/>
        <v>9</v>
      </c>
      <c r="J5232" s="3">
        <f t="shared" si="1188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189"/>
        <v>YES</v>
      </c>
      <c r="Q5232" t="str">
        <f t="shared" si="1190"/>
        <v>NO</v>
      </c>
      <c r="R5232" t="str">
        <f t="shared" si="1191"/>
        <v>NO</v>
      </c>
      <c r="S5232">
        <v>366</v>
      </c>
      <c r="T5232" t="s">
        <v>189</v>
      </c>
      <c r="U5232" t="str">
        <f t="shared" si="1178"/>
        <v>Windsor St</v>
      </c>
      <c r="W5232" t="str">
        <f t="shared" si="1179"/>
        <v/>
      </c>
      <c r="X5232" t="str">
        <f>IF(ISBLANK(S5232),"Intersection","Non-Intersection")</f>
        <v>Non-Intersection</v>
      </c>
      <c r="Y5232" t="s">
        <v>5705</v>
      </c>
      <c r="Z5232" t="str">
        <f t="shared" si="1180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181"/>
        <v>41275</v>
      </c>
      <c r="D5233" s="4">
        <f t="shared" si="1182"/>
        <v>0.41095890410958902</v>
      </c>
      <c r="E5233" s="3">
        <f t="shared" si="1183"/>
        <v>2013</v>
      </c>
      <c r="F5233" s="3">
        <f t="shared" si="1184"/>
        <v>5</v>
      </c>
      <c r="G5233" s="3">
        <f t="shared" si="1185"/>
        <v>31</v>
      </c>
      <c r="H5233" s="3">
        <f t="shared" si="1186"/>
        <v>23</v>
      </c>
      <c r="I5233" s="3">
        <f t="shared" si="1187"/>
        <v>0</v>
      </c>
      <c r="J5233" s="3">
        <f t="shared" si="1188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189"/>
        <v>YES</v>
      </c>
      <c r="Q5233" t="str">
        <f t="shared" si="1190"/>
        <v>NO</v>
      </c>
      <c r="R5233" t="str">
        <f t="shared" si="1191"/>
        <v>NO</v>
      </c>
      <c r="T5233" t="s">
        <v>41</v>
      </c>
      <c r="U5233" t="str">
        <f t="shared" si="1178"/>
        <v>River St</v>
      </c>
      <c r="V5233" t="s">
        <v>757</v>
      </c>
      <c r="W5233" t="str">
        <f t="shared" si="1179"/>
        <v>Blackstone St</v>
      </c>
      <c r="X5233" t="str">
        <f>IF(ISBLANK(S5233),"Intersection","Non-Intersection")</f>
        <v>Intersection</v>
      </c>
      <c r="Y5233" t="s">
        <v>758</v>
      </c>
      <c r="Z5233" t="str">
        <f t="shared" si="1180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181"/>
        <v>41275</v>
      </c>
      <c r="D5234" s="4">
        <f t="shared" si="1182"/>
        <v>0.41369863013698632</v>
      </c>
      <c r="E5234" s="3">
        <f t="shared" si="1183"/>
        <v>2013</v>
      </c>
      <c r="F5234" s="3">
        <f t="shared" si="1184"/>
        <v>6</v>
      </c>
      <c r="G5234" s="3">
        <f t="shared" si="1185"/>
        <v>1</v>
      </c>
      <c r="H5234" s="3">
        <f t="shared" si="1186"/>
        <v>10</v>
      </c>
      <c r="I5234" s="3">
        <f t="shared" si="1187"/>
        <v>18</v>
      </c>
      <c r="J5234" s="3">
        <f t="shared" si="1188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189"/>
        <v>YES</v>
      </c>
      <c r="Q5234" t="str">
        <f t="shared" si="1190"/>
        <v>NO</v>
      </c>
      <c r="R5234" t="str">
        <f t="shared" si="1191"/>
        <v>NO</v>
      </c>
      <c r="T5234" t="s">
        <v>105</v>
      </c>
      <c r="U5234" t="str">
        <f t="shared" si="1178"/>
        <v>Broadway</v>
      </c>
      <c r="V5234" t="s">
        <v>796</v>
      </c>
      <c r="W5234" t="str">
        <f t="shared" si="1179"/>
        <v>Portland St</v>
      </c>
      <c r="X5234" t="str">
        <f>IF(ISBLANK(S5234),"Intersection","Non-Intersection")</f>
        <v>Intersection</v>
      </c>
      <c r="Y5234" t="s">
        <v>2561</v>
      </c>
      <c r="Z5234" t="str">
        <f t="shared" si="1180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181"/>
        <v>41275</v>
      </c>
      <c r="D5235" s="4">
        <f t="shared" si="1182"/>
        <v>0.41369863013698632</v>
      </c>
      <c r="E5235" s="3">
        <f t="shared" si="1183"/>
        <v>2013</v>
      </c>
      <c r="F5235" s="3">
        <f t="shared" si="1184"/>
        <v>6</v>
      </c>
      <c r="G5235" s="3">
        <f t="shared" si="1185"/>
        <v>1</v>
      </c>
      <c r="H5235" s="3">
        <f t="shared" si="1186"/>
        <v>7</v>
      </c>
      <c r="I5235" s="3">
        <f t="shared" si="1187"/>
        <v>19</v>
      </c>
      <c r="J5235" s="3">
        <f t="shared" si="1188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189"/>
        <v>YES</v>
      </c>
      <c r="Q5235" t="str">
        <f t="shared" si="1190"/>
        <v>YES</v>
      </c>
      <c r="R5235" t="str">
        <f t="shared" si="1191"/>
        <v>NO</v>
      </c>
      <c r="T5235" t="s">
        <v>14</v>
      </c>
      <c r="U5235" t="str">
        <f t="shared" si="1178"/>
        <v>Massachusetts Ave</v>
      </c>
      <c r="V5235" t="s">
        <v>126</v>
      </c>
      <c r="W5235" t="str">
        <f t="shared" si="1179"/>
        <v>Somerville Ave</v>
      </c>
      <c r="X5235" t="str">
        <f>IF(ISBLANK(S5235),"Intersection","Non-Intersection")</f>
        <v>Intersection</v>
      </c>
      <c r="Y5235" t="s">
        <v>127</v>
      </c>
      <c r="Z5235" t="str">
        <f t="shared" si="1180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181"/>
        <v>41275</v>
      </c>
      <c r="D5236" s="4">
        <f t="shared" si="1182"/>
        <v>0.41369863013698632</v>
      </c>
      <c r="E5236" s="3">
        <f t="shared" si="1183"/>
        <v>2013</v>
      </c>
      <c r="F5236" s="3">
        <f t="shared" si="1184"/>
        <v>6</v>
      </c>
      <c r="G5236" s="3">
        <f t="shared" si="1185"/>
        <v>1</v>
      </c>
      <c r="H5236" s="3">
        <f t="shared" si="1186"/>
        <v>19</v>
      </c>
      <c r="I5236" s="3">
        <f t="shared" si="1187"/>
        <v>50</v>
      </c>
      <c r="J5236" s="3">
        <f t="shared" si="1188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189"/>
        <v>YES</v>
      </c>
      <c r="Q5236" t="str">
        <f t="shared" si="1190"/>
        <v>YES</v>
      </c>
      <c r="R5236" t="str">
        <f t="shared" si="1191"/>
        <v>NO</v>
      </c>
      <c r="S5236">
        <v>287</v>
      </c>
      <c r="T5236" t="s">
        <v>342</v>
      </c>
      <c r="U5236" t="str">
        <f t="shared" si="1178"/>
        <v>Prospect St</v>
      </c>
      <c r="W5236" t="str">
        <f t="shared" si="1179"/>
        <v/>
      </c>
      <c r="X5236" t="str">
        <f>IF(ISBLANK(S5236),"Intersection","Non-Intersection")</f>
        <v>Non-Intersection</v>
      </c>
      <c r="Y5236" t="s">
        <v>3689</v>
      </c>
      <c r="Z5236" t="str">
        <f t="shared" si="1180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181"/>
        <v>41275</v>
      </c>
      <c r="D5237" s="4">
        <f t="shared" si="1182"/>
        <v>0.41369863013698632</v>
      </c>
      <c r="E5237" s="3">
        <f t="shared" si="1183"/>
        <v>2013</v>
      </c>
      <c r="F5237" s="3">
        <f t="shared" si="1184"/>
        <v>6</v>
      </c>
      <c r="G5237" s="3">
        <f t="shared" si="1185"/>
        <v>1</v>
      </c>
      <c r="H5237" s="3">
        <f t="shared" si="1186"/>
        <v>16</v>
      </c>
      <c r="I5237" s="3">
        <f t="shared" si="1187"/>
        <v>44</v>
      </c>
      <c r="J5237" s="3">
        <f t="shared" si="1188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189"/>
        <v>YES</v>
      </c>
      <c r="Q5237" t="str">
        <f t="shared" si="1190"/>
        <v>NO</v>
      </c>
      <c r="R5237" t="str">
        <f t="shared" si="1191"/>
        <v>NO</v>
      </c>
      <c r="T5237" t="s">
        <v>1062</v>
      </c>
      <c r="U5237" t="str">
        <f t="shared" si="1178"/>
        <v>Cambridgeside Pl</v>
      </c>
      <c r="W5237" t="str">
        <f t="shared" si="1179"/>
        <v/>
      </c>
      <c r="X5237" t="str">
        <f>IF(ISBLANK(S5237),"Intersection","Non-Intersection")</f>
        <v>Intersection</v>
      </c>
      <c r="Y5237" t="s">
        <v>1283</v>
      </c>
      <c r="Z5237" t="str">
        <f t="shared" si="1180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181"/>
        <v>41275</v>
      </c>
      <c r="D5238" s="4">
        <f t="shared" si="1182"/>
        <v>0.41369863013698632</v>
      </c>
      <c r="E5238" s="3">
        <f t="shared" si="1183"/>
        <v>2013</v>
      </c>
      <c r="F5238" s="3">
        <f t="shared" si="1184"/>
        <v>6</v>
      </c>
      <c r="G5238" s="3">
        <f t="shared" si="1185"/>
        <v>1</v>
      </c>
      <c r="H5238" s="3">
        <f t="shared" si="1186"/>
        <v>15</v>
      </c>
      <c r="I5238" s="3">
        <f t="shared" si="1187"/>
        <v>34</v>
      </c>
      <c r="J5238" s="3">
        <f t="shared" si="1188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189"/>
        <v>YES</v>
      </c>
      <c r="Q5238" t="str">
        <f t="shared" si="1190"/>
        <v>NO</v>
      </c>
      <c r="R5238" t="str">
        <f t="shared" si="1191"/>
        <v>NO</v>
      </c>
      <c r="T5238" t="s">
        <v>119</v>
      </c>
      <c r="U5238" t="str">
        <f t="shared" si="1178"/>
        <v>Albany St</v>
      </c>
      <c r="V5238" t="s">
        <v>14</v>
      </c>
      <c r="W5238" t="str">
        <f t="shared" si="1179"/>
        <v>Massachusetts Ave</v>
      </c>
      <c r="X5238" t="str">
        <f>IF(ISBLANK(S5238),"Intersection","Non-Intersection")</f>
        <v>Intersection</v>
      </c>
      <c r="Y5238" t="s">
        <v>1000</v>
      </c>
      <c r="Z5238" t="str">
        <f t="shared" si="1180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181"/>
        <v>41275</v>
      </c>
      <c r="D5239" s="4">
        <f t="shared" si="1182"/>
        <v>0.41369863013698632</v>
      </c>
      <c r="E5239" s="3">
        <f t="shared" si="1183"/>
        <v>2013</v>
      </c>
      <c r="F5239" s="3">
        <f t="shared" si="1184"/>
        <v>6</v>
      </c>
      <c r="G5239" s="3">
        <f t="shared" si="1185"/>
        <v>1</v>
      </c>
      <c r="H5239" s="3">
        <f t="shared" si="1186"/>
        <v>15</v>
      </c>
      <c r="I5239" s="3">
        <f t="shared" si="1187"/>
        <v>0</v>
      </c>
      <c r="J5239" s="3">
        <f t="shared" si="1188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189"/>
        <v>YES</v>
      </c>
      <c r="Q5239" t="str">
        <f t="shared" si="1190"/>
        <v>NO</v>
      </c>
      <c r="R5239" t="str">
        <f t="shared" si="1191"/>
        <v>NO</v>
      </c>
      <c r="S5239">
        <v>1</v>
      </c>
      <c r="T5239" t="s">
        <v>4331</v>
      </c>
      <c r="U5239" t="str">
        <f t="shared" si="1178"/>
        <v>Leighton</v>
      </c>
      <c r="W5239" t="str">
        <f t="shared" si="1179"/>
        <v/>
      </c>
      <c r="X5239" t="str">
        <f>IF(ISBLANK(S5239),"Intersection","Non-Intersection")</f>
        <v>Non-Intersection</v>
      </c>
      <c r="Y5239" t="s">
        <v>4332</v>
      </c>
      <c r="Z5239" t="str">
        <f t="shared" si="1180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181"/>
        <v>41275</v>
      </c>
      <c r="D5240" s="4">
        <f t="shared" si="1182"/>
        <v>0.41643835616438357</v>
      </c>
      <c r="E5240" s="3">
        <f t="shared" si="1183"/>
        <v>2013</v>
      </c>
      <c r="F5240" s="3">
        <f t="shared" si="1184"/>
        <v>6</v>
      </c>
      <c r="G5240" s="3">
        <f t="shared" si="1185"/>
        <v>2</v>
      </c>
      <c r="H5240" s="3">
        <f t="shared" si="1186"/>
        <v>9</v>
      </c>
      <c r="I5240" s="3">
        <f t="shared" si="1187"/>
        <v>59</v>
      </c>
      <c r="J5240" s="3">
        <f t="shared" si="1188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189"/>
        <v>YES</v>
      </c>
      <c r="Q5240" t="str">
        <f t="shared" si="1190"/>
        <v>NO</v>
      </c>
      <c r="R5240" t="str">
        <f t="shared" si="1191"/>
        <v>NO</v>
      </c>
      <c r="S5240">
        <v>486</v>
      </c>
      <c r="T5240" t="s">
        <v>142</v>
      </c>
      <c r="U5240" t="str">
        <f t="shared" si="1178"/>
        <v>Huron Ave</v>
      </c>
      <c r="W5240" t="str">
        <f t="shared" si="1179"/>
        <v/>
      </c>
      <c r="X5240" t="str">
        <f>IF(ISBLANK(S5240),"Intersection","Non-Intersection")</f>
        <v>Non-Intersection</v>
      </c>
      <c r="Y5240" t="s">
        <v>5707</v>
      </c>
      <c r="Z5240" t="str">
        <f t="shared" si="1180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181"/>
        <v>41275</v>
      </c>
      <c r="D5241" s="4">
        <f t="shared" si="1182"/>
        <v>0.41643835616438357</v>
      </c>
      <c r="E5241" s="3">
        <f t="shared" si="1183"/>
        <v>2013</v>
      </c>
      <c r="F5241" s="3">
        <f t="shared" si="1184"/>
        <v>6</v>
      </c>
      <c r="G5241" s="3">
        <f t="shared" si="1185"/>
        <v>2</v>
      </c>
      <c r="H5241" s="3">
        <f t="shared" si="1186"/>
        <v>15</v>
      </c>
      <c r="I5241" s="3">
        <f t="shared" si="1187"/>
        <v>14</v>
      </c>
      <c r="J5241" s="3">
        <f t="shared" si="1188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189"/>
        <v>YES</v>
      </c>
      <c r="Q5241" t="str">
        <f t="shared" si="1190"/>
        <v>NO</v>
      </c>
      <c r="R5241" t="str">
        <f t="shared" si="1191"/>
        <v>NO</v>
      </c>
      <c r="S5241">
        <v>466</v>
      </c>
      <c r="T5241" t="s">
        <v>509</v>
      </c>
      <c r="U5241" t="str">
        <f t="shared" si="1178"/>
        <v>Green St</v>
      </c>
      <c r="W5241" t="str">
        <f t="shared" si="1179"/>
        <v/>
      </c>
      <c r="X5241" t="str">
        <f>IF(ISBLANK(S5241),"Intersection","Non-Intersection")</f>
        <v>Non-Intersection</v>
      </c>
      <c r="Y5241" t="s">
        <v>5709</v>
      </c>
      <c r="Z5241" t="str">
        <f t="shared" si="1180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181"/>
        <v>41275</v>
      </c>
      <c r="D5242" s="4">
        <f t="shared" si="1182"/>
        <v>0.41643835616438357</v>
      </c>
      <c r="E5242" s="3">
        <f t="shared" si="1183"/>
        <v>2013</v>
      </c>
      <c r="F5242" s="3">
        <f t="shared" si="1184"/>
        <v>6</v>
      </c>
      <c r="G5242" s="3">
        <f t="shared" si="1185"/>
        <v>2</v>
      </c>
      <c r="H5242" s="3">
        <f t="shared" si="1186"/>
        <v>14</v>
      </c>
      <c r="I5242" s="3">
        <f t="shared" si="1187"/>
        <v>0</v>
      </c>
      <c r="J5242" s="3">
        <f t="shared" si="1188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189"/>
        <v>YES</v>
      </c>
      <c r="Q5242" t="str">
        <f t="shared" si="1190"/>
        <v>NO</v>
      </c>
      <c r="R5242" t="str">
        <f t="shared" si="1191"/>
        <v>NO</v>
      </c>
      <c r="S5242">
        <v>748</v>
      </c>
      <c r="T5242" t="s">
        <v>203</v>
      </c>
      <c r="U5242" t="str">
        <f t="shared" si="1178"/>
        <v>Memorial Dr</v>
      </c>
      <c r="W5242" t="str">
        <f t="shared" si="1179"/>
        <v/>
      </c>
      <c r="X5242" t="str">
        <f>IF(ISBLANK(S5242),"Intersection","Non-Intersection")</f>
        <v>Non-Intersection</v>
      </c>
      <c r="Y5242" t="s">
        <v>1731</v>
      </c>
      <c r="Z5242" t="str">
        <f t="shared" si="1180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181"/>
        <v>41275</v>
      </c>
      <c r="D5243" s="4">
        <f t="shared" si="1182"/>
        <v>0.41917808219178082</v>
      </c>
      <c r="E5243" s="3">
        <f t="shared" si="1183"/>
        <v>2013</v>
      </c>
      <c r="F5243" s="3">
        <f t="shared" si="1184"/>
        <v>6</v>
      </c>
      <c r="G5243" s="3">
        <f t="shared" si="1185"/>
        <v>3</v>
      </c>
      <c r="H5243" s="3">
        <f t="shared" si="1186"/>
        <v>15</v>
      </c>
      <c r="I5243" s="3">
        <f t="shared" si="1187"/>
        <v>30</v>
      </c>
      <c r="J5243" s="3">
        <f t="shared" si="1188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189"/>
        <v>YES</v>
      </c>
      <c r="Q5243" t="str">
        <f t="shared" si="1190"/>
        <v>NO</v>
      </c>
      <c r="R5243" t="str">
        <f t="shared" si="1191"/>
        <v>NO</v>
      </c>
      <c r="S5243">
        <v>84</v>
      </c>
      <c r="T5243" t="s">
        <v>66</v>
      </c>
      <c r="U5243" t="str">
        <f t="shared" si="1178"/>
        <v>Dudley St</v>
      </c>
      <c r="W5243" t="str">
        <f t="shared" si="1179"/>
        <v/>
      </c>
      <c r="X5243" t="str">
        <f>IF(ISBLANK(S5243),"Intersection","Non-Intersection")</f>
        <v>Non-Intersection</v>
      </c>
      <c r="Y5243" t="s">
        <v>5711</v>
      </c>
      <c r="Z5243" t="str">
        <f t="shared" si="1180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181"/>
        <v>41275</v>
      </c>
      <c r="D5244" s="4">
        <f t="shared" si="1182"/>
        <v>0.41917808219178082</v>
      </c>
      <c r="E5244" s="3">
        <f t="shared" si="1183"/>
        <v>2013</v>
      </c>
      <c r="F5244" s="3">
        <f t="shared" si="1184"/>
        <v>6</v>
      </c>
      <c r="G5244" s="3">
        <f t="shared" si="1185"/>
        <v>3</v>
      </c>
      <c r="H5244" s="3">
        <f t="shared" si="1186"/>
        <v>14</v>
      </c>
      <c r="I5244" s="3">
        <f t="shared" si="1187"/>
        <v>45</v>
      </c>
      <c r="J5244" s="3">
        <f t="shared" si="1188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189"/>
        <v>YES</v>
      </c>
      <c r="Q5244" t="str">
        <f t="shared" si="1190"/>
        <v>NO</v>
      </c>
      <c r="R5244" t="str">
        <f t="shared" si="1191"/>
        <v>NO</v>
      </c>
      <c r="S5244">
        <v>10</v>
      </c>
      <c r="T5244" t="s">
        <v>2629</v>
      </c>
      <c r="U5244" t="str">
        <f t="shared" si="1178"/>
        <v>Soden St</v>
      </c>
      <c r="W5244" t="str">
        <f t="shared" si="1179"/>
        <v/>
      </c>
      <c r="X5244" t="str">
        <f>IF(ISBLANK(S5244),"Intersection","Non-Intersection")</f>
        <v>Non-Intersection</v>
      </c>
      <c r="Y5244" t="s">
        <v>2630</v>
      </c>
      <c r="Z5244" t="str">
        <f t="shared" si="1180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181"/>
        <v>41275</v>
      </c>
      <c r="D5245" s="4">
        <f t="shared" si="1182"/>
        <v>0.41917808219178082</v>
      </c>
      <c r="E5245" s="3">
        <f t="shared" si="1183"/>
        <v>2013</v>
      </c>
      <c r="F5245" s="3">
        <f t="shared" si="1184"/>
        <v>6</v>
      </c>
      <c r="G5245" s="3">
        <f t="shared" si="1185"/>
        <v>3</v>
      </c>
      <c r="H5245" s="3">
        <f t="shared" si="1186"/>
        <v>18</v>
      </c>
      <c r="I5245" s="3">
        <f t="shared" si="1187"/>
        <v>30</v>
      </c>
      <c r="J5245" s="3">
        <f t="shared" si="1188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189"/>
        <v>YES</v>
      </c>
      <c r="Q5245" t="str">
        <f t="shared" si="1190"/>
        <v>NO</v>
      </c>
      <c r="R5245" t="str">
        <f t="shared" si="1191"/>
        <v>NO</v>
      </c>
      <c r="S5245">
        <v>49</v>
      </c>
      <c r="T5245" t="s">
        <v>268</v>
      </c>
      <c r="U5245" t="str">
        <f t="shared" si="1178"/>
        <v>White St</v>
      </c>
      <c r="W5245" t="str">
        <f t="shared" si="1179"/>
        <v/>
      </c>
      <c r="X5245" t="str">
        <f>IF(ISBLANK(S5245),"Intersection","Non-Intersection")</f>
        <v>Non-Intersection</v>
      </c>
      <c r="Y5245" t="s">
        <v>270</v>
      </c>
      <c r="Z5245" t="str">
        <f t="shared" si="1180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181"/>
        <v>41275</v>
      </c>
      <c r="D5246" s="4">
        <f t="shared" si="1182"/>
        <v>0.41917808219178082</v>
      </c>
      <c r="E5246" s="3">
        <f t="shared" si="1183"/>
        <v>2013</v>
      </c>
      <c r="F5246" s="3">
        <f t="shared" si="1184"/>
        <v>6</v>
      </c>
      <c r="G5246" s="3">
        <f t="shared" si="1185"/>
        <v>3</v>
      </c>
      <c r="H5246" s="3">
        <f t="shared" si="1186"/>
        <v>15</v>
      </c>
      <c r="I5246" s="3">
        <f t="shared" si="1187"/>
        <v>30</v>
      </c>
      <c r="J5246" s="3">
        <f t="shared" si="1188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189"/>
        <v>YES</v>
      </c>
      <c r="Q5246" t="str">
        <f t="shared" si="1190"/>
        <v>NO</v>
      </c>
      <c r="R5246" t="str">
        <f t="shared" si="1191"/>
        <v>NO</v>
      </c>
      <c r="S5246">
        <v>20</v>
      </c>
      <c r="T5246" t="s">
        <v>219</v>
      </c>
      <c r="U5246" t="str">
        <f t="shared" si="1178"/>
        <v>Sacramento St</v>
      </c>
      <c r="W5246" t="str">
        <f t="shared" si="1179"/>
        <v/>
      </c>
      <c r="X5246" t="str">
        <f>IF(ISBLANK(S5246),"Intersection","Non-Intersection")</f>
        <v>Non-Intersection</v>
      </c>
      <c r="Y5246" t="s">
        <v>220</v>
      </c>
      <c r="Z5246" t="str">
        <f t="shared" si="1180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181"/>
        <v>41275</v>
      </c>
      <c r="D5247" s="4">
        <f t="shared" si="1182"/>
        <v>0.41917808219178082</v>
      </c>
      <c r="E5247" s="3">
        <f t="shared" si="1183"/>
        <v>2013</v>
      </c>
      <c r="F5247" s="3">
        <f t="shared" si="1184"/>
        <v>6</v>
      </c>
      <c r="G5247" s="3">
        <f t="shared" si="1185"/>
        <v>3</v>
      </c>
      <c r="H5247" s="3">
        <f t="shared" si="1186"/>
        <v>14</v>
      </c>
      <c r="I5247" s="3">
        <f t="shared" si="1187"/>
        <v>0</v>
      </c>
      <c r="J5247" s="3">
        <f t="shared" si="1188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189"/>
        <v>YES</v>
      </c>
      <c r="Q5247" t="str">
        <f t="shared" si="1190"/>
        <v>NO</v>
      </c>
      <c r="R5247" t="str">
        <f t="shared" si="1191"/>
        <v>NO</v>
      </c>
      <c r="T5247" t="s">
        <v>27</v>
      </c>
      <c r="U5247" t="str">
        <f t="shared" si="1178"/>
        <v>Western Ave</v>
      </c>
      <c r="V5247" t="s">
        <v>757</v>
      </c>
      <c r="W5247" t="str">
        <f t="shared" si="1179"/>
        <v>Blackstone St</v>
      </c>
      <c r="X5247" t="str">
        <f>IF(ISBLANK(S5247),"Intersection","Non-Intersection")</f>
        <v>Intersection</v>
      </c>
      <c r="Y5247" t="s">
        <v>1405</v>
      </c>
      <c r="Z5247" t="str">
        <f t="shared" si="1180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181"/>
        <v>41275</v>
      </c>
      <c r="D5248" s="4">
        <f t="shared" si="1182"/>
        <v>0.41917808219178082</v>
      </c>
      <c r="E5248" s="3">
        <f t="shared" si="1183"/>
        <v>2013</v>
      </c>
      <c r="F5248" s="3">
        <f t="shared" si="1184"/>
        <v>6</v>
      </c>
      <c r="G5248" s="3">
        <f t="shared" si="1185"/>
        <v>3</v>
      </c>
      <c r="H5248" s="3">
        <f t="shared" si="1186"/>
        <v>12</v>
      </c>
      <c r="I5248" s="3">
        <f t="shared" si="1187"/>
        <v>30</v>
      </c>
      <c r="J5248" s="3">
        <f t="shared" si="1188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189"/>
        <v>YES</v>
      </c>
      <c r="Q5248" t="str">
        <f t="shared" si="1190"/>
        <v>NO</v>
      </c>
      <c r="R5248" t="str">
        <f t="shared" si="1191"/>
        <v>NO</v>
      </c>
      <c r="T5248" t="s">
        <v>129</v>
      </c>
      <c r="U5248" t="str">
        <f t="shared" si="1178"/>
        <v>Cardinal Medeiros Ave</v>
      </c>
      <c r="V5248" t="s">
        <v>74</v>
      </c>
      <c r="W5248" t="str">
        <f t="shared" si="1179"/>
        <v>Hampshire St</v>
      </c>
      <c r="X5248" t="str">
        <f>IF(ISBLANK(S5248),"Intersection","Non-Intersection")</f>
        <v>Intersection</v>
      </c>
      <c r="Y5248" t="s">
        <v>2265</v>
      </c>
      <c r="Z5248" t="str">
        <f t="shared" si="1180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181"/>
        <v>41275</v>
      </c>
      <c r="D5249" s="4">
        <f t="shared" si="1182"/>
        <v>0.41917808219178082</v>
      </c>
      <c r="E5249" s="3">
        <f t="shared" si="1183"/>
        <v>2013</v>
      </c>
      <c r="F5249" s="3">
        <f t="shared" si="1184"/>
        <v>6</v>
      </c>
      <c r="G5249" s="3">
        <f t="shared" si="1185"/>
        <v>3</v>
      </c>
      <c r="H5249" s="3">
        <f t="shared" si="1186"/>
        <v>12</v>
      </c>
      <c r="I5249" s="3">
        <f t="shared" si="1187"/>
        <v>23</v>
      </c>
      <c r="J5249" s="3">
        <f t="shared" si="1188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189"/>
        <v>YES</v>
      </c>
      <c r="Q5249" t="str">
        <f t="shared" si="1190"/>
        <v>NO</v>
      </c>
      <c r="R5249" t="str">
        <f t="shared" si="1191"/>
        <v>NO</v>
      </c>
      <c r="T5249" t="s">
        <v>74</v>
      </c>
      <c r="U5249" t="str">
        <f t="shared" si="1178"/>
        <v>Hampshire St</v>
      </c>
      <c r="V5249" t="s">
        <v>2344</v>
      </c>
      <c r="W5249" t="str">
        <f t="shared" si="1179"/>
        <v>Bristol St</v>
      </c>
      <c r="X5249" t="str">
        <f>IF(ISBLANK(S5249),"Intersection","Non-Intersection")</f>
        <v>Intersection</v>
      </c>
      <c r="Y5249" t="s">
        <v>2982</v>
      </c>
      <c r="Z5249" t="str">
        <f t="shared" si="1180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181"/>
        <v>41275</v>
      </c>
      <c r="D5250" s="4">
        <f t="shared" si="1182"/>
        <v>0.42191780821917807</v>
      </c>
      <c r="E5250" s="3">
        <f t="shared" si="1183"/>
        <v>2013</v>
      </c>
      <c r="F5250" s="3">
        <f t="shared" si="1184"/>
        <v>6</v>
      </c>
      <c r="G5250" s="3">
        <f t="shared" si="1185"/>
        <v>4</v>
      </c>
      <c r="H5250" s="3">
        <f t="shared" si="1186"/>
        <v>15</v>
      </c>
      <c r="I5250" s="3">
        <f t="shared" si="1187"/>
        <v>14</v>
      </c>
      <c r="J5250" s="3">
        <f t="shared" si="1188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189"/>
        <v>YES</v>
      </c>
      <c r="Q5250" t="str">
        <f t="shared" si="1190"/>
        <v>NO</v>
      </c>
      <c r="R5250" t="str">
        <f t="shared" si="1191"/>
        <v>NO</v>
      </c>
      <c r="T5250" t="s">
        <v>209</v>
      </c>
      <c r="U5250" t="str">
        <f t="shared" si="1178"/>
        <v>Binney St</v>
      </c>
      <c r="V5250" t="s">
        <v>105</v>
      </c>
      <c r="W5250" t="str">
        <f t="shared" si="1179"/>
        <v>Broadway</v>
      </c>
      <c r="X5250" t="str">
        <f>IF(ISBLANK(S5250),"Intersection","Non-Intersection")</f>
        <v>Intersection</v>
      </c>
      <c r="Y5250" t="s">
        <v>258</v>
      </c>
      <c r="Z5250" t="str">
        <f t="shared" si="1180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181"/>
        <v>41275</v>
      </c>
      <c r="D5251" s="4">
        <f t="shared" si="1182"/>
        <v>0.42191780821917807</v>
      </c>
      <c r="E5251" s="3">
        <f t="shared" si="1183"/>
        <v>2013</v>
      </c>
      <c r="F5251" s="3">
        <f t="shared" si="1184"/>
        <v>6</v>
      </c>
      <c r="G5251" s="3">
        <f t="shared" si="1185"/>
        <v>4</v>
      </c>
      <c r="H5251" s="3">
        <f t="shared" si="1186"/>
        <v>18</v>
      </c>
      <c r="I5251" s="3">
        <f t="shared" si="1187"/>
        <v>59</v>
      </c>
      <c r="J5251" s="3">
        <f t="shared" si="1188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189"/>
        <v>YES</v>
      </c>
      <c r="Q5251" t="str">
        <f t="shared" si="1190"/>
        <v>NO</v>
      </c>
      <c r="R5251" t="str">
        <f t="shared" si="1191"/>
        <v>NO</v>
      </c>
      <c r="T5251" t="s">
        <v>202</v>
      </c>
      <c r="U5251" t="str">
        <f t="shared" ref="U5251:U5314" si="1192">TRIM(PROPER(T5251))</f>
        <v>Vassar St</v>
      </c>
      <c r="V5251" t="s">
        <v>32</v>
      </c>
      <c r="W5251" t="str">
        <f t="shared" ref="W5251:W5314" si="1193">TRIM(PROPER(V5251))</f>
        <v>Main St</v>
      </c>
      <c r="X5251" t="str">
        <f>IF(ISBLANK(S5251),"Intersection","Non-Intersection")</f>
        <v>Intersection</v>
      </c>
      <c r="Y5251" t="s">
        <v>624</v>
      </c>
      <c r="Z5251" t="str">
        <f t="shared" ref="Z5251:Z5314" si="1194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181"/>
        <v>41275</v>
      </c>
      <c r="D5252" s="4">
        <f t="shared" si="1182"/>
        <v>0.42191780821917807</v>
      </c>
      <c r="E5252" s="3">
        <f t="shared" si="1183"/>
        <v>2013</v>
      </c>
      <c r="F5252" s="3">
        <f t="shared" si="1184"/>
        <v>6</v>
      </c>
      <c r="G5252" s="3">
        <f t="shared" si="1185"/>
        <v>4</v>
      </c>
      <c r="H5252" s="3">
        <f t="shared" si="1186"/>
        <v>8</v>
      </c>
      <c r="I5252" s="3">
        <f t="shared" si="1187"/>
        <v>45</v>
      </c>
      <c r="J5252" s="3">
        <f t="shared" si="1188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189"/>
        <v>YES</v>
      </c>
      <c r="Q5252" t="str">
        <f t="shared" si="1190"/>
        <v>NO</v>
      </c>
      <c r="R5252" t="str">
        <f t="shared" si="1191"/>
        <v>NO</v>
      </c>
      <c r="T5252" t="s">
        <v>186</v>
      </c>
      <c r="U5252" t="str">
        <f t="shared" si="1192"/>
        <v>Concord Ave</v>
      </c>
      <c r="V5252" t="s">
        <v>252</v>
      </c>
      <c r="W5252" t="str">
        <f t="shared" si="1193"/>
        <v>Walden St</v>
      </c>
      <c r="X5252" t="str">
        <f>IF(ISBLANK(S5252),"Intersection","Non-Intersection")</f>
        <v>Intersection</v>
      </c>
      <c r="Y5252" t="s">
        <v>1941</v>
      </c>
      <c r="Z5252" t="str">
        <f t="shared" si="1194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181"/>
        <v>41275</v>
      </c>
      <c r="D5253" s="4">
        <f t="shared" si="1182"/>
        <v>0.42191780821917807</v>
      </c>
      <c r="E5253" s="3">
        <f t="shared" si="1183"/>
        <v>2013</v>
      </c>
      <c r="F5253" s="3">
        <f t="shared" si="1184"/>
        <v>6</v>
      </c>
      <c r="G5253" s="3">
        <f t="shared" si="1185"/>
        <v>4</v>
      </c>
      <c r="H5253" s="3">
        <f t="shared" si="1186"/>
        <v>19</v>
      </c>
      <c r="I5253" s="3">
        <f t="shared" si="1187"/>
        <v>9</v>
      </c>
      <c r="J5253" s="3">
        <f t="shared" si="1188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189"/>
        <v>YES</v>
      </c>
      <c r="Q5253" t="str">
        <f t="shared" si="1190"/>
        <v>NO</v>
      </c>
      <c r="R5253" t="str">
        <f t="shared" si="1191"/>
        <v>NO</v>
      </c>
      <c r="S5253">
        <v>170</v>
      </c>
      <c r="T5253" t="s">
        <v>1502</v>
      </c>
      <c r="U5253" t="str">
        <f t="shared" si="1192"/>
        <v>Gore St</v>
      </c>
      <c r="W5253" t="str">
        <f t="shared" si="1193"/>
        <v/>
      </c>
      <c r="X5253" t="str">
        <f>IF(ISBLANK(S5253),"Intersection","Non-Intersection")</f>
        <v>Non-Intersection</v>
      </c>
      <c r="Y5253" t="s">
        <v>5713</v>
      </c>
      <c r="Z5253" t="str">
        <f t="shared" si="1194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181"/>
        <v>41275</v>
      </c>
      <c r="D5254" s="4">
        <f t="shared" si="1182"/>
        <v>0.42465753424657532</v>
      </c>
      <c r="E5254" s="3">
        <f t="shared" si="1183"/>
        <v>2013</v>
      </c>
      <c r="F5254" s="3">
        <f t="shared" si="1184"/>
        <v>6</v>
      </c>
      <c r="G5254" s="3">
        <f t="shared" si="1185"/>
        <v>5</v>
      </c>
      <c r="H5254" s="3">
        <f t="shared" si="1186"/>
        <v>14</v>
      </c>
      <c r="I5254" s="3">
        <f t="shared" si="1187"/>
        <v>15</v>
      </c>
      <c r="J5254" s="3">
        <f t="shared" si="1188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189"/>
        <v>YES</v>
      </c>
      <c r="Q5254" t="str">
        <f t="shared" si="1190"/>
        <v>NO</v>
      </c>
      <c r="R5254" t="str">
        <f t="shared" si="1191"/>
        <v>NO</v>
      </c>
      <c r="S5254">
        <v>1696</v>
      </c>
      <c r="T5254" t="s">
        <v>14</v>
      </c>
      <c r="U5254" t="str">
        <f t="shared" si="1192"/>
        <v>Massachusetts Ave</v>
      </c>
      <c r="W5254" t="str">
        <f t="shared" si="1193"/>
        <v/>
      </c>
      <c r="X5254" t="str">
        <f>IF(ISBLANK(S5254),"Intersection","Non-Intersection")</f>
        <v>Non-Intersection</v>
      </c>
      <c r="Y5254" t="s">
        <v>5715</v>
      </c>
      <c r="Z5254" t="str">
        <f t="shared" si="1194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181"/>
        <v>41275</v>
      </c>
      <c r="D5255" s="4">
        <f t="shared" si="1182"/>
        <v>0.42465753424657532</v>
      </c>
      <c r="E5255" s="3">
        <f t="shared" si="1183"/>
        <v>2013</v>
      </c>
      <c r="F5255" s="3">
        <f t="shared" si="1184"/>
        <v>6</v>
      </c>
      <c r="G5255" s="3">
        <f t="shared" si="1185"/>
        <v>5</v>
      </c>
      <c r="H5255" s="3">
        <f t="shared" si="1186"/>
        <v>17</v>
      </c>
      <c r="I5255" s="3">
        <f t="shared" si="1187"/>
        <v>54</v>
      </c>
      <c r="J5255" s="3">
        <f t="shared" si="1188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189"/>
        <v>YES</v>
      </c>
      <c r="Q5255" t="str">
        <f t="shared" si="1190"/>
        <v>YES</v>
      </c>
      <c r="R5255" t="str">
        <f t="shared" si="1191"/>
        <v>NO</v>
      </c>
      <c r="T5255" t="s">
        <v>198</v>
      </c>
      <c r="U5255" t="str">
        <f t="shared" si="1192"/>
        <v>Mount Auburn St</v>
      </c>
      <c r="V5255" t="s">
        <v>2285</v>
      </c>
      <c r="W5255" t="str">
        <f t="shared" si="1193"/>
        <v>Homer Ave</v>
      </c>
      <c r="X5255" t="str">
        <f>IF(ISBLANK(S5255),"Intersection","Non-Intersection")</f>
        <v>Intersection</v>
      </c>
      <c r="Y5255" t="s">
        <v>3334</v>
      </c>
      <c r="Z5255" t="str">
        <f t="shared" si="1194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181"/>
        <v>41275</v>
      </c>
      <c r="D5256" s="4">
        <f t="shared" si="1182"/>
        <v>0.42465753424657532</v>
      </c>
      <c r="E5256" s="3">
        <f t="shared" si="1183"/>
        <v>2013</v>
      </c>
      <c r="F5256" s="3">
        <f t="shared" si="1184"/>
        <v>6</v>
      </c>
      <c r="G5256" s="3">
        <f t="shared" si="1185"/>
        <v>5</v>
      </c>
      <c r="H5256" s="3">
        <f t="shared" si="1186"/>
        <v>21</v>
      </c>
      <c r="I5256" s="3">
        <f t="shared" si="1187"/>
        <v>30</v>
      </c>
      <c r="J5256" s="3">
        <f t="shared" si="1188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189"/>
        <v>YES</v>
      </c>
      <c r="Q5256" t="str">
        <f t="shared" si="1190"/>
        <v>YES</v>
      </c>
      <c r="R5256" t="str">
        <f t="shared" si="1191"/>
        <v>NO</v>
      </c>
      <c r="T5256" t="s">
        <v>19</v>
      </c>
      <c r="U5256" t="str">
        <f t="shared" si="1192"/>
        <v>Cambridge St</v>
      </c>
      <c r="V5256" t="s">
        <v>1739</v>
      </c>
      <c r="W5256" t="str">
        <f t="shared" si="1193"/>
        <v>Harding St</v>
      </c>
      <c r="X5256" t="str">
        <f>IF(ISBLANK(S5256),"Intersection","Non-Intersection")</f>
        <v>Intersection</v>
      </c>
      <c r="Y5256" t="s">
        <v>1740</v>
      </c>
      <c r="Z5256" t="str">
        <f t="shared" si="1194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181"/>
        <v>41275</v>
      </c>
      <c r="D5257" s="4">
        <f t="shared" si="1182"/>
        <v>0.42739726027397262</v>
      </c>
      <c r="E5257" s="3">
        <f t="shared" si="1183"/>
        <v>2013</v>
      </c>
      <c r="F5257" s="3">
        <f t="shared" si="1184"/>
        <v>6</v>
      </c>
      <c r="G5257" s="3">
        <f t="shared" si="1185"/>
        <v>6</v>
      </c>
      <c r="H5257" s="3">
        <f t="shared" si="1186"/>
        <v>5</v>
      </c>
      <c r="I5257" s="3">
        <f t="shared" si="1187"/>
        <v>29</v>
      </c>
      <c r="J5257" s="3">
        <f t="shared" si="1188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189"/>
        <v>YES</v>
      </c>
      <c r="Q5257" t="str">
        <f t="shared" si="1190"/>
        <v>NO</v>
      </c>
      <c r="R5257" t="str">
        <f t="shared" si="1191"/>
        <v>NO</v>
      </c>
      <c r="T5257" t="s">
        <v>181</v>
      </c>
      <c r="U5257" t="str">
        <f t="shared" si="1192"/>
        <v>Florence St</v>
      </c>
      <c r="V5257" t="s">
        <v>37</v>
      </c>
      <c r="W5257" t="str">
        <f t="shared" si="1193"/>
        <v>Magazine St</v>
      </c>
      <c r="X5257" t="str">
        <f>IF(ISBLANK(S5257),"Intersection","Non-Intersection")</f>
        <v>Intersection</v>
      </c>
      <c r="Y5257" t="s">
        <v>5717</v>
      </c>
      <c r="Z5257" t="str">
        <f t="shared" si="1194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181"/>
        <v>41275</v>
      </c>
      <c r="D5258" s="4">
        <f t="shared" si="1182"/>
        <v>0.42739726027397262</v>
      </c>
      <c r="E5258" s="3">
        <f t="shared" si="1183"/>
        <v>2013</v>
      </c>
      <c r="F5258" s="3">
        <f t="shared" si="1184"/>
        <v>6</v>
      </c>
      <c r="G5258" s="3">
        <f t="shared" si="1185"/>
        <v>6</v>
      </c>
      <c r="H5258" s="3">
        <f t="shared" si="1186"/>
        <v>10</v>
      </c>
      <c r="I5258" s="3">
        <f t="shared" si="1187"/>
        <v>40</v>
      </c>
      <c r="J5258" s="3">
        <f t="shared" si="1188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189"/>
        <v>YES</v>
      </c>
      <c r="Q5258" t="str">
        <f t="shared" si="1190"/>
        <v>NO</v>
      </c>
      <c r="R5258" t="str">
        <f t="shared" si="1191"/>
        <v>NO</v>
      </c>
      <c r="S5258">
        <v>272</v>
      </c>
      <c r="T5258" t="s">
        <v>252</v>
      </c>
      <c r="U5258" t="str">
        <f t="shared" si="1192"/>
        <v>Walden St</v>
      </c>
      <c r="W5258" t="str">
        <f t="shared" si="1193"/>
        <v/>
      </c>
      <c r="X5258" t="str">
        <f>IF(ISBLANK(S5258),"Intersection","Non-Intersection")</f>
        <v>Non-Intersection</v>
      </c>
      <c r="Y5258" t="s">
        <v>5719</v>
      </c>
      <c r="Z5258" t="str">
        <f t="shared" si="1194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181"/>
        <v>41275</v>
      </c>
      <c r="D5259" s="4">
        <f t="shared" si="1182"/>
        <v>0.42739726027397262</v>
      </c>
      <c r="E5259" s="3">
        <f t="shared" si="1183"/>
        <v>2013</v>
      </c>
      <c r="F5259" s="3">
        <f t="shared" si="1184"/>
        <v>6</v>
      </c>
      <c r="G5259" s="3">
        <f t="shared" si="1185"/>
        <v>6</v>
      </c>
      <c r="H5259" s="3">
        <f t="shared" si="1186"/>
        <v>17</v>
      </c>
      <c r="I5259" s="3">
        <f t="shared" si="1187"/>
        <v>41</v>
      </c>
      <c r="J5259" s="3">
        <f t="shared" si="1188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189"/>
        <v>YES</v>
      </c>
      <c r="Q5259" t="str">
        <f t="shared" si="1190"/>
        <v>NO</v>
      </c>
      <c r="R5259" t="str">
        <f t="shared" si="1191"/>
        <v>NO</v>
      </c>
      <c r="T5259" t="s">
        <v>27</v>
      </c>
      <c r="U5259" t="str">
        <f t="shared" si="1192"/>
        <v>Western Ave</v>
      </c>
      <c r="V5259" t="s">
        <v>28</v>
      </c>
      <c r="W5259" t="str">
        <f t="shared" si="1193"/>
        <v>Howard St</v>
      </c>
      <c r="X5259" t="str">
        <f>IF(ISBLANK(S5259),"Intersection","Non-Intersection")</f>
        <v>Intersection</v>
      </c>
      <c r="Y5259" t="s">
        <v>29</v>
      </c>
      <c r="Z5259" t="str">
        <f t="shared" si="1194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181"/>
        <v>41275</v>
      </c>
      <c r="D5260" s="4">
        <f t="shared" si="1182"/>
        <v>0.42739726027397262</v>
      </c>
      <c r="E5260" s="3">
        <f t="shared" si="1183"/>
        <v>2013</v>
      </c>
      <c r="F5260" s="3">
        <f t="shared" si="1184"/>
        <v>6</v>
      </c>
      <c r="G5260" s="3">
        <f t="shared" si="1185"/>
        <v>6</v>
      </c>
      <c r="H5260" s="3">
        <f t="shared" si="1186"/>
        <v>18</v>
      </c>
      <c r="I5260" s="3">
        <f t="shared" si="1187"/>
        <v>36</v>
      </c>
      <c r="J5260" s="3">
        <f t="shared" si="1188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189"/>
        <v>YES</v>
      </c>
      <c r="Q5260" t="str">
        <f t="shared" si="1190"/>
        <v>NO</v>
      </c>
      <c r="R5260" t="str">
        <f t="shared" si="1191"/>
        <v>NO</v>
      </c>
      <c r="T5260" t="s">
        <v>42</v>
      </c>
      <c r="U5260" t="str">
        <f t="shared" si="1192"/>
        <v>Putnam Ave</v>
      </c>
      <c r="V5260" t="s">
        <v>651</v>
      </c>
      <c r="W5260" t="str">
        <f t="shared" si="1193"/>
        <v>Surrey St</v>
      </c>
      <c r="X5260" t="str">
        <f>IF(ISBLANK(S5260),"Intersection","Non-Intersection")</f>
        <v>Intersection</v>
      </c>
      <c r="Y5260" t="s">
        <v>5591</v>
      </c>
      <c r="Z5260" t="str">
        <f t="shared" si="1194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181"/>
        <v>41275</v>
      </c>
      <c r="D5261" s="4">
        <f t="shared" si="1182"/>
        <v>0.43013698630136987</v>
      </c>
      <c r="E5261" s="3">
        <f t="shared" si="1183"/>
        <v>2013</v>
      </c>
      <c r="F5261" s="3">
        <f t="shared" si="1184"/>
        <v>6</v>
      </c>
      <c r="G5261" s="3">
        <f t="shared" si="1185"/>
        <v>7</v>
      </c>
      <c r="H5261" s="3">
        <f t="shared" si="1186"/>
        <v>9</v>
      </c>
      <c r="I5261" s="3">
        <f t="shared" si="1187"/>
        <v>30</v>
      </c>
      <c r="J5261" s="3">
        <f t="shared" si="1188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189"/>
        <v>YES</v>
      </c>
      <c r="Q5261" t="str">
        <f t="shared" si="1190"/>
        <v>NO</v>
      </c>
      <c r="R5261" t="str">
        <f t="shared" si="1191"/>
        <v>NO</v>
      </c>
      <c r="T5261" t="s">
        <v>379</v>
      </c>
      <c r="U5261" t="str">
        <f t="shared" si="1192"/>
        <v>Second St</v>
      </c>
      <c r="V5261" t="s">
        <v>556</v>
      </c>
      <c r="W5261" t="str">
        <f t="shared" si="1193"/>
        <v>Bent St</v>
      </c>
      <c r="X5261" t="str">
        <f>IF(ISBLANK(S5261),"Intersection","Non-Intersection")</f>
        <v>Intersection</v>
      </c>
      <c r="Y5261" t="s">
        <v>5179</v>
      </c>
      <c r="Z5261" t="str">
        <f t="shared" si="1194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181"/>
        <v>41275</v>
      </c>
      <c r="D5262" s="4">
        <f t="shared" si="1182"/>
        <v>0.43013698630136987</v>
      </c>
      <c r="E5262" s="3">
        <f t="shared" si="1183"/>
        <v>2013</v>
      </c>
      <c r="F5262" s="3">
        <f t="shared" si="1184"/>
        <v>6</v>
      </c>
      <c r="G5262" s="3">
        <f t="shared" si="1185"/>
        <v>7</v>
      </c>
      <c r="H5262" s="3">
        <f t="shared" si="1186"/>
        <v>12</v>
      </c>
      <c r="I5262" s="3">
        <f t="shared" si="1187"/>
        <v>27</v>
      </c>
      <c r="J5262" s="3">
        <f t="shared" si="1188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189"/>
        <v>YES</v>
      </c>
      <c r="Q5262" t="str">
        <f t="shared" si="1190"/>
        <v>NO</v>
      </c>
      <c r="R5262" t="str">
        <f t="shared" si="1191"/>
        <v>NO</v>
      </c>
      <c r="T5262" t="s">
        <v>342</v>
      </c>
      <c r="U5262" t="str">
        <f t="shared" si="1192"/>
        <v>Prospect St</v>
      </c>
      <c r="V5262" t="s">
        <v>105</v>
      </c>
      <c r="W5262" t="str">
        <f t="shared" si="1193"/>
        <v>Broadway</v>
      </c>
      <c r="X5262" t="str">
        <f>IF(ISBLANK(S5262),"Intersection","Non-Intersection")</f>
        <v>Intersection</v>
      </c>
      <c r="Y5262" t="s">
        <v>725</v>
      </c>
      <c r="Z5262" t="str">
        <f t="shared" si="1194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181"/>
        <v>41275</v>
      </c>
      <c r="D5263" s="4">
        <f t="shared" si="1182"/>
        <v>0.43013698630136987</v>
      </c>
      <c r="E5263" s="3">
        <f t="shared" si="1183"/>
        <v>2013</v>
      </c>
      <c r="F5263" s="3">
        <f t="shared" si="1184"/>
        <v>6</v>
      </c>
      <c r="G5263" s="3">
        <f t="shared" si="1185"/>
        <v>7</v>
      </c>
      <c r="H5263" s="3">
        <f t="shared" si="1186"/>
        <v>12</v>
      </c>
      <c r="I5263" s="3">
        <f t="shared" si="1187"/>
        <v>30</v>
      </c>
      <c r="J5263" s="3">
        <f t="shared" si="1188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189"/>
        <v>YES</v>
      </c>
      <c r="Q5263" t="str">
        <f t="shared" si="1190"/>
        <v>NO</v>
      </c>
      <c r="R5263" t="str">
        <f t="shared" si="1191"/>
        <v>NO</v>
      </c>
      <c r="S5263">
        <v>39</v>
      </c>
      <c r="T5263" t="s">
        <v>1612</v>
      </c>
      <c r="U5263" t="str">
        <f t="shared" si="1192"/>
        <v>William St</v>
      </c>
      <c r="W5263" t="str">
        <f t="shared" si="1193"/>
        <v/>
      </c>
      <c r="X5263" t="str">
        <f>IF(ISBLANK(S5263),"Intersection","Non-Intersection")</f>
        <v>Non-Intersection</v>
      </c>
      <c r="Y5263" t="s">
        <v>5721</v>
      </c>
      <c r="Z5263" t="str">
        <f t="shared" si="1194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181"/>
        <v>41275</v>
      </c>
      <c r="D5264" s="4">
        <f t="shared" si="1182"/>
        <v>0.43013698630136987</v>
      </c>
      <c r="E5264" s="3">
        <f t="shared" si="1183"/>
        <v>2013</v>
      </c>
      <c r="F5264" s="3">
        <f t="shared" si="1184"/>
        <v>6</v>
      </c>
      <c r="G5264" s="3">
        <f t="shared" si="1185"/>
        <v>7</v>
      </c>
      <c r="H5264" s="3">
        <f t="shared" si="1186"/>
        <v>14</v>
      </c>
      <c r="I5264" s="3">
        <f t="shared" si="1187"/>
        <v>29</v>
      </c>
      <c r="J5264" s="3">
        <f t="shared" si="1188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189"/>
        <v>YES</v>
      </c>
      <c r="Q5264" t="str">
        <f t="shared" si="1190"/>
        <v>NO</v>
      </c>
      <c r="R5264" t="str">
        <f t="shared" si="1191"/>
        <v>NO</v>
      </c>
      <c r="S5264">
        <v>215</v>
      </c>
      <c r="T5264" t="s">
        <v>170</v>
      </c>
      <c r="U5264" t="str">
        <f t="shared" si="1192"/>
        <v>Alewife Brook Pky</v>
      </c>
      <c r="W5264" t="str">
        <f t="shared" si="1193"/>
        <v/>
      </c>
      <c r="X5264" t="str">
        <f>IF(ISBLANK(S5264),"Intersection","Non-Intersection")</f>
        <v>Non-Intersection</v>
      </c>
      <c r="Y5264" t="s">
        <v>4750</v>
      </c>
      <c r="Z5264" t="str">
        <f t="shared" si="1194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181"/>
        <v>41275</v>
      </c>
      <c r="D5265" s="4">
        <f t="shared" si="1182"/>
        <v>0.43013698630136987</v>
      </c>
      <c r="E5265" s="3">
        <f t="shared" si="1183"/>
        <v>2013</v>
      </c>
      <c r="F5265" s="3">
        <f t="shared" si="1184"/>
        <v>6</v>
      </c>
      <c r="G5265" s="3">
        <f t="shared" si="1185"/>
        <v>7</v>
      </c>
      <c r="H5265" s="3">
        <f t="shared" si="1186"/>
        <v>14</v>
      </c>
      <c r="I5265" s="3">
        <f t="shared" si="1187"/>
        <v>32</v>
      </c>
      <c r="J5265" s="3">
        <f t="shared" si="1188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189"/>
        <v>YES</v>
      </c>
      <c r="Q5265" t="str">
        <f t="shared" si="1190"/>
        <v>NO</v>
      </c>
      <c r="R5265" t="str">
        <f t="shared" si="1191"/>
        <v>NO</v>
      </c>
      <c r="S5265">
        <v>32</v>
      </c>
      <c r="T5265" t="s">
        <v>202</v>
      </c>
      <c r="U5265" t="str">
        <f t="shared" si="1192"/>
        <v>Vassar St</v>
      </c>
      <c r="W5265" t="str">
        <f t="shared" si="1193"/>
        <v/>
      </c>
      <c r="X5265" t="str">
        <f>IF(ISBLANK(S5265),"Intersection","Non-Intersection")</f>
        <v>Non-Intersection</v>
      </c>
      <c r="Y5265" t="s">
        <v>3759</v>
      </c>
      <c r="Z5265" t="str">
        <f t="shared" si="1194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181"/>
        <v>41275</v>
      </c>
      <c r="D5266" s="4">
        <f t="shared" si="1182"/>
        <v>0.43013698630136987</v>
      </c>
      <c r="E5266" s="3">
        <f t="shared" si="1183"/>
        <v>2013</v>
      </c>
      <c r="F5266" s="3">
        <f t="shared" si="1184"/>
        <v>6</v>
      </c>
      <c r="G5266" s="3">
        <f t="shared" si="1185"/>
        <v>7</v>
      </c>
      <c r="H5266" s="3">
        <f t="shared" si="1186"/>
        <v>15</v>
      </c>
      <c r="I5266" s="3">
        <f t="shared" si="1187"/>
        <v>21</v>
      </c>
      <c r="J5266" s="3">
        <f t="shared" si="1188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189"/>
        <v>YES</v>
      </c>
      <c r="Q5266" t="str">
        <f t="shared" si="1190"/>
        <v>NO</v>
      </c>
      <c r="R5266" t="str">
        <f t="shared" si="1191"/>
        <v>NO</v>
      </c>
      <c r="T5266" t="s">
        <v>14</v>
      </c>
      <c r="U5266" t="str">
        <f t="shared" si="1192"/>
        <v>Massachusetts Ave</v>
      </c>
      <c r="V5266" t="s">
        <v>1426</v>
      </c>
      <c r="W5266" t="str">
        <f t="shared" si="1193"/>
        <v>Rice St</v>
      </c>
      <c r="X5266" t="str">
        <f>IF(ISBLANK(S5266),"Intersection","Non-Intersection")</f>
        <v>Intersection</v>
      </c>
      <c r="Y5266" t="s">
        <v>2369</v>
      </c>
      <c r="Z5266" t="str">
        <f t="shared" si="1194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181"/>
        <v>41275</v>
      </c>
      <c r="D5267" s="4">
        <f t="shared" si="1182"/>
        <v>0.43013698630136987</v>
      </c>
      <c r="E5267" s="3">
        <f t="shared" si="1183"/>
        <v>2013</v>
      </c>
      <c r="F5267" s="3">
        <f t="shared" si="1184"/>
        <v>6</v>
      </c>
      <c r="G5267" s="3">
        <f t="shared" si="1185"/>
        <v>7</v>
      </c>
      <c r="H5267" s="3">
        <f t="shared" si="1186"/>
        <v>15</v>
      </c>
      <c r="I5267" s="3">
        <f t="shared" si="1187"/>
        <v>30</v>
      </c>
      <c r="J5267" s="3">
        <f t="shared" si="1188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189"/>
        <v>YES</v>
      </c>
      <c r="Q5267" t="str">
        <f t="shared" si="1190"/>
        <v>NO</v>
      </c>
      <c r="R5267" t="str">
        <f t="shared" si="1191"/>
        <v>NO</v>
      </c>
      <c r="S5267">
        <v>288</v>
      </c>
      <c r="T5267" t="s">
        <v>342</v>
      </c>
      <c r="U5267" t="str">
        <f t="shared" si="1192"/>
        <v>Prospect St</v>
      </c>
      <c r="W5267" t="str">
        <f t="shared" si="1193"/>
        <v/>
      </c>
      <c r="X5267" t="str">
        <f>IF(ISBLANK(S5267),"Intersection","Non-Intersection")</f>
        <v>Non-Intersection</v>
      </c>
      <c r="Y5267" t="s">
        <v>5723</v>
      </c>
      <c r="Z5267" t="str">
        <f t="shared" si="1194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181"/>
        <v>41275</v>
      </c>
      <c r="D5268" s="4">
        <f t="shared" si="1182"/>
        <v>0.43013698630136987</v>
      </c>
      <c r="E5268" s="3">
        <f t="shared" si="1183"/>
        <v>2013</v>
      </c>
      <c r="F5268" s="3">
        <f t="shared" si="1184"/>
        <v>6</v>
      </c>
      <c r="G5268" s="3">
        <f t="shared" si="1185"/>
        <v>7</v>
      </c>
      <c r="H5268" s="3">
        <f t="shared" si="1186"/>
        <v>16</v>
      </c>
      <c r="I5268" s="3">
        <f t="shared" si="1187"/>
        <v>21</v>
      </c>
      <c r="J5268" s="3">
        <f t="shared" si="1188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189"/>
        <v>YES</v>
      </c>
      <c r="Q5268" t="str">
        <f t="shared" si="1190"/>
        <v>NO</v>
      </c>
      <c r="R5268" t="str">
        <f t="shared" si="1191"/>
        <v>NO</v>
      </c>
      <c r="T5268" t="s">
        <v>14</v>
      </c>
      <c r="U5268" t="str">
        <f t="shared" si="1192"/>
        <v>Massachusetts Ave</v>
      </c>
      <c r="V5268" t="s">
        <v>501</v>
      </c>
      <c r="W5268" t="str">
        <f t="shared" si="1193"/>
        <v>Garfield St</v>
      </c>
      <c r="X5268" t="str">
        <f>IF(ISBLANK(S5268),"Intersection","Non-Intersection")</f>
        <v>Intersection</v>
      </c>
      <c r="Y5268" t="s">
        <v>2128</v>
      </c>
      <c r="Z5268" t="str">
        <f t="shared" si="1194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181"/>
        <v>41275</v>
      </c>
      <c r="D5269" s="4">
        <f t="shared" si="1182"/>
        <v>0.43013698630136987</v>
      </c>
      <c r="E5269" s="3">
        <f t="shared" si="1183"/>
        <v>2013</v>
      </c>
      <c r="F5269" s="3">
        <f t="shared" si="1184"/>
        <v>6</v>
      </c>
      <c r="G5269" s="3">
        <f t="shared" si="1185"/>
        <v>7</v>
      </c>
      <c r="H5269" s="3">
        <f t="shared" si="1186"/>
        <v>18</v>
      </c>
      <c r="I5269" s="3">
        <f t="shared" si="1187"/>
        <v>59</v>
      </c>
      <c r="J5269" s="3">
        <f t="shared" si="1188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189"/>
        <v>YES</v>
      </c>
      <c r="Q5269" t="str">
        <f t="shared" si="1190"/>
        <v>NO</v>
      </c>
      <c r="R5269" t="str">
        <f t="shared" si="1191"/>
        <v>YES</v>
      </c>
      <c r="S5269">
        <v>465</v>
      </c>
      <c r="T5269" t="s">
        <v>19</v>
      </c>
      <c r="U5269" t="str">
        <f t="shared" si="1192"/>
        <v>Cambridge St</v>
      </c>
      <c r="W5269" t="str">
        <f t="shared" si="1193"/>
        <v/>
      </c>
      <c r="X5269" t="str">
        <f>IF(ISBLANK(S5269),"Intersection","Non-Intersection")</f>
        <v>Non-Intersection</v>
      </c>
      <c r="Y5269" t="s">
        <v>5725</v>
      </c>
      <c r="Z5269" t="str">
        <f t="shared" si="1194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181"/>
        <v>41275</v>
      </c>
      <c r="D5270" s="4">
        <f t="shared" si="1182"/>
        <v>0.43013698630136987</v>
      </c>
      <c r="E5270" s="3">
        <f t="shared" si="1183"/>
        <v>2013</v>
      </c>
      <c r="F5270" s="3">
        <f t="shared" si="1184"/>
        <v>6</v>
      </c>
      <c r="G5270" s="3">
        <f t="shared" si="1185"/>
        <v>7</v>
      </c>
      <c r="H5270" s="3">
        <f t="shared" si="1186"/>
        <v>19</v>
      </c>
      <c r="I5270" s="3">
        <f t="shared" si="1187"/>
        <v>2</v>
      </c>
      <c r="J5270" s="3">
        <f t="shared" si="1188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189"/>
        <v>YES</v>
      </c>
      <c r="Q5270" t="str">
        <f t="shared" si="1190"/>
        <v>NO</v>
      </c>
      <c r="R5270" t="str">
        <f t="shared" si="1191"/>
        <v>YES</v>
      </c>
      <c r="T5270" t="s">
        <v>1062</v>
      </c>
      <c r="U5270" t="str">
        <f t="shared" si="1192"/>
        <v>Cambridgeside Pl</v>
      </c>
      <c r="W5270" t="str">
        <f t="shared" si="1193"/>
        <v/>
      </c>
      <c r="X5270" t="str">
        <f>IF(ISBLANK(S5270),"Intersection","Non-Intersection")</f>
        <v>Intersection</v>
      </c>
      <c r="Y5270" t="s">
        <v>1283</v>
      </c>
      <c r="Z5270" t="str">
        <f t="shared" si="1194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181"/>
        <v>41275</v>
      </c>
      <c r="D5271" s="4">
        <f t="shared" si="1182"/>
        <v>0.43287671232876712</v>
      </c>
      <c r="E5271" s="3">
        <f t="shared" si="1183"/>
        <v>2013</v>
      </c>
      <c r="F5271" s="3">
        <f t="shared" si="1184"/>
        <v>6</v>
      </c>
      <c r="G5271" s="3">
        <f t="shared" si="1185"/>
        <v>8</v>
      </c>
      <c r="H5271" s="3">
        <f t="shared" si="1186"/>
        <v>1</v>
      </c>
      <c r="I5271" s="3">
        <f t="shared" si="1187"/>
        <v>9</v>
      </c>
      <c r="J5271" s="3">
        <f t="shared" si="1188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189"/>
        <v>YES</v>
      </c>
      <c r="Q5271" t="str">
        <f t="shared" si="1190"/>
        <v>NO</v>
      </c>
      <c r="R5271" t="str">
        <f t="shared" si="1191"/>
        <v>NO</v>
      </c>
      <c r="T5271" t="s">
        <v>86</v>
      </c>
      <c r="U5271" t="str">
        <f t="shared" si="1192"/>
        <v>Granite St</v>
      </c>
      <c r="V5271" t="s">
        <v>453</v>
      </c>
      <c r="W5271" t="str">
        <f t="shared" si="1193"/>
        <v>Brookline St</v>
      </c>
      <c r="X5271" t="str">
        <f>IF(ISBLANK(S5271),"Intersection","Non-Intersection")</f>
        <v>Intersection</v>
      </c>
      <c r="Y5271" t="s">
        <v>4096</v>
      </c>
      <c r="Z5271" t="str">
        <f t="shared" si="1194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181"/>
        <v>41275</v>
      </c>
      <c r="D5272" s="4">
        <f t="shared" si="1182"/>
        <v>0.43287671232876712</v>
      </c>
      <c r="E5272" s="3">
        <f t="shared" si="1183"/>
        <v>2013</v>
      </c>
      <c r="F5272" s="3">
        <f t="shared" si="1184"/>
        <v>6</v>
      </c>
      <c r="G5272" s="3">
        <f t="shared" si="1185"/>
        <v>8</v>
      </c>
      <c r="H5272" s="3">
        <f t="shared" si="1186"/>
        <v>12</v>
      </c>
      <c r="I5272" s="3">
        <f t="shared" si="1187"/>
        <v>10</v>
      </c>
      <c r="J5272" s="3">
        <f t="shared" si="1188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189"/>
        <v>YES</v>
      </c>
      <c r="Q5272" t="str">
        <f t="shared" si="1190"/>
        <v>NO</v>
      </c>
      <c r="R5272" t="str">
        <f t="shared" si="1191"/>
        <v>NO</v>
      </c>
      <c r="T5272" t="s">
        <v>342</v>
      </c>
      <c r="U5272" t="str">
        <f t="shared" si="1192"/>
        <v>Prospect St</v>
      </c>
      <c r="V5272" t="s">
        <v>316</v>
      </c>
      <c r="W5272" t="str">
        <f t="shared" si="1193"/>
        <v>Bishop Allen Dr</v>
      </c>
      <c r="X5272" t="str">
        <f>IF(ISBLANK(S5272),"Intersection","Non-Intersection")</f>
        <v>Intersection</v>
      </c>
      <c r="Y5272" t="s">
        <v>2529</v>
      </c>
      <c r="Z5272" t="str">
        <f t="shared" si="1194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181"/>
        <v>41275</v>
      </c>
      <c r="D5273" s="4">
        <f t="shared" si="1182"/>
        <v>0.43287671232876712</v>
      </c>
      <c r="E5273" s="3">
        <f t="shared" si="1183"/>
        <v>2013</v>
      </c>
      <c r="F5273" s="3">
        <f t="shared" si="1184"/>
        <v>6</v>
      </c>
      <c r="G5273" s="3">
        <f t="shared" si="1185"/>
        <v>8</v>
      </c>
      <c r="H5273" s="3">
        <f t="shared" si="1186"/>
        <v>16</v>
      </c>
      <c r="I5273" s="3">
        <f t="shared" si="1187"/>
        <v>21</v>
      </c>
      <c r="J5273" s="3">
        <f t="shared" si="1188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189"/>
        <v>YES</v>
      </c>
      <c r="Q5273" t="str">
        <f t="shared" si="1190"/>
        <v>YES</v>
      </c>
      <c r="R5273" t="str">
        <f t="shared" si="1191"/>
        <v>NO</v>
      </c>
      <c r="T5273" t="s">
        <v>105</v>
      </c>
      <c r="U5273" t="str">
        <f t="shared" si="1192"/>
        <v>Broadway</v>
      </c>
      <c r="V5273" t="s">
        <v>1249</v>
      </c>
      <c r="W5273" t="str">
        <f t="shared" si="1193"/>
        <v>West Pl</v>
      </c>
      <c r="X5273" t="str">
        <f>IF(ISBLANK(S5273),"Intersection","Non-Intersection")</f>
        <v>Intersection</v>
      </c>
      <c r="Y5273" t="s">
        <v>1250</v>
      </c>
      <c r="Z5273" t="str">
        <f t="shared" si="1194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181"/>
        <v>41275</v>
      </c>
      <c r="D5274" s="4">
        <f t="shared" si="1182"/>
        <v>0.43561643835616437</v>
      </c>
      <c r="E5274" s="3">
        <f t="shared" si="1183"/>
        <v>2013</v>
      </c>
      <c r="F5274" s="3">
        <f t="shared" si="1184"/>
        <v>6</v>
      </c>
      <c r="G5274" s="3">
        <f t="shared" si="1185"/>
        <v>9</v>
      </c>
      <c r="H5274" s="3">
        <f t="shared" si="1186"/>
        <v>15</v>
      </c>
      <c r="I5274" s="3">
        <f t="shared" si="1187"/>
        <v>17</v>
      </c>
      <c r="J5274" s="3">
        <f t="shared" si="1188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189"/>
        <v>YES</v>
      </c>
      <c r="Q5274" t="str">
        <f t="shared" si="1190"/>
        <v>YES</v>
      </c>
      <c r="R5274" t="str">
        <f t="shared" si="1191"/>
        <v>NO</v>
      </c>
      <c r="T5274" t="s">
        <v>14</v>
      </c>
      <c r="U5274" t="str">
        <f t="shared" si="1192"/>
        <v>Massachusetts Ave</v>
      </c>
      <c r="V5274" t="s">
        <v>126</v>
      </c>
      <c r="W5274" t="str">
        <f t="shared" si="1193"/>
        <v>Somerville Ave</v>
      </c>
      <c r="X5274" t="str">
        <f>IF(ISBLANK(S5274),"Intersection","Non-Intersection")</f>
        <v>Intersection</v>
      </c>
      <c r="Y5274" t="s">
        <v>127</v>
      </c>
      <c r="Z5274" t="str">
        <f t="shared" si="1194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181"/>
        <v>41275</v>
      </c>
      <c r="D5275" s="4">
        <f t="shared" si="1182"/>
        <v>0.43561643835616437</v>
      </c>
      <c r="E5275" s="3">
        <f t="shared" si="1183"/>
        <v>2013</v>
      </c>
      <c r="F5275" s="3">
        <f t="shared" si="1184"/>
        <v>6</v>
      </c>
      <c r="G5275" s="3">
        <f t="shared" si="1185"/>
        <v>9</v>
      </c>
      <c r="H5275" s="3">
        <f t="shared" si="1186"/>
        <v>15</v>
      </c>
      <c r="I5275" s="3">
        <f t="shared" si="1187"/>
        <v>49</v>
      </c>
      <c r="J5275" s="3">
        <f t="shared" si="1188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189"/>
        <v>YES</v>
      </c>
      <c r="Q5275" t="str">
        <f t="shared" si="1190"/>
        <v>NO</v>
      </c>
      <c r="R5275" t="str">
        <f t="shared" si="1191"/>
        <v>NO</v>
      </c>
      <c r="T5275" t="s">
        <v>526</v>
      </c>
      <c r="U5275" t="str">
        <f t="shared" si="1192"/>
        <v>Springfield St</v>
      </c>
      <c r="W5275" t="str">
        <f t="shared" si="1193"/>
        <v/>
      </c>
      <c r="X5275" t="str">
        <f>IF(ISBLANK(S5275),"Intersection","Non-Intersection")</f>
        <v>Intersection</v>
      </c>
      <c r="Y5275" t="s">
        <v>5727</v>
      </c>
      <c r="Z5275" t="str">
        <f t="shared" si="1194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181"/>
        <v>41275</v>
      </c>
      <c r="D5276" s="4">
        <f t="shared" si="1182"/>
        <v>0.43561643835616437</v>
      </c>
      <c r="E5276" s="3">
        <f t="shared" si="1183"/>
        <v>2013</v>
      </c>
      <c r="F5276" s="3">
        <f t="shared" si="1184"/>
        <v>6</v>
      </c>
      <c r="G5276" s="3">
        <f t="shared" si="1185"/>
        <v>9</v>
      </c>
      <c r="H5276" s="3">
        <f t="shared" si="1186"/>
        <v>18</v>
      </c>
      <c r="I5276" s="3">
        <f t="shared" si="1187"/>
        <v>14</v>
      </c>
      <c r="J5276" s="3">
        <f t="shared" si="1188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189"/>
        <v>YES</v>
      </c>
      <c r="Q5276" t="str">
        <f t="shared" si="1190"/>
        <v>NO</v>
      </c>
      <c r="R5276" t="str">
        <f t="shared" si="1191"/>
        <v>NO</v>
      </c>
      <c r="T5276" t="s">
        <v>316</v>
      </c>
      <c r="U5276" t="str">
        <f t="shared" si="1192"/>
        <v>Bishop Allen Dr</v>
      </c>
      <c r="V5276" t="s">
        <v>1088</v>
      </c>
      <c r="W5276" t="str">
        <f t="shared" si="1193"/>
        <v>Temple St</v>
      </c>
      <c r="X5276" t="str">
        <f>IF(ISBLANK(S5276),"Intersection","Non-Intersection")</f>
        <v>Intersection</v>
      </c>
      <c r="Y5276" t="s">
        <v>5728</v>
      </c>
      <c r="Z5276" t="str">
        <f t="shared" si="1194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195">EOMONTH(B5277,MONTH(B5277)*-1)+1</f>
        <v>41275</v>
      </c>
      <c r="D5277" s="4">
        <f t="shared" ref="D5277:D5338" si="1196">YEARFRAC(C5277,B5277,1)</f>
        <v>0.43835616438356162</v>
      </c>
      <c r="E5277" s="3">
        <f t="shared" ref="E5277:E5338" si="1197">YEAR(B5277)</f>
        <v>2013</v>
      </c>
      <c r="F5277" s="3">
        <f t="shared" ref="F5277:F5338" si="1198">MONTH(B5277)</f>
        <v>6</v>
      </c>
      <c r="G5277" s="3">
        <f t="shared" ref="G5277:G5338" si="1199">DAY(B5277)</f>
        <v>10</v>
      </c>
      <c r="H5277" s="3">
        <f t="shared" ref="H5277:H5338" si="1200">HOUR(B5277)</f>
        <v>17</v>
      </c>
      <c r="I5277" s="3">
        <f t="shared" ref="I5277:I5338" si="1201">MINUTE(B5277)</f>
        <v>32</v>
      </c>
      <c r="J5277" s="3">
        <f t="shared" ref="J5277:J5338" si="1202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03">IF(OR(N5277="Auto",O5277="Auto"),"YES",IF(OR(N5277="Taxi",O5277="Taxi"),"YES",IF(OR(N5277="Van",O5277="Van"),"YES",IF(OR(N5277="Truck",O5277="Truck"),"YES","NO"))))</f>
        <v>YES</v>
      </c>
      <c r="Q5277" t="str">
        <f t="shared" ref="Q5277:Q5338" si="1204">IF(OR(N5277="Bicycle",O5277="Bicycle"),"YES","NO")</f>
        <v>YES</v>
      </c>
      <c r="R5277" t="str">
        <f t="shared" ref="R5277:R5338" si="1205">IF(OR(N5277="Pedestrian",O5277="Pedestrian"),"YES","NO")</f>
        <v>NO</v>
      </c>
      <c r="T5277" t="s">
        <v>216</v>
      </c>
      <c r="U5277" t="str">
        <f t="shared" si="1192"/>
        <v>Washington Ave</v>
      </c>
      <c r="V5277" t="s">
        <v>101</v>
      </c>
      <c r="W5277" t="str">
        <f t="shared" si="1193"/>
        <v>Columbia St</v>
      </c>
      <c r="X5277" t="str">
        <f>IF(ISBLANK(S5277),"Intersection","Non-Intersection")</f>
        <v>Intersection</v>
      </c>
      <c r="Y5277" t="s">
        <v>5301</v>
      </c>
      <c r="Z5277" t="str">
        <f t="shared" si="1194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195"/>
        <v>41275</v>
      </c>
      <c r="D5278" s="4">
        <f t="shared" si="1196"/>
        <v>0.43835616438356162</v>
      </c>
      <c r="E5278" s="3">
        <f t="shared" si="1197"/>
        <v>2013</v>
      </c>
      <c r="F5278" s="3">
        <f t="shared" si="1198"/>
        <v>6</v>
      </c>
      <c r="G5278" s="3">
        <f t="shared" si="1199"/>
        <v>10</v>
      </c>
      <c r="H5278" s="3">
        <f t="shared" si="1200"/>
        <v>18</v>
      </c>
      <c r="I5278" s="3">
        <f t="shared" si="1201"/>
        <v>14</v>
      </c>
      <c r="J5278" s="3">
        <f t="shared" si="1202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03"/>
        <v>YES</v>
      </c>
      <c r="Q5278" t="str">
        <f t="shared" si="1204"/>
        <v>YES</v>
      </c>
      <c r="R5278" t="str">
        <f t="shared" si="1205"/>
        <v>NO</v>
      </c>
      <c r="U5278" t="str">
        <f t="shared" si="1192"/>
        <v/>
      </c>
      <c r="W5278" t="str">
        <f t="shared" si="1193"/>
        <v/>
      </c>
      <c r="X5278" t="str">
        <f>IF(ISBLANK(S5278),"Intersection","Non-Intersection")</f>
        <v>Intersection</v>
      </c>
      <c r="Y5278" t="s">
        <v>717</v>
      </c>
      <c r="Z5278" t="str">
        <f t="shared" si="1194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195"/>
        <v>41275</v>
      </c>
      <c r="D5279" s="4">
        <f t="shared" si="1196"/>
        <v>0.43835616438356162</v>
      </c>
      <c r="E5279" s="3">
        <f t="shared" si="1197"/>
        <v>2013</v>
      </c>
      <c r="F5279" s="3">
        <f t="shared" si="1198"/>
        <v>6</v>
      </c>
      <c r="G5279" s="3">
        <f t="shared" si="1199"/>
        <v>10</v>
      </c>
      <c r="H5279" s="3">
        <f t="shared" si="1200"/>
        <v>6</v>
      </c>
      <c r="I5279" s="3">
        <f t="shared" si="1201"/>
        <v>27</v>
      </c>
      <c r="J5279" s="3">
        <f t="shared" si="1202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03"/>
        <v>YES</v>
      </c>
      <c r="Q5279" t="str">
        <f t="shared" si="1204"/>
        <v>NO</v>
      </c>
      <c r="R5279" t="str">
        <f t="shared" si="1205"/>
        <v>NO</v>
      </c>
      <c r="T5279" t="s">
        <v>70</v>
      </c>
      <c r="U5279" t="str">
        <f t="shared" si="1192"/>
        <v>Pearl St</v>
      </c>
      <c r="V5279" t="s">
        <v>116</v>
      </c>
      <c r="W5279" t="str">
        <f t="shared" si="1193"/>
        <v>Chestnut St</v>
      </c>
      <c r="X5279" t="str">
        <f>IF(ISBLANK(S5279),"Intersection","Non-Intersection")</f>
        <v>Intersection</v>
      </c>
      <c r="Y5279" t="s">
        <v>3160</v>
      </c>
      <c r="Z5279" t="str">
        <f t="shared" si="1194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195"/>
        <v>41275</v>
      </c>
      <c r="D5280" s="4">
        <f t="shared" si="1196"/>
        <v>0.43835616438356162</v>
      </c>
      <c r="E5280" s="3">
        <f t="shared" si="1197"/>
        <v>2013</v>
      </c>
      <c r="F5280" s="3">
        <f t="shared" si="1198"/>
        <v>6</v>
      </c>
      <c r="G5280" s="3">
        <f t="shared" si="1199"/>
        <v>10</v>
      </c>
      <c r="H5280" s="3">
        <f t="shared" si="1200"/>
        <v>18</v>
      </c>
      <c r="I5280" s="3">
        <f t="shared" si="1201"/>
        <v>30</v>
      </c>
      <c r="J5280" s="3">
        <f t="shared" si="1202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03"/>
        <v>YES</v>
      </c>
      <c r="Q5280" t="str">
        <f t="shared" si="1204"/>
        <v>YES</v>
      </c>
      <c r="R5280" t="str">
        <f t="shared" si="1205"/>
        <v>NO</v>
      </c>
      <c r="T5280" t="s">
        <v>260</v>
      </c>
      <c r="U5280" t="str">
        <f t="shared" si="1192"/>
        <v>Third St</v>
      </c>
      <c r="V5280" t="s">
        <v>19</v>
      </c>
      <c r="W5280" t="str">
        <f t="shared" si="1193"/>
        <v>Cambridge St</v>
      </c>
      <c r="X5280" t="str">
        <f>IF(ISBLANK(S5280),"Intersection","Non-Intersection")</f>
        <v>Intersection</v>
      </c>
      <c r="Y5280" t="s">
        <v>2227</v>
      </c>
      <c r="Z5280" t="str">
        <f t="shared" si="1194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195"/>
        <v>41275</v>
      </c>
      <c r="D5281" s="4">
        <f t="shared" si="1196"/>
        <v>0.43835616438356162</v>
      </c>
      <c r="E5281" s="3">
        <f t="shared" si="1197"/>
        <v>2013</v>
      </c>
      <c r="F5281" s="3">
        <f t="shared" si="1198"/>
        <v>6</v>
      </c>
      <c r="G5281" s="3">
        <f t="shared" si="1199"/>
        <v>10</v>
      </c>
      <c r="H5281" s="3">
        <f t="shared" si="1200"/>
        <v>10</v>
      </c>
      <c r="I5281" s="3">
        <f t="shared" si="1201"/>
        <v>40</v>
      </c>
      <c r="J5281" s="3">
        <f t="shared" si="1202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03"/>
        <v>YES</v>
      </c>
      <c r="Q5281" t="str">
        <f t="shared" si="1204"/>
        <v>NO</v>
      </c>
      <c r="R5281" t="str">
        <f t="shared" si="1205"/>
        <v>NO</v>
      </c>
      <c r="S5281">
        <v>6</v>
      </c>
      <c r="T5281" t="s">
        <v>832</v>
      </c>
      <c r="U5281" t="str">
        <f t="shared" si="1192"/>
        <v>Fairmont Ave</v>
      </c>
      <c r="W5281" t="str">
        <f t="shared" si="1193"/>
        <v/>
      </c>
      <c r="X5281" t="str">
        <f>IF(ISBLANK(S5281),"Intersection","Non-Intersection")</f>
        <v>Non-Intersection</v>
      </c>
      <c r="Y5281" t="s">
        <v>5730</v>
      </c>
      <c r="Z5281" t="str">
        <f t="shared" si="1194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195"/>
        <v>41275</v>
      </c>
      <c r="D5282" s="4">
        <f t="shared" si="1196"/>
        <v>0.43835616438356162</v>
      </c>
      <c r="E5282" s="3">
        <f t="shared" si="1197"/>
        <v>2013</v>
      </c>
      <c r="F5282" s="3">
        <f t="shared" si="1198"/>
        <v>6</v>
      </c>
      <c r="G5282" s="3">
        <f t="shared" si="1199"/>
        <v>10</v>
      </c>
      <c r="H5282" s="3">
        <f t="shared" si="1200"/>
        <v>9</v>
      </c>
      <c r="I5282" s="3">
        <f t="shared" si="1201"/>
        <v>59</v>
      </c>
      <c r="J5282" s="3">
        <f t="shared" si="1202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03"/>
        <v>YES</v>
      </c>
      <c r="Q5282" t="str">
        <f t="shared" si="1204"/>
        <v>NO</v>
      </c>
      <c r="R5282" t="str">
        <f t="shared" si="1205"/>
        <v>NO</v>
      </c>
      <c r="T5282" t="s">
        <v>277</v>
      </c>
      <c r="U5282" t="str">
        <f t="shared" si="1192"/>
        <v>Lawn St</v>
      </c>
      <c r="V5282" t="s">
        <v>2038</v>
      </c>
      <c r="W5282" t="str">
        <f t="shared" si="1193"/>
        <v>May St</v>
      </c>
      <c r="X5282" t="str">
        <f>IF(ISBLANK(S5282),"Intersection","Non-Intersection")</f>
        <v>Intersection</v>
      </c>
      <c r="Y5282" t="s">
        <v>2618</v>
      </c>
      <c r="Z5282" t="str">
        <f t="shared" si="1194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195"/>
        <v>41275</v>
      </c>
      <c r="D5283" s="4">
        <f t="shared" si="1196"/>
        <v>0.44109589041095892</v>
      </c>
      <c r="E5283" s="3">
        <f t="shared" si="1197"/>
        <v>2013</v>
      </c>
      <c r="F5283" s="3">
        <f t="shared" si="1198"/>
        <v>6</v>
      </c>
      <c r="G5283" s="3">
        <f t="shared" si="1199"/>
        <v>11</v>
      </c>
      <c r="H5283" s="3">
        <f t="shared" si="1200"/>
        <v>12</v>
      </c>
      <c r="I5283" s="3">
        <f t="shared" si="1201"/>
        <v>49</v>
      </c>
      <c r="J5283" s="3">
        <f t="shared" si="1202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03"/>
        <v>YES</v>
      </c>
      <c r="Q5283" t="str">
        <f t="shared" si="1204"/>
        <v>NO</v>
      </c>
      <c r="R5283" t="str">
        <f t="shared" si="1205"/>
        <v>YES</v>
      </c>
      <c r="S5283">
        <v>55</v>
      </c>
      <c r="T5283" t="s">
        <v>61</v>
      </c>
      <c r="U5283" t="str">
        <f t="shared" si="1192"/>
        <v>First St</v>
      </c>
      <c r="W5283" t="str">
        <f t="shared" si="1193"/>
        <v/>
      </c>
      <c r="X5283" t="str">
        <f>IF(ISBLANK(S5283),"Intersection","Non-Intersection")</f>
        <v>Non-Intersection</v>
      </c>
      <c r="Y5283" t="s">
        <v>2090</v>
      </c>
      <c r="Z5283" t="str">
        <f t="shared" si="1194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195"/>
        <v>41275</v>
      </c>
      <c r="D5284" s="4">
        <f t="shared" si="1196"/>
        <v>0.44109589041095892</v>
      </c>
      <c r="E5284" s="3">
        <f t="shared" si="1197"/>
        <v>2013</v>
      </c>
      <c r="F5284" s="3">
        <f t="shared" si="1198"/>
        <v>6</v>
      </c>
      <c r="G5284" s="3">
        <f t="shared" si="1199"/>
        <v>11</v>
      </c>
      <c r="H5284" s="3">
        <f t="shared" si="1200"/>
        <v>8</v>
      </c>
      <c r="I5284" s="3">
        <f t="shared" si="1201"/>
        <v>26</v>
      </c>
      <c r="J5284" s="3">
        <f t="shared" si="1202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03"/>
        <v>YES</v>
      </c>
      <c r="Q5284" t="str">
        <f t="shared" si="1204"/>
        <v>NO</v>
      </c>
      <c r="R5284" t="str">
        <f t="shared" si="1205"/>
        <v>NO</v>
      </c>
      <c r="S5284">
        <v>703</v>
      </c>
      <c r="T5284" t="s">
        <v>198</v>
      </c>
      <c r="U5284" t="str">
        <f t="shared" si="1192"/>
        <v>Mount Auburn St</v>
      </c>
      <c r="W5284" t="str">
        <f t="shared" si="1193"/>
        <v/>
      </c>
      <c r="X5284" t="str">
        <f>IF(ISBLANK(S5284),"Intersection","Non-Intersection")</f>
        <v>Non-Intersection</v>
      </c>
      <c r="Y5284" t="s">
        <v>5013</v>
      </c>
      <c r="Z5284" t="str">
        <f t="shared" si="1194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195"/>
        <v>41275</v>
      </c>
      <c r="D5285" s="4">
        <f t="shared" si="1196"/>
        <v>0.44109589041095892</v>
      </c>
      <c r="E5285" s="3">
        <f t="shared" si="1197"/>
        <v>2013</v>
      </c>
      <c r="F5285" s="3">
        <f t="shared" si="1198"/>
        <v>6</v>
      </c>
      <c r="G5285" s="3">
        <f t="shared" si="1199"/>
        <v>11</v>
      </c>
      <c r="H5285" s="3">
        <f t="shared" si="1200"/>
        <v>18</v>
      </c>
      <c r="I5285" s="3">
        <f t="shared" si="1201"/>
        <v>20</v>
      </c>
      <c r="J5285" s="3">
        <f t="shared" si="1202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03"/>
        <v>YES</v>
      </c>
      <c r="Q5285" t="str">
        <f t="shared" si="1204"/>
        <v>NO</v>
      </c>
      <c r="R5285" t="str">
        <f t="shared" si="1205"/>
        <v>NO</v>
      </c>
      <c r="T5285" t="s">
        <v>14</v>
      </c>
      <c r="U5285" t="str">
        <f t="shared" si="1192"/>
        <v>Massachusetts Ave</v>
      </c>
      <c r="V5285" t="s">
        <v>354</v>
      </c>
      <c r="W5285" t="str">
        <f t="shared" si="1193"/>
        <v>Linnaean St</v>
      </c>
      <c r="X5285" t="str">
        <f>IF(ISBLANK(S5285),"Intersection","Non-Intersection")</f>
        <v>Intersection</v>
      </c>
      <c r="Y5285" t="s">
        <v>1234</v>
      </c>
      <c r="Z5285" t="str">
        <f t="shared" si="1194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195"/>
        <v>41275</v>
      </c>
      <c r="D5286" s="4">
        <f t="shared" si="1196"/>
        <v>0.44383561643835617</v>
      </c>
      <c r="E5286" s="3">
        <f t="shared" si="1197"/>
        <v>2013</v>
      </c>
      <c r="F5286" s="3">
        <f t="shared" si="1198"/>
        <v>6</v>
      </c>
      <c r="G5286" s="3">
        <f t="shared" si="1199"/>
        <v>12</v>
      </c>
      <c r="H5286" s="3">
        <f t="shared" si="1200"/>
        <v>8</v>
      </c>
      <c r="I5286" s="3">
        <f t="shared" si="1201"/>
        <v>15</v>
      </c>
      <c r="J5286" s="3">
        <f t="shared" si="1202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03"/>
        <v>YES</v>
      </c>
      <c r="Q5286" t="str">
        <f t="shared" si="1204"/>
        <v>NO</v>
      </c>
      <c r="R5286" t="str">
        <f t="shared" si="1205"/>
        <v>NO</v>
      </c>
      <c r="S5286">
        <v>567</v>
      </c>
      <c r="T5286" t="s">
        <v>42</v>
      </c>
      <c r="U5286" t="str">
        <f t="shared" si="1192"/>
        <v>Putnam Ave</v>
      </c>
      <c r="W5286" t="str">
        <f t="shared" si="1193"/>
        <v/>
      </c>
      <c r="X5286" t="str">
        <f>IF(ISBLANK(S5286),"Intersection","Non-Intersection")</f>
        <v>Non-Intersection</v>
      </c>
      <c r="Y5286" t="s">
        <v>5732</v>
      </c>
      <c r="Z5286" t="str">
        <f t="shared" si="1194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195"/>
        <v>41275</v>
      </c>
      <c r="D5287" s="4">
        <f t="shared" si="1196"/>
        <v>0.44383561643835617</v>
      </c>
      <c r="E5287" s="3">
        <f t="shared" si="1197"/>
        <v>2013</v>
      </c>
      <c r="F5287" s="3">
        <f t="shared" si="1198"/>
        <v>6</v>
      </c>
      <c r="G5287" s="3">
        <f t="shared" si="1199"/>
        <v>12</v>
      </c>
      <c r="H5287" s="3">
        <f t="shared" si="1200"/>
        <v>13</v>
      </c>
      <c r="I5287" s="3">
        <f t="shared" si="1201"/>
        <v>30</v>
      </c>
      <c r="J5287" s="3">
        <f t="shared" si="1202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03"/>
        <v>YES</v>
      </c>
      <c r="Q5287" t="str">
        <f t="shared" si="1204"/>
        <v>NO</v>
      </c>
      <c r="R5287" t="str">
        <f t="shared" si="1205"/>
        <v>NO</v>
      </c>
      <c r="S5287">
        <v>480</v>
      </c>
      <c r="T5287" t="s">
        <v>101</v>
      </c>
      <c r="U5287" t="str">
        <f t="shared" si="1192"/>
        <v>Columbia St</v>
      </c>
      <c r="W5287" t="str">
        <f t="shared" si="1193"/>
        <v/>
      </c>
      <c r="X5287" t="str">
        <f>IF(ISBLANK(S5287),"Intersection","Non-Intersection")</f>
        <v>Non-Intersection</v>
      </c>
      <c r="Y5287" t="s">
        <v>3567</v>
      </c>
      <c r="Z5287" t="str">
        <f t="shared" si="1194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195"/>
        <v>41275</v>
      </c>
      <c r="D5288" s="4">
        <f t="shared" si="1196"/>
        <v>0.44383561643835617</v>
      </c>
      <c r="E5288" s="3">
        <f t="shared" si="1197"/>
        <v>2013</v>
      </c>
      <c r="F5288" s="3">
        <f t="shared" si="1198"/>
        <v>6</v>
      </c>
      <c r="G5288" s="3">
        <f t="shared" si="1199"/>
        <v>12</v>
      </c>
      <c r="H5288" s="3">
        <f t="shared" si="1200"/>
        <v>22</v>
      </c>
      <c r="I5288" s="3">
        <f t="shared" si="1201"/>
        <v>6</v>
      </c>
      <c r="J5288" s="3">
        <f t="shared" si="1202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03"/>
        <v>YES</v>
      </c>
      <c r="Q5288" t="str">
        <f t="shared" si="1204"/>
        <v>YES</v>
      </c>
      <c r="R5288" t="str">
        <f t="shared" si="1205"/>
        <v>NO</v>
      </c>
      <c r="T5288" t="s">
        <v>108</v>
      </c>
      <c r="U5288" t="str">
        <f t="shared" si="1192"/>
        <v>Franklin St</v>
      </c>
      <c r="V5288" t="s">
        <v>42</v>
      </c>
      <c r="W5288" t="str">
        <f t="shared" si="1193"/>
        <v>Putnam Ave</v>
      </c>
      <c r="X5288" t="str">
        <f>IF(ISBLANK(S5288),"Intersection","Non-Intersection")</f>
        <v>Intersection</v>
      </c>
      <c r="Y5288" t="s">
        <v>5734</v>
      </c>
      <c r="Z5288" t="str">
        <f t="shared" si="1194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195"/>
        <v>41275</v>
      </c>
      <c r="D5289" s="4">
        <f t="shared" si="1196"/>
        <v>0.44383561643835617</v>
      </c>
      <c r="E5289" s="3">
        <f t="shared" si="1197"/>
        <v>2013</v>
      </c>
      <c r="F5289" s="3">
        <f t="shared" si="1198"/>
        <v>6</v>
      </c>
      <c r="G5289" s="3">
        <f t="shared" si="1199"/>
        <v>12</v>
      </c>
      <c r="H5289" s="3">
        <f t="shared" si="1200"/>
        <v>21</v>
      </c>
      <c r="I5289" s="3">
        <f t="shared" si="1201"/>
        <v>20</v>
      </c>
      <c r="J5289" s="3">
        <f t="shared" si="1202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03"/>
        <v>YES</v>
      </c>
      <c r="Q5289" t="str">
        <f t="shared" si="1204"/>
        <v>NO</v>
      </c>
      <c r="R5289" t="str">
        <f t="shared" si="1205"/>
        <v>NO</v>
      </c>
      <c r="T5289" t="s">
        <v>342</v>
      </c>
      <c r="U5289" t="str">
        <f t="shared" si="1192"/>
        <v>Prospect St</v>
      </c>
      <c r="V5289" t="s">
        <v>74</v>
      </c>
      <c r="W5289" t="str">
        <f t="shared" si="1193"/>
        <v>Hampshire St</v>
      </c>
      <c r="X5289" t="str">
        <f>IF(ISBLANK(S5289),"Intersection","Non-Intersection")</f>
        <v>Intersection</v>
      </c>
      <c r="Y5289" t="s">
        <v>964</v>
      </c>
      <c r="Z5289" t="str">
        <f t="shared" si="1194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195"/>
        <v>41275</v>
      </c>
      <c r="D5290" s="4">
        <f t="shared" si="1196"/>
        <v>0.44657534246575342</v>
      </c>
      <c r="E5290" s="3">
        <f t="shared" si="1197"/>
        <v>2013</v>
      </c>
      <c r="F5290" s="3">
        <f t="shared" si="1198"/>
        <v>6</v>
      </c>
      <c r="G5290" s="3">
        <f t="shared" si="1199"/>
        <v>13</v>
      </c>
      <c r="H5290" s="3">
        <f t="shared" si="1200"/>
        <v>15</v>
      </c>
      <c r="I5290" s="3">
        <f t="shared" si="1201"/>
        <v>50</v>
      </c>
      <c r="J5290" s="3">
        <f t="shared" si="1202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03"/>
        <v>YES</v>
      </c>
      <c r="Q5290" t="str">
        <f t="shared" si="1204"/>
        <v>YES</v>
      </c>
      <c r="R5290" t="str">
        <f t="shared" si="1205"/>
        <v>NO</v>
      </c>
      <c r="S5290">
        <v>359</v>
      </c>
      <c r="T5290" t="s">
        <v>105</v>
      </c>
      <c r="U5290" t="str">
        <f t="shared" si="1192"/>
        <v>Broadway</v>
      </c>
      <c r="W5290" t="str">
        <f t="shared" si="1193"/>
        <v/>
      </c>
      <c r="X5290" t="str">
        <f>IF(ISBLANK(S5290),"Intersection","Non-Intersection")</f>
        <v>Non-Intersection</v>
      </c>
      <c r="Y5290" t="s">
        <v>3327</v>
      </c>
      <c r="Z5290" t="str">
        <f t="shared" si="1194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195"/>
        <v>41275</v>
      </c>
      <c r="D5291" s="4">
        <f t="shared" si="1196"/>
        <v>0.44657534246575342</v>
      </c>
      <c r="E5291" s="3">
        <f t="shared" si="1197"/>
        <v>2013</v>
      </c>
      <c r="F5291" s="3">
        <f t="shared" si="1198"/>
        <v>6</v>
      </c>
      <c r="G5291" s="3">
        <f t="shared" si="1199"/>
        <v>13</v>
      </c>
      <c r="H5291" s="3">
        <f t="shared" si="1200"/>
        <v>17</v>
      </c>
      <c r="I5291" s="3">
        <f t="shared" si="1201"/>
        <v>29</v>
      </c>
      <c r="J5291" s="3">
        <f t="shared" si="1202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03"/>
        <v>YES</v>
      </c>
      <c r="Q5291" t="str">
        <f t="shared" si="1204"/>
        <v>NO</v>
      </c>
      <c r="R5291" t="str">
        <f t="shared" si="1205"/>
        <v>NO</v>
      </c>
      <c r="T5291" t="s">
        <v>14</v>
      </c>
      <c r="U5291" t="str">
        <f t="shared" si="1192"/>
        <v>Massachusetts Ave</v>
      </c>
      <c r="V5291" t="s">
        <v>498</v>
      </c>
      <c r="W5291" t="str">
        <f t="shared" si="1193"/>
        <v>Ellery St</v>
      </c>
      <c r="X5291" t="str">
        <f>IF(ISBLANK(S5291),"Intersection","Non-Intersection")</f>
        <v>Intersection</v>
      </c>
      <c r="Y5291" t="s">
        <v>2747</v>
      </c>
      <c r="Z5291" t="str">
        <f t="shared" si="1194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195"/>
        <v>41275</v>
      </c>
      <c r="D5292" s="4">
        <f t="shared" si="1196"/>
        <v>0.44931506849315067</v>
      </c>
      <c r="E5292" s="3">
        <f t="shared" si="1197"/>
        <v>2013</v>
      </c>
      <c r="F5292" s="3">
        <f t="shared" si="1198"/>
        <v>6</v>
      </c>
      <c r="G5292" s="3">
        <f t="shared" si="1199"/>
        <v>14</v>
      </c>
      <c r="H5292" s="3">
        <f t="shared" si="1200"/>
        <v>21</v>
      </c>
      <c r="I5292" s="3">
        <f t="shared" si="1201"/>
        <v>53</v>
      </c>
      <c r="J5292" s="3">
        <f t="shared" si="1202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03"/>
        <v>YES</v>
      </c>
      <c r="Q5292" t="str">
        <f t="shared" si="1204"/>
        <v>NO</v>
      </c>
      <c r="R5292" t="str">
        <f t="shared" si="1205"/>
        <v>NO</v>
      </c>
      <c r="S5292">
        <v>44</v>
      </c>
      <c r="T5292" t="s">
        <v>1006</v>
      </c>
      <c r="U5292" t="str">
        <f t="shared" si="1192"/>
        <v>Irving St</v>
      </c>
      <c r="W5292" t="str">
        <f t="shared" si="1193"/>
        <v/>
      </c>
      <c r="X5292" t="str">
        <f>IF(ISBLANK(S5292),"Intersection","Non-Intersection")</f>
        <v>Non-Intersection</v>
      </c>
      <c r="Y5292" t="s">
        <v>5736</v>
      </c>
      <c r="Z5292" t="str">
        <f t="shared" si="1194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195"/>
        <v>41275</v>
      </c>
      <c r="D5293" s="4">
        <f t="shared" si="1196"/>
        <v>0.44931506849315067</v>
      </c>
      <c r="E5293" s="3">
        <f t="shared" si="1197"/>
        <v>2013</v>
      </c>
      <c r="F5293" s="3">
        <f t="shared" si="1198"/>
        <v>6</v>
      </c>
      <c r="G5293" s="3">
        <f t="shared" si="1199"/>
        <v>14</v>
      </c>
      <c r="H5293" s="3">
        <f t="shared" si="1200"/>
        <v>12</v>
      </c>
      <c r="I5293" s="3">
        <f t="shared" si="1201"/>
        <v>10</v>
      </c>
      <c r="J5293" s="3">
        <f t="shared" si="1202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03"/>
        <v>YES</v>
      </c>
      <c r="Q5293" t="str">
        <f t="shared" si="1204"/>
        <v>NO</v>
      </c>
      <c r="R5293" t="str">
        <f t="shared" si="1205"/>
        <v>NO</v>
      </c>
      <c r="S5293">
        <v>73</v>
      </c>
      <c r="T5293" t="s">
        <v>5738</v>
      </c>
      <c r="U5293" t="str">
        <f t="shared" si="1192"/>
        <v>Allston Ct</v>
      </c>
      <c r="W5293" t="str">
        <f t="shared" si="1193"/>
        <v/>
      </c>
      <c r="X5293" t="str">
        <f>IF(ISBLANK(S5293),"Intersection","Non-Intersection")</f>
        <v>Non-Intersection</v>
      </c>
      <c r="Y5293" t="s">
        <v>5739</v>
      </c>
      <c r="Z5293" t="str">
        <f t="shared" si="1194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195"/>
        <v>41275</v>
      </c>
      <c r="D5294" s="4">
        <f t="shared" si="1196"/>
        <v>0.45205479452054792</v>
      </c>
      <c r="E5294" s="3">
        <f t="shared" si="1197"/>
        <v>2013</v>
      </c>
      <c r="F5294" s="3">
        <f t="shared" si="1198"/>
        <v>6</v>
      </c>
      <c r="G5294" s="3">
        <f t="shared" si="1199"/>
        <v>15</v>
      </c>
      <c r="H5294" s="3">
        <f t="shared" si="1200"/>
        <v>6</v>
      </c>
      <c r="I5294" s="3">
        <f t="shared" si="1201"/>
        <v>36</v>
      </c>
      <c r="J5294" s="3">
        <f t="shared" si="1202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03"/>
        <v>YES</v>
      </c>
      <c r="Q5294" t="str">
        <f t="shared" si="1204"/>
        <v>NO</v>
      </c>
      <c r="R5294" t="str">
        <f t="shared" si="1205"/>
        <v>NO</v>
      </c>
      <c r="S5294">
        <v>1199</v>
      </c>
      <c r="T5294" t="s">
        <v>19</v>
      </c>
      <c r="U5294" t="str">
        <f t="shared" si="1192"/>
        <v>Cambridge St</v>
      </c>
      <c r="W5294" t="str">
        <f t="shared" si="1193"/>
        <v/>
      </c>
      <c r="X5294" t="str">
        <f>IF(ISBLANK(S5294),"Intersection","Non-Intersection")</f>
        <v>Non-Intersection</v>
      </c>
      <c r="Y5294" t="s">
        <v>5741</v>
      </c>
      <c r="Z5294" t="str">
        <f t="shared" si="1194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195"/>
        <v>41275</v>
      </c>
      <c r="D5295" s="4">
        <f t="shared" si="1196"/>
        <v>0.45205479452054792</v>
      </c>
      <c r="E5295" s="3">
        <f t="shared" si="1197"/>
        <v>2013</v>
      </c>
      <c r="F5295" s="3">
        <f t="shared" si="1198"/>
        <v>6</v>
      </c>
      <c r="G5295" s="3">
        <f t="shared" si="1199"/>
        <v>15</v>
      </c>
      <c r="H5295" s="3">
        <f t="shared" si="1200"/>
        <v>18</v>
      </c>
      <c r="I5295" s="3">
        <f t="shared" si="1201"/>
        <v>0</v>
      </c>
      <c r="J5295" s="3">
        <f t="shared" si="1202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03"/>
        <v>YES</v>
      </c>
      <c r="Q5295" t="str">
        <f t="shared" si="1204"/>
        <v>NO</v>
      </c>
      <c r="R5295" t="str">
        <f t="shared" si="1205"/>
        <v>NO</v>
      </c>
      <c r="S5295">
        <v>161</v>
      </c>
      <c r="T5295" t="s">
        <v>216</v>
      </c>
      <c r="U5295" t="str">
        <f t="shared" si="1192"/>
        <v>Washington Ave</v>
      </c>
      <c r="W5295" t="str">
        <f t="shared" si="1193"/>
        <v/>
      </c>
      <c r="X5295" t="str">
        <f>IF(ISBLANK(S5295),"Intersection","Non-Intersection")</f>
        <v>Non-Intersection</v>
      </c>
      <c r="Y5295" t="s">
        <v>5743</v>
      </c>
      <c r="Z5295" t="str">
        <f t="shared" si="1194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195"/>
        <v>41275</v>
      </c>
      <c r="D5296" s="4">
        <f t="shared" si="1196"/>
        <v>0.45479452054794522</v>
      </c>
      <c r="E5296" s="3">
        <f t="shared" si="1197"/>
        <v>2013</v>
      </c>
      <c r="F5296" s="3">
        <f t="shared" si="1198"/>
        <v>6</v>
      </c>
      <c r="G5296" s="3">
        <f t="shared" si="1199"/>
        <v>16</v>
      </c>
      <c r="H5296" s="3">
        <f t="shared" si="1200"/>
        <v>10</v>
      </c>
      <c r="I5296" s="3">
        <f t="shared" si="1201"/>
        <v>19</v>
      </c>
      <c r="J5296" s="3">
        <f t="shared" si="1202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03"/>
        <v>YES</v>
      </c>
      <c r="Q5296" t="str">
        <f t="shared" si="1204"/>
        <v>NO</v>
      </c>
      <c r="R5296" t="str">
        <f t="shared" si="1205"/>
        <v>NO</v>
      </c>
      <c r="S5296">
        <v>107</v>
      </c>
      <c r="T5296" t="s">
        <v>796</v>
      </c>
      <c r="U5296" t="str">
        <f t="shared" si="1192"/>
        <v>Portland St</v>
      </c>
      <c r="W5296" t="str">
        <f t="shared" si="1193"/>
        <v/>
      </c>
      <c r="X5296" t="str">
        <f>IF(ISBLANK(S5296),"Intersection","Non-Intersection")</f>
        <v>Non-Intersection</v>
      </c>
      <c r="Y5296" t="s">
        <v>5745</v>
      </c>
      <c r="Z5296" t="str">
        <f t="shared" si="1194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195"/>
        <v>41275</v>
      </c>
      <c r="D5297" s="4">
        <f t="shared" si="1196"/>
        <v>0.45479452054794522</v>
      </c>
      <c r="E5297" s="3">
        <f t="shared" si="1197"/>
        <v>2013</v>
      </c>
      <c r="F5297" s="3">
        <f t="shared" si="1198"/>
        <v>6</v>
      </c>
      <c r="G5297" s="3">
        <f t="shared" si="1199"/>
        <v>16</v>
      </c>
      <c r="H5297" s="3">
        <f t="shared" si="1200"/>
        <v>7</v>
      </c>
      <c r="I5297" s="3">
        <f t="shared" si="1201"/>
        <v>28</v>
      </c>
      <c r="J5297" s="3">
        <f t="shared" si="1202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03"/>
        <v>YES</v>
      </c>
      <c r="Q5297" t="str">
        <f t="shared" si="1204"/>
        <v>NO</v>
      </c>
      <c r="R5297" t="str">
        <f t="shared" si="1205"/>
        <v>NO</v>
      </c>
      <c r="T5297" t="s">
        <v>14</v>
      </c>
      <c r="U5297" t="str">
        <f t="shared" si="1192"/>
        <v>Massachusetts Ave</v>
      </c>
      <c r="V5297" t="s">
        <v>202</v>
      </c>
      <c r="W5297" t="str">
        <f t="shared" si="1193"/>
        <v>Vassar St</v>
      </c>
      <c r="X5297" t="str">
        <f>IF(ISBLANK(S5297),"Intersection","Non-Intersection")</f>
        <v>Intersection</v>
      </c>
      <c r="Y5297" t="s">
        <v>361</v>
      </c>
      <c r="Z5297" t="str">
        <f t="shared" si="1194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195"/>
        <v>41275</v>
      </c>
      <c r="D5298" s="4">
        <f t="shared" si="1196"/>
        <v>0.45753424657534247</v>
      </c>
      <c r="E5298" s="3">
        <f t="shared" si="1197"/>
        <v>2013</v>
      </c>
      <c r="F5298" s="3">
        <f t="shared" si="1198"/>
        <v>6</v>
      </c>
      <c r="G5298" s="3">
        <f t="shared" si="1199"/>
        <v>17</v>
      </c>
      <c r="H5298" s="3">
        <f t="shared" si="1200"/>
        <v>12</v>
      </c>
      <c r="I5298" s="3">
        <f t="shared" si="1201"/>
        <v>20</v>
      </c>
      <c r="J5298" s="3">
        <f t="shared" si="1202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03"/>
        <v>YES</v>
      </c>
      <c r="Q5298" t="str">
        <f t="shared" si="1204"/>
        <v>NO</v>
      </c>
      <c r="R5298" t="str">
        <f t="shared" si="1205"/>
        <v>NO</v>
      </c>
      <c r="T5298" t="s">
        <v>19</v>
      </c>
      <c r="U5298" t="str">
        <f t="shared" si="1192"/>
        <v>Cambridge St</v>
      </c>
      <c r="V5298" t="s">
        <v>745</v>
      </c>
      <c r="W5298" t="str">
        <f t="shared" si="1193"/>
        <v>Norfolk St</v>
      </c>
      <c r="X5298" t="str">
        <f>IF(ISBLANK(S5298),"Intersection","Non-Intersection")</f>
        <v>Intersection</v>
      </c>
      <c r="Y5298" t="s">
        <v>3518</v>
      </c>
      <c r="Z5298" t="str">
        <f t="shared" si="1194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195"/>
        <v>41275</v>
      </c>
      <c r="D5299" s="4">
        <f t="shared" si="1196"/>
        <v>0.45753424657534247</v>
      </c>
      <c r="E5299" s="3">
        <f t="shared" si="1197"/>
        <v>2013</v>
      </c>
      <c r="F5299" s="3">
        <f t="shared" si="1198"/>
        <v>6</v>
      </c>
      <c r="G5299" s="3">
        <f t="shared" si="1199"/>
        <v>17</v>
      </c>
      <c r="H5299" s="3">
        <f t="shared" si="1200"/>
        <v>14</v>
      </c>
      <c r="I5299" s="3">
        <f t="shared" si="1201"/>
        <v>45</v>
      </c>
      <c r="J5299" s="3">
        <f t="shared" si="1202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03"/>
        <v>YES</v>
      </c>
      <c r="Q5299" t="str">
        <f t="shared" si="1204"/>
        <v>YES</v>
      </c>
      <c r="R5299" t="str">
        <f t="shared" si="1205"/>
        <v>NO</v>
      </c>
      <c r="T5299" t="s">
        <v>32</v>
      </c>
      <c r="U5299" t="str">
        <f t="shared" si="1192"/>
        <v>Main St</v>
      </c>
      <c r="V5299" t="s">
        <v>79</v>
      </c>
      <c r="W5299" t="str">
        <f t="shared" si="1193"/>
        <v>Ames St</v>
      </c>
      <c r="X5299" t="str">
        <f>IF(ISBLANK(S5299),"Intersection","Non-Intersection")</f>
        <v>Intersection</v>
      </c>
      <c r="Y5299" t="s">
        <v>4050</v>
      </c>
      <c r="Z5299" t="str">
        <f t="shared" si="1194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195"/>
        <v>41275</v>
      </c>
      <c r="D5300" s="4">
        <f t="shared" si="1196"/>
        <v>0.45753424657534247</v>
      </c>
      <c r="E5300" s="3">
        <f t="shared" si="1197"/>
        <v>2013</v>
      </c>
      <c r="F5300" s="3">
        <f t="shared" si="1198"/>
        <v>6</v>
      </c>
      <c r="G5300" s="3">
        <f t="shared" si="1199"/>
        <v>17</v>
      </c>
      <c r="H5300" s="3">
        <f t="shared" si="1200"/>
        <v>8</v>
      </c>
      <c r="I5300" s="3">
        <f t="shared" si="1201"/>
        <v>39</v>
      </c>
      <c r="J5300" s="3">
        <f t="shared" si="1202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03"/>
        <v>NO</v>
      </c>
      <c r="Q5300" t="str">
        <f t="shared" si="1204"/>
        <v>NO</v>
      </c>
      <c r="R5300" t="str">
        <f t="shared" si="1205"/>
        <v>NO</v>
      </c>
      <c r="T5300" t="s">
        <v>261</v>
      </c>
      <c r="U5300" t="str">
        <f t="shared" si="1192"/>
        <v>Otis St</v>
      </c>
      <c r="V5300" t="s">
        <v>3487</v>
      </c>
      <c r="W5300" t="str">
        <f t="shared" si="1193"/>
        <v>Eighth St</v>
      </c>
      <c r="X5300" t="str">
        <f>IF(ISBLANK(S5300),"Intersection","Non-Intersection")</f>
        <v>Intersection</v>
      </c>
      <c r="Y5300" t="s">
        <v>5747</v>
      </c>
      <c r="Z5300" t="str">
        <f t="shared" si="1194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195"/>
        <v>41275</v>
      </c>
      <c r="D5301" s="4">
        <f t="shared" si="1196"/>
        <v>0.45753424657534247</v>
      </c>
      <c r="E5301" s="3">
        <f t="shared" si="1197"/>
        <v>2013</v>
      </c>
      <c r="F5301" s="3">
        <f t="shared" si="1198"/>
        <v>6</v>
      </c>
      <c r="G5301" s="3">
        <f t="shared" si="1199"/>
        <v>17</v>
      </c>
      <c r="H5301" s="3">
        <f t="shared" si="1200"/>
        <v>15</v>
      </c>
      <c r="I5301" s="3">
        <f t="shared" si="1201"/>
        <v>30</v>
      </c>
      <c r="J5301" s="3">
        <f t="shared" si="1202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03"/>
        <v>YES</v>
      </c>
      <c r="Q5301" t="str">
        <f t="shared" si="1204"/>
        <v>NO</v>
      </c>
      <c r="R5301" t="str">
        <f t="shared" si="1205"/>
        <v>NO</v>
      </c>
      <c r="T5301" t="s">
        <v>3054</v>
      </c>
      <c r="U5301" t="str">
        <f t="shared" si="1192"/>
        <v>Oakland St</v>
      </c>
      <c r="W5301" t="str">
        <f t="shared" si="1193"/>
        <v/>
      </c>
      <c r="X5301" t="str">
        <f>IF(ISBLANK(S5301),"Intersection","Non-Intersection")</f>
        <v>Intersection</v>
      </c>
      <c r="Y5301" t="s">
        <v>5748</v>
      </c>
      <c r="Z5301" t="str">
        <f t="shared" si="1194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195"/>
        <v>41275</v>
      </c>
      <c r="D5302" s="4">
        <f t="shared" si="1196"/>
        <v>0.45753424657534247</v>
      </c>
      <c r="E5302" s="3">
        <f t="shared" si="1197"/>
        <v>2013</v>
      </c>
      <c r="F5302" s="3">
        <f t="shared" si="1198"/>
        <v>6</v>
      </c>
      <c r="G5302" s="3">
        <f t="shared" si="1199"/>
        <v>17</v>
      </c>
      <c r="H5302" s="3">
        <f t="shared" si="1200"/>
        <v>17</v>
      </c>
      <c r="I5302" s="3">
        <f t="shared" si="1201"/>
        <v>12</v>
      </c>
      <c r="J5302" s="3">
        <f t="shared" si="1202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03"/>
        <v>YES</v>
      </c>
      <c r="Q5302" t="str">
        <f t="shared" si="1204"/>
        <v>YES</v>
      </c>
      <c r="R5302" t="str">
        <f t="shared" si="1205"/>
        <v>NO</v>
      </c>
      <c r="S5302">
        <v>4</v>
      </c>
      <c r="T5302" t="s">
        <v>1013</v>
      </c>
      <c r="U5302" t="str">
        <f t="shared" si="1192"/>
        <v>Blanchard Rd</v>
      </c>
      <c r="W5302" t="str">
        <f t="shared" si="1193"/>
        <v/>
      </c>
      <c r="X5302" t="str">
        <f>IF(ISBLANK(S5302),"Intersection","Non-Intersection")</f>
        <v>Non-Intersection</v>
      </c>
      <c r="Y5302" t="s">
        <v>4143</v>
      </c>
      <c r="Z5302" t="str">
        <f t="shared" si="1194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195"/>
        <v>41275</v>
      </c>
      <c r="D5303" s="4">
        <f t="shared" si="1196"/>
        <v>0.45753424657534247</v>
      </c>
      <c r="E5303" s="3">
        <f t="shared" si="1197"/>
        <v>2013</v>
      </c>
      <c r="F5303" s="3">
        <f t="shared" si="1198"/>
        <v>6</v>
      </c>
      <c r="G5303" s="3">
        <f t="shared" si="1199"/>
        <v>17</v>
      </c>
      <c r="H5303" s="3">
        <f t="shared" si="1200"/>
        <v>18</v>
      </c>
      <c r="I5303" s="3">
        <f t="shared" si="1201"/>
        <v>40</v>
      </c>
      <c r="J5303" s="3">
        <f t="shared" si="1202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03"/>
        <v>YES</v>
      </c>
      <c r="Q5303" t="str">
        <f t="shared" si="1204"/>
        <v>NO</v>
      </c>
      <c r="R5303" t="str">
        <f t="shared" si="1205"/>
        <v>NO</v>
      </c>
      <c r="T5303" t="s">
        <v>342</v>
      </c>
      <c r="U5303" t="str">
        <f t="shared" si="1192"/>
        <v>Prospect St</v>
      </c>
      <c r="V5303" t="s">
        <v>133</v>
      </c>
      <c r="W5303" t="str">
        <f t="shared" si="1193"/>
        <v>Harvard St</v>
      </c>
      <c r="X5303" t="str">
        <f>IF(ISBLANK(S5303),"Intersection","Non-Intersection")</f>
        <v>Intersection</v>
      </c>
      <c r="Y5303" t="s">
        <v>884</v>
      </c>
      <c r="Z5303" t="str">
        <f t="shared" si="1194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195"/>
        <v>41275</v>
      </c>
      <c r="D5304" s="4">
        <f t="shared" si="1196"/>
        <v>0.45753424657534247</v>
      </c>
      <c r="E5304" s="3">
        <f t="shared" si="1197"/>
        <v>2013</v>
      </c>
      <c r="F5304" s="3">
        <f t="shared" si="1198"/>
        <v>6</v>
      </c>
      <c r="G5304" s="3">
        <f t="shared" si="1199"/>
        <v>17</v>
      </c>
      <c r="H5304" s="3">
        <f t="shared" si="1200"/>
        <v>21</v>
      </c>
      <c r="I5304" s="3">
        <f t="shared" si="1201"/>
        <v>15</v>
      </c>
      <c r="J5304" s="3">
        <f t="shared" si="1202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03"/>
        <v>YES</v>
      </c>
      <c r="Q5304" t="str">
        <f t="shared" si="1204"/>
        <v>YES</v>
      </c>
      <c r="R5304" t="str">
        <f t="shared" si="1205"/>
        <v>NO</v>
      </c>
      <c r="T5304" t="s">
        <v>14</v>
      </c>
      <c r="U5304" t="str">
        <f t="shared" si="1192"/>
        <v>Massachusetts Ave</v>
      </c>
      <c r="V5304" t="s">
        <v>553</v>
      </c>
      <c r="W5304" t="str">
        <f t="shared" si="1193"/>
        <v>Cameron Ave</v>
      </c>
      <c r="X5304" t="str">
        <f>IF(ISBLANK(S5304),"Intersection","Non-Intersection")</f>
        <v>Intersection</v>
      </c>
      <c r="Y5304" t="s">
        <v>554</v>
      </c>
      <c r="Z5304" t="str">
        <f t="shared" si="1194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195"/>
        <v>41275</v>
      </c>
      <c r="D5305" s="4">
        <f t="shared" si="1196"/>
        <v>0.46027397260273972</v>
      </c>
      <c r="E5305" s="3">
        <f t="shared" si="1197"/>
        <v>2013</v>
      </c>
      <c r="F5305" s="3">
        <f t="shared" si="1198"/>
        <v>6</v>
      </c>
      <c r="G5305" s="3">
        <f t="shared" si="1199"/>
        <v>18</v>
      </c>
      <c r="H5305" s="3">
        <f t="shared" si="1200"/>
        <v>15</v>
      </c>
      <c r="I5305" s="3">
        <f t="shared" si="1201"/>
        <v>47</v>
      </c>
      <c r="J5305" s="3">
        <f t="shared" si="1202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03"/>
        <v>YES</v>
      </c>
      <c r="Q5305" t="str">
        <f t="shared" si="1204"/>
        <v>NO</v>
      </c>
      <c r="R5305" t="str">
        <f t="shared" si="1205"/>
        <v>NO</v>
      </c>
      <c r="T5305" t="s">
        <v>326</v>
      </c>
      <c r="U5305" t="str">
        <f t="shared" si="1192"/>
        <v>Jfk St</v>
      </c>
      <c r="V5305" t="s">
        <v>325</v>
      </c>
      <c r="W5305" t="str">
        <f t="shared" si="1193"/>
        <v>Eliot St</v>
      </c>
      <c r="X5305" t="str">
        <f>IF(ISBLANK(S5305),"Intersection","Non-Intersection")</f>
        <v>Intersection</v>
      </c>
      <c r="Y5305" t="s">
        <v>1420</v>
      </c>
      <c r="Z5305" t="str">
        <f t="shared" si="1194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195"/>
        <v>41275</v>
      </c>
      <c r="D5306" s="4">
        <f t="shared" si="1196"/>
        <v>0.46027397260273972</v>
      </c>
      <c r="E5306" s="3">
        <f t="shared" si="1197"/>
        <v>2013</v>
      </c>
      <c r="F5306" s="3">
        <f t="shared" si="1198"/>
        <v>6</v>
      </c>
      <c r="G5306" s="3">
        <f t="shared" si="1199"/>
        <v>18</v>
      </c>
      <c r="H5306" s="3">
        <f t="shared" si="1200"/>
        <v>13</v>
      </c>
      <c r="I5306" s="3">
        <f t="shared" si="1201"/>
        <v>15</v>
      </c>
      <c r="J5306" s="3">
        <f t="shared" si="1202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03"/>
        <v>YES</v>
      </c>
      <c r="Q5306" t="str">
        <f t="shared" si="1204"/>
        <v>NO</v>
      </c>
      <c r="R5306" t="str">
        <f t="shared" si="1205"/>
        <v>NO</v>
      </c>
      <c r="S5306">
        <v>127</v>
      </c>
      <c r="T5306" t="s">
        <v>2060</v>
      </c>
      <c r="U5306" t="str">
        <f t="shared" si="1192"/>
        <v>Harvey St</v>
      </c>
      <c r="W5306" t="str">
        <f t="shared" si="1193"/>
        <v/>
      </c>
      <c r="X5306" t="str">
        <f>IF(ISBLANK(S5306),"Intersection","Non-Intersection")</f>
        <v>Non-Intersection</v>
      </c>
      <c r="Y5306" t="s">
        <v>5749</v>
      </c>
      <c r="Z5306" t="str">
        <f t="shared" si="1194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195"/>
        <v>41275</v>
      </c>
      <c r="D5307" s="4">
        <f t="shared" si="1196"/>
        <v>0.46027397260273972</v>
      </c>
      <c r="E5307" s="3">
        <f t="shared" si="1197"/>
        <v>2013</v>
      </c>
      <c r="F5307" s="3">
        <f t="shared" si="1198"/>
        <v>6</v>
      </c>
      <c r="G5307" s="3">
        <f t="shared" si="1199"/>
        <v>18</v>
      </c>
      <c r="H5307" s="3">
        <f t="shared" si="1200"/>
        <v>13</v>
      </c>
      <c r="I5307" s="3">
        <f t="shared" si="1201"/>
        <v>44</v>
      </c>
      <c r="J5307" s="3">
        <f t="shared" si="1202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03"/>
        <v>YES</v>
      </c>
      <c r="Q5307" t="str">
        <f t="shared" si="1204"/>
        <v>NO</v>
      </c>
      <c r="R5307" t="str">
        <f t="shared" si="1205"/>
        <v>NO</v>
      </c>
      <c r="T5307" t="s">
        <v>129</v>
      </c>
      <c r="U5307" t="str">
        <f t="shared" si="1192"/>
        <v>Cardinal Medeiros Ave</v>
      </c>
      <c r="V5307" t="s">
        <v>985</v>
      </c>
      <c r="W5307" t="str">
        <f t="shared" si="1193"/>
        <v>Plymouth St</v>
      </c>
      <c r="X5307" t="str">
        <f>IF(ISBLANK(S5307),"Intersection","Non-Intersection")</f>
        <v>Intersection</v>
      </c>
      <c r="Y5307" t="s">
        <v>4963</v>
      </c>
      <c r="Z5307" t="str">
        <f t="shared" si="1194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195"/>
        <v>41275</v>
      </c>
      <c r="D5308" s="4">
        <f t="shared" si="1196"/>
        <v>0.46027397260273972</v>
      </c>
      <c r="E5308" s="3">
        <f t="shared" si="1197"/>
        <v>2013</v>
      </c>
      <c r="F5308" s="3">
        <f t="shared" si="1198"/>
        <v>6</v>
      </c>
      <c r="G5308" s="3">
        <f t="shared" si="1199"/>
        <v>18</v>
      </c>
      <c r="H5308" s="3">
        <f t="shared" si="1200"/>
        <v>8</v>
      </c>
      <c r="I5308" s="3">
        <f t="shared" si="1201"/>
        <v>29</v>
      </c>
      <c r="J5308" s="3">
        <f t="shared" si="1202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03"/>
        <v>YES</v>
      </c>
      <c r="Q5308" t="str">
        <f t="shared" si="1204"/>
        <v>NO</v>
      </c>
      <c r="R5308" t="str">
        <f t="shared" si="1205"/>
        <v>NO</v>
      </c>
      <c r="S5308">
        <v>678</v>
      </c>
      <c r="T5308" t="s">
        <v>186</v>
      </c>
      <c r="U5308" t="str">
        <f t="shared" si="1192"/>
        <v>Concord Ave</v>
      </c>
      <c r="W5308" t="str">
        <f t="shared" si="1193"/>
        <v/>
      </c>
      <c r="X5308" t="str">
        <f>IF(ISBLANK(S5308),"Intersection","Non-Intersection")</f>
        <v>Non-Intersection</v>
      </c>
      <c r="Y5308" t="s">
        <v>5751</v>
      </c>
      <c r="Z5308" t="str">
        <f t="shared" si="1194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195"/>
        <v>41275</v>
      </c>
      <c r="D5309" s="4">
        <f t="shared" si="1196"/>
        <v>0.46301369863013697</v>
      </c>
      <c r="E5309" s="3">
        <f t="shared" si="1197"/>
        <v>2013</v>
      </c>
      <c r="F5309" s="3">
        <f t="shared" si="1198"/>
        <v>6</v>
      </c>
      <c r="G5309" s="3">
        <f t="shared" si="1199"/>
        <v>19</v>
      </c>
      <c r="H5309" s="3">
        <f t="shared" si="1200"/>
        <v>8</v>
      </c>
      <c r="I5309" s="3">
        <f t="shared" si="1201"/>
        <v>3</v>
      </c>
      <c r="J5309" s="3">
        <f t="shared" si="1202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03"/>
        <v>YES</v>
      </c>
      <c r="Q5309" t="str">
        <f t="shared" si="1204"/>
        <v>YES</v>
      </c>
      <c r="R5309" t="str">
        <f t="shared" si="1205"/>
        <v>NO</v>
      </c>
      <c r="S5309">
        <v>2450</v>
      </c>
      <c r="T5309" t="s">
        <v>14</v>
      </c>
      <c r="U5309" t="str">
        <f t="shared" si="1192"/>
        <v>Massachusetts Ave</v>
      </c>
      <c r="W5309" t="str">
        <f t="shared" si="1193"/>
        <v/>
      </c>
      <c r="X5309" t="str">
        <f>IF(ISBLANK(S5309),"Intersection","Non-Intersection")</f>
        <v>Non-Intersection</v>
      </c>
      <c r="Y5309" t="s">
        <v>5752</v>
      </c>
      <c r="Z5309" t="str">
        <f t="shared" si="1194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195"/>
        <v>41275</v>
      </c>
      <c r="D5310" s="4">
        <f t="shared" si="1196"/>
        <v>0.46301369863013697</v>
      </c>
      <c r="E5310" s="3">
        <f t="shared" si="1197"/>
        <v>2013</v>
      </c>
      <c r="F5310" s="3">
        <f t="shared" si="1198"/>
        <v>6</v>
      </c>
      <c r="G5310" s="3">
        <f t="shared" si="1199"/>
        <v>19</v>
      </c>
      <c r="H5310" s="3">
        <f t="shared" si="1200"/>
        <v>11</v>
      </c>
      <c r="I5310" s="3">
        <f t="shared" si="1201"/>
        <v>15</v>
      </c>
      <c r="J5310" s="3">
        <f t="shared" si="1202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03"/>
        <v>YES</v>
      </c>
      <c r="Q5310" t="str">
        <f t="shared" si="1204"/>
        <v>NO</v>
      </c>
      <c r="R5310" t="str">
        <f t="shared" si="1205"/>
        <v>NO</v>
      </c>
      <c r="S5310">
        <v>22</v>
      </c>
      <c r="T5310" t="s">
        <v>325</v>
      </c>
      <c r="U5310" t="str">
        <f t="shared" si="1192"/>
        <v>Eliot St</v>
      </c>
      <c r="W5310" t="str">
        <f t="shared" si="1193"/>
        <v/>
      </c>
      <c r="X5310" t="str">
        <f>IF(ISBLANK(S5310),"Intersection","Non-Intersection")</f>
        <v>Non-Intersection</v>
      </c>
      <c r="Y5310" t="s">
        <v>1076</v>
      </c>
      <c r="Z5310" t="str">
        <f t="shared" si="1194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195"/>
        <v>41275</v>
      </c>
      <c r="D5311" s="4">
        <f t="shared" si="1196"/>
        <v>0.46301369863013697</v>
      </c>
      <c r="E5311" s="3">
        <f t="shared" si="1197"/>
        <v>2013</v>
      </c>
      <c r="F5311" s="3">
        <f t="shared" si="1198"/>
        <v>6</v>
      </c>
      <c r="G5311" s="3">
        <f t="shared" si="1199"/>
        <v>19</v>
      </c>
      <c r="H5311" s="3">
        <f t="shared" si="1200"/>
        <v>8</v>
      </c>
      <c r="I5311" s="3">
        <f t="shared" si="1201"/>
        <v>15</v>
      </c>
      <c r="J5311" s="3">
        <f t="shared" si="1202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03"/>
        <v>YES</v>
      </c>
      <c r="Q5311" t="str">
        <f t="shared" si="1204"/>
        <v>NO</v>
      </c>
      <c r="R5311" t="str">
        <f t="shared" si="1205"/>
        <v>NO</v>
      </c>
      <c r="S5311">
        <v>700</v>
      </c>
      <c r="T5311" t="s">
        <v>32</v>
      </c>
      <c r="U5311" t="str">
        <f t="shared" si="1192"/>
        <v>Main St</v>
      </c>
      <c r="W5311" t="str">
        <f t="shared" si="1193"/>
        <v/>
      </c>
      <c r="X5311" t="str">
        <f>IF(ISBLANK(S5311),"Intersection","Non-Intersection")</f>
        <v>Non-Intersection</v>
      </c>
      <c r="Y5311" t="s">
        <v>5753</v>
      </c>
      <c r="Z5311" t="str">
        <f t="shared" si="1194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195"/>
        <v>41275</v>
      </c>
      <c r="D5312" s="4">
        <f t="shared" si="1196"/>
        <v>0.46575342465753422</v>
      </c>
      <c r="E5312" s="3">
        <f t="shared" si="1197"/>
        <v>2013</v>
      </c>
      <c r="F5312" s="3">
        <f t="shared" si="1198"/>
        <v>6</v>
      </c>
      <c r="G5312" s="3">
        <f t="shared" si="1199"/>
        <v>20</v>
      </c>
      <c r="H5312" s="3">
        <f t="shared" si="1200"/>
        <v>8</v>
      </c>
      <c r="I5312" s="3">
        <f t="shared" si="1201"/>
        <v>19</v>
      </c>
      <c r="J5312" s="3">
        <f t="shared" si="1202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03"/>
        <v>YES</v>
      </c>
      <c r="Q5312" t="str">
        <f t="shared" si="1204"/>
        <v>NO</v>
      </c>
      <c r="R5312" t="str">
        <f t="shared" si="1205"/>
        <v>NO</v>
      </c>
      <c r="T5312" t="s">
        <v>19</v>
      </c>
      <c r="U5312" t="str">
        <f t="shared" si="1192"/>
        <v>Cambridge St</v>
      </c>
      <c r="V5312" t="s">
        <v>760</v>
      </c>
      <c r="W5312" t="str">
        <f t="shared" si="1193"/>
        <v>Fulkerson St</v>
      </c>
      <c r="X5312" t="str">
        <f>IF(ISBLANK(S5312),"Intersection","Non-Intersection")</f>
        <v>Intersection</v>
      </c>
      <c r="Y5312" t="s">
        <v>3703</v>
      </c>
      <c r="Z5312" t="str">
        <f t="shared" si="1194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195"/>
        <v>41275</v>
      </c>
      <c r="D5313" s="4">
        <f t="shared" si="1196"/>
        <v>0.46575342465753422</v>
      </c>
      <c r="E5313" s="3">
        <f t="shared" si="1197"/>
        <v>2013</v>
      </c>
      <c r="F5313" s="3">
        <f t="shared" si="1198"/>
        <v>6</v>
      </c>
      <c r="G5313" s="3">
        <f t="shared" si="1199"/>
        <v>20</v>
      </c>
      <c r="H5313" s="3">
        <f t="shared" si="1200"/>
        <v>15</v>
      </c>
      <c r="I5313" s="3">
        <f t="shared" si="1201"/>
        <v>20</v>
      </c>
      <c r="J5313" s="3">
        <f t="shared" si="1202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03"/>
        <v>YES</v>
      </c>
      <c r="Q5313" t="str">
        <f t="shared" si="1204"/>
        <v>NO</v>
      </c>
      <c r="R5313" t="str">
        <f t="shared" si="1205"/>
        <v>NO</v>
      </c>
      <c r="T5313" t="s">
        <v>101</v>
      </c>
      <c r="U5313" t="str">
        <f t="shared" si="1192"/>
        <v>Columbia St</v>
      </c>
      <c r="V5313" t="s">
        <v>1903</v>
      </c>
      <c r="W5313" t="str">
        <f t="shared" si="1193"/>
        <v>Lincoln St</v>
      </c>
      <c r="X5313" t="str">
        <f>IF(ISBLANK(S5313),"Intersection","Non-Intersection")</f>
        <v>Intersection</v>
      </c>
      <c r="Y5313" t="s">
        <v>2058</v>
      </c>
      <c r="Z5313" t="str">
        <f t="shared" si="1194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195"/>
        <v>41275</v>
      </c>
      <c r="D5314" s="4">
        <f t="shared" si="1196"/>
        <v>0.46575342465753422</v>
      </c>
      <c r="E5314" s="3">
        <f t="shared" si="1197"/>
        <v>2013</v>
      </c>
      <c r="F5314" s="3">
        <f t="shared" si="1198"/>
        <v>6</v>
      </c>
      <c r="G5314" s="3">
        <f t="shared" si="1199"/>
        <v>20</v>
      </c>
      <c r="H5314" s="3">
        <f t="shared" si="1200"/>
        <v>21</v>
      </c>
      <c r="I5314" s="3">
        <f t="shared" si="1201"/>
        <v>47</v>
      </c>
      <c r="J5314" s="3">
        <f t="shared" si="1202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03"/>
        <v>YES</v>
      </c>
      <c r="Q5314" t="str">
        <f t="shared" si="1204"/>
        <v>NO</v>
      </c>
      <c r="R5314" t="str">
        <f t="shared" si="1205"/>
        <v>NO</v>
      </c>
      <c r="S5314">
        <v>15</v>
      </c>
      <c r="T5314" t="s">
        <v>1739</v>
      </c>
      <c r="U5314" t="str">
        <f t="shared" si="1192"/>
        <v>Harding St</v>
      </c>
      <c r="W5314" t="str">
        <f t="shared" si="1193"/>
        <v/>
      </c>
      <c r="X5314" t="str">
        <f>IF(ISBLANK(S5314),"Intersection","Non-Intersection")</f>
        <v>Non-Intersection</v>
      </c>
      <c r="Y5314" t="s">
        <v>3971</v>
      </c>
      <c r="Z5314" t="str">
        <f t="shared" si="1194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195"/>
        <v>41275</v>
      </c>
      <c r="D5315" s="4">
        <f t="shared" si="1196"/>
        <v>0.46575342465753422</v>
      </c>
      <c r="E5315" s="3">
        <f t="shared" si="1197"/>
        <v>2013</v>
      </c>
      <c r="F5315" s="3">
        <f t="shared" si="1198"/>
        <v>6</v>
      </c>
      <c r="G5315" s="3">
        <f t="shared" si="1199"/>
        <v>20</v>
      </c>
      <c r="H5315" s="3">
        <f t="shared" si="1200"/>
        <v>8</v>
      </c>
      <c r="I5315" s="3">
        <f t="shared" si="1201"/>
        <v>10</v>
      </c>
      <c r="J5315" s="3">
        <f t="shared" si="1202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03"/>
        <v>YES</v>
      </c>
      <c r="Q5315" t="str">
        <f t="shared" si="1204"/>
        <v>NO</v>
      </c>
      <c r="R5315" t="str">
        <f t="shared" si="1205"/>
        <v>NO</v>
      </c>
      <c r="T5315" t="s">
        <v>521</v>
      </c>
      <c r="U5315" t="str">
        <f t="shared" ref="U5315:U5378" si="1206">TRIM(PROPER(T5315))</f>
        <v>Lakeview Ave</v>
      </c>
      <c r="V5315" t="s">
        <v>202</v>
      </c>
      <c r="W5315" t="str">
        <f t="shared" ref="W5315:W5378" si="1207">TRIM(PROPER(V5315))</f>
        <v>Vassar St</v>
      </c>
      <c r="X5315" t="str">
        <f>IF(ISBLANK(S5315),"Intersection","Non-Intersection")</f>
        <v>Intersection</v>
      </c>
      <c r="Y5315" t="s">
        <v>5755</v>
      </c>
      <c r="Z5315" t="str">
        <f t="shared" ref="Z5315:Z5378" si="1208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195"/>
        <v>41275</v>
      </c>
      <c r="D5316" s="4">
        <f t="shared" si="1196"/>
        <v>0.46849315068493153</v>
      </c>
      <c r="E5316" s="3">
        <f t="shared" si="1197"/>
        <v>2013</v>
      </c>
      <c r="F5316" s="3">
        <f t="shared" si="1198"/>
        <v>6</v>
      </c>
      <c r="G5316" s="3">
        <f t="shared" si="1199"/>
        <v>21</v>
      </c>
      <c r="H5316" s="3">
        <f t="shared" si="1200"/>
        <v>8</v>
      </c>
      <c r="I5316" s="3">
        <f t="shared" si="1201"/>
        <v>29</v>
      </c>
      <c r="J5316" s="3">
        <f t="shared" si="1202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03"/>
        <v>YES</v>
      </c>
      <c r="Q5316" t="str">
        <f t="shared" si="1204"/>
        <v>NO</v>
      </c>
      <c r="R5316" t="str">
        <f t="shared" si="1205"/>
        <v>NO</v>
      </c>
      <c r="T5316" t="s">
        <v>50</v>
      </c>
      <c r="U5316" t="str">
        <f t="shared" si="1206"/>
        <v>Belmont St</v>
      </c>
      <c r="V5316" t="s">
        <v>5756</v>
      </c>
      <c r="W5316" t="str">
        <f t="shared" si="1207"/>
        <v>St Mary Rd</v>
      </c>
      <c r="X5316" t="str">
        <f>IF(ISBLANK(S5316),"Intersection","Non-Intersection")</f>
        <v>Intersection</v>
      </c>
      <c r="Y5316" t="s">
        <v>5757</v>
      </c>
      <c r="Z5316" t="str">
        <f t="shared" si="1208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195"/>
        <v>41275</v>
      </c>
      <c r="D5317" s="4">
        <f t="shared" si="1196"/>
        <v>0.46849315068493153</v>
      </c>
      <c r="E5317" s="3">
        <f t="shared" si="1197"/>
        <v>2013</v>
      </c>
      <c r="F5317" s="3">
        <f t="shared" si="1198"/>
        <v>6</v>
      </c>
      <c r="G5317" s="3">
        <f t="shared" si="1199"/>
        <v>21</v>
      </c>
      <c r="H5317" s="3">
        <f t="shared" si="1200"/>
        <v>7</v>
      </c>
      <c r="I5317" s="3">
        <f t="shared" si="1201"/>
        <v>41</v>
      </c>
      <c r="J5317" s="3">
        <f t="shared" si="1202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03"/>
        <v>YES</v>
      </c>
      <c r="Q5317" t="str">
        <f t="shared" si="1204"/>
        <v>NO</v>
      </c>
      <c r="R5317" t="str">
        <f t="shared" si="1205"/>
        <v>NO</v>
      </c>
      <c r="S5317">
        <v>2</v>
      </c>
      <c r="T5317" t="s">
        <v>351</v>
      </c>
      <c r="U5317" t="str">
        <f t="shared" si="1206"/>
        <v>Cambridge Ctr</v>
      </c>
      <c r="W5317" t="str">
        <f t="shared" si="1207"/>
        <v/>
      </c>
      <c r="X5317" t="str">
        <f>IF(ISBLANK(S5317),"Intersection","Non-Intersection")</f>
        <v>Non-Intersection</v>
      </c>
      <c r="Y5317" t="s">
        <v>3068</v>
      </c>
      <c r="Z5317" t="str">
        <f t="shared" si="1208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195"/>
        <v>41275</v>
      </c>
      <c r="D5318" s="4">
        <f t="shared" si="1196"/>
        <v>0.46849315068493153</v>
      </c>
      <c r="E5318" s="3">
        <f t="shared" si="1197"/>
        <v>2013</v>
      </c>
      <c r="F5318" s="3">
        <f t="shared" si="1198"/>
        <v>6</v>
      </c>
      <c r="G5318" s="3">
        <f t="shared" si="1199"/>
        <v>21</v>
      </c>
      <c r="H5318" s="3">
        <f t="shared" si="1200"/>
        <v>9</v>
      </c>
      <c r="I5318" s="3">
        <f t="shared" si="1201"/>
        <v>10</v>
      </c>
      <c r="J5318" s="3">
        <f t="shared" si="1202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03"/>
        <v>YES</v>
      </c>
      <c r="Q5318" t="str">
        <f t="shared" si="1204"/>
        <v>YES</v>
      </c>
      <c r="R5318" t="str">
        <f t="shared" si="1205"/>
        <v>NO</v>
      </c>
      <c r="T5318" t="s">
        <v>198</v>
      </c>
      <c r="U5318" t="str">
        <f t="shared" si="1206"/>
        <v>Mount Auburn St</v>
      </c>
      <c r="V5318" t="s">
        <v>199</v>
      </c>
      <c r="W5318" t="str">
        <f t="shared" si="1207"/>
        <v>Brattle St</v>
      </c>
      <c r="X5318" t="str">
        <f>IF(ISBLANK(S5318),"Intersection","Non-Intersection")</f>
        <v>Intersection</v>
      </c>
      <c r="Y5318" t="s">
        <v>767</v>
      </c>
      <c r="Z5318" t="str">
        <f t="shared" si="1208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195"/>
        <v>41275</v>
      </c>
      <c r="D5319" s="4">
        <f t="shared" si="1196"/>
        <v>0.46849315068493153</v>
      </c>
      <c r="E5319" s="3">
        <f t="shared" si="1197"/>
        <v>2013</v>
      </c>
      <c r="F5319" s="3">
        <f t="shared" si="1198"/>
        <v>6</v>
      </c>
      <c r="G5319" s="3">
        <f t="shared" si="1199"/>
        <v>21</v>
      </c>
      <c r="H5319" s="3">
        <f t="shared" si="1200"/>
        <v>13</v>
      </c>
      <c r="I5319" s="3">
        <f t="shared" si="1201"/>
        <v>34</v>
      </c>
      <c r="J5319" s="3">
        <f t="shared" si="1202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03"/>
        <v>YES</v>
      </c>
      <c r="Q5319" t="str">
        <f t="shared" si="1204"/>
        <v>YES</v>
      </c>
      <c r="R5319" t="str">
        <f t="shared" si="1205"/>
        <v>NO</v>
      </c>
      <c r="S5319">
        <v>1847</v>
      </c>
      <c r="T5319" t="s">
        <v>14</v>
      </c>
      <c r="U5319" t="str">
        <f t="shared" si="1206"/>
        <v>Massachusetts Ave</v>
      </c>
      <c r="W5319" t="str">
        <f t="shared" si="1207"/>
        <v/>
      </c>
      <c r="X5319" t="str">
        <f>IF(ISBLANK(S5319),"Intersection","Non-Intersection")</f>
        <v>Non-Intersection</v>
      </c>
      <c r="Y5319" t="s">
        <v>3307</v>
      </c>
      <c r="Z5319" t="str">
        <f t="shared" si="1208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195"/>
        <v>41275</v>
      </c>
      <c r="D5320" s="4">
        <f t="shared" si="1196"/>
        <v>0.46849315068493153</v>
      </c>
      <c r="E5320" s="3">
        <f t="shared" si="1197"/>
        <v>2013</v>
      </c>
      <c r="F5320" s="3">
        <f t="shared" si="1198"/>
        <v>6</v>
      </c>
      <c r="G5320" s="3">
        <f t="shared" si="1199"/>
        <v>21</v>
      </c>
      <c r="H5320" s="3">
        <f t="shared" si="1200"/>
        <v>15</v>
      </c>
      <c r="I5320" s="3">
        <f t="shared" si="1201"/>
        <v>45</v>
      </c>
      <c r="J5320" s="3">
        <f t="shared" si="1202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03"/>
        <v>YES</v>
      </c>
      <c r="Q5320" t="str">
        <f t="shared" si="1204"/>
        <v>NO</v>
      </c>
      <c r="R5320" t="str">
        <f t="shared" si="1205"/>
        <v>NO</v>
      </c>
      <c r="S5320">
        <v>60</v>
      </c>
      <c r="T5320" t="s">
        <v>4506</v>
      </c>
      <c r="U5320" t="str">
        <f t="shared" si="1206"/>
        <v>Haskell St</v>
      </c>
      <c r="W5320" t="str">
        <f t="shared" si="1207"/>
        <v/>
      </c>
      <c r="X5320" t="str">
        <f>IF(ISBLANK(S5320),"Intersection","Non-Intersection")</f>
        <v>Non-Intersection</v>
      </c>
      <c r="Y5320" t="s">
        <v>5759</v>
      </c>
      <c r="Z5320" t="str">
        <f t="shared" si="1208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195"/>
        <v>41275</v>
      </c>
      <c r="D5321" s="4">
        <f t="shared" si="1196"/>
        <v>0.46849315068493153</v>
      </c>
      <c r="E5321" s="3">
        <f t="shared" si="1197"/>
        <v>2013</v>
      </c>
      <c r="F5321" s="3">
        <f t="shared" si="1198"/>
        <v>6</v>
      </c>
      <c r="G5321" s="3">
        <f t="shared" si="1199"/>
        <v>21</v>
      </c>
      <c r="H5321" s="3">
        <f t="shared" si="1200"/>
        <v>15</v>
      </c>
      <c r="I5321" s="3">
        <f t="shared" si="1201"/>
        <v>30</v>
      </c>
      <c r="J5321" s="3">
        <f t="shared" si="1202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03"/>
        <v>NO</v>
      </c>
      <c r="Q5321" t="str">
        <f t="shared" si="1204"/>
        <v>NO</v>
      </c>
      <c r="R5321" t="str">
        <f t="shared" si="1205"/>
        <v>NO</v>
      </c>
      <c r="T5321" t="s">
        <v>141</v>
      </c>
      <c r="U5321" t="str">
        <f t="shared" si="1206"/>
        <v>Standish St</v>
      </c>
      <c r="V5321" t="s">
        <v>142</v>
      </c>
      <c r="W5321" t="str">
        <f t="shared" si="1207"/>
        <v>Huron Ave</v>
      </c>
      <c r="X5321" t="str">
        <f>IF(ISBLANK(S5321),"Intersection","Non-Intersection")</f>
        <v>Intersection</v>
      </c>
      <c r="Y5321" t="s">
        <v>143</v>
      </c>
      <c r="Z5321" t="str">
        <f t="shared" si="1208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195"/>
        <v>41275</v>
      </c>
      <c r="D5322" s="4">
        <f t="shared" si="1196"/>
        <v>0.47123287671232877</v>
      </c>
      <c r="E5322" s="3">
        <f t="shared" si="1197"/>
        <v>2013</v>
      </c>
      <c r="F5322" s="3">
        <f t="shared" si="1198"/>
        <v>6</v>
      </c>
      <c r="G5322" s="3">
        <f t="shared" si="1199"/>
        <v>22</v>
      </c>
      <c r="H5322" s="3">
        <f t="shared" si="1200"/>
        <v>15</v>
      </c>
      <c r="I5322" s="3">
        <f t="shared" si="1201"/>
        <v>20</v>
      </c>
      <c r="J5322" s="3">
        <f t="shared" si="1202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03"/>
        <v>YES</v>
      </c>
      <c r="Q5322" t="str">
        <f t="shared" si="1204"/>
        <v>NO</v>
      </c>
      <c r="R5322" t="str">
        <f t="shared" si="1205"/>
        <v>NO</v>
      </c>
      <c r="T5322" t="s">
        <v>509</v>
      </c>
      <c r="U5322" t="str">
        <f t="shared" si="1206"/>
        <v>Green St</v>
      </c>
      <c r="V5322" t="s">
        <v>178</v>
      </c>
      <c r="W5322" t="str">
        <f t="shared" si="1207"/>
        <v>Pleasant St</v>
      </c>
      <c r="X5322" t="str">
        <f>IF(ISBLANK(S5322),"Intersection","Non-Intersection")</f>
        <v>Intersection</v>
      </c>
      <c r="Y5322" t="s">
        <v>2520</v>
      </c>
      <c r="Z5322" t="str">
        <f t="shared" si="1208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195"/>
        <v>41275</v>
      </c>
      <c r="D5323" s="4">
        <f t="shared" si="1196"/>
        <v>0.47397260273972602</v>
      </c>
      <c r="E5323" s="3">
        <f t="shared" si="1197"/>
        <v>2013</v>
      </c>
      <c r="F5323" s="3">
        <f t="shared" si="1198"/>
        <v>6</v>
      </c>
      <c r="G5323" s="3">
        <f t="shared" si="1199"/>
        <v>23</v>
      </c>
      <c r="H5323" s="3">
        <f t="shared" si="1200"/>
        <v>17</v>
      </c>
      <c r="I5323" s="3">
        <f t="shared" si="1201"/>
        <v>51</v>
      </c>
      <c r="J5323" s="3">
        <f t="shared" si="1202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03"/>
        <v>YES</v>
      </c>
      <c r="Q5323" t="str">
        <f t="shared" si="1204"/>
        <v>YES</v>
      </c>
      <c r="R5323" t="str">
        <f t="shared" si="1205"/>
        <v>NO</v>
      </c>
      <c r="S5323">
        <v>161</v>
      </c>
      <c r="T5323" t="s">
        <v>216</v>
      </c>
      <c r="U5323" t="str">
        <f t="shared" si="1206"/>
        <v>Washington Ave</v>
      </c>
      <c r="W5323" t="str">
        <f t="shared" si="1207"/>
        <v/>
      </c>
      <c r="X5323" t="str">
        <f>IF(ISBLANK(S5323),"Intersection","Non-Intersection")</f>
        <v>Non-Intersection</v>
      </c>
      <c r="Y5323" t="s">
        <v>5743</v>
      </c>
      <c r="Z5323" t="str">
        <f t="shared" si="1208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195"/>
        <v>41275</v>
      </c>
      <c r="D5324" s="4">
        <f t="shared" si="1196"/>
        <v>0.47397260273972602</v>
      </c>
      <c r="E5324" s="3">
        <f t="shared" si="1197"/>
        <v>2013</v>
      </c>
      <c r="F5324" s="3">
        <f t="shared" si="1198"/>
        <v>6</v>
      </c>
      <c r="G5324" s="3">
        <f t="shared" si="1199"/>
        <v>23</v>
      </c>
      <c r="H5324" s="3">
        <f t="shared" si="1200"/>
        <v>16</v>
      </c>
      <c r="I5324" s="3">
        <f t="shared" si="1201"/>
        <v>30</v>
      </c>
      <c r="J5324" s="3">
        <f t="shared" si="1202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03"/>
        <v>YES</v>
      </c>
      <c r="Q5324" t="str">
        <f t="shared" si="1204"/>
        <v>NO</v>
      </c>
      <c r="R5324" t="str">
        <f t="shared" si="1205"/>
        <v>NO</v>
      </c>
      <c r="S5324">
        <v>67</v>
      </c>
      <c r="T5324" t="s">
        <v>316</v>
      </c>
      <c r="U5324" t="str">
        <f t="shared" si="1206"/>
        <v>Bishop Allen Dr</v>
      </c>
      <c r="W5324" t="str">
        <f t="shared" si="1207"/>
        <v/>
      </c>
      <c r="X5324" t="str">
        <f>IF(ISBLANK(S5324),"Intersection","Non-Intersection")</f>
        <v>Non-Intersection</v>
      </c>
      <c r="Y5324" t="s">
        <v>3418</v>
      </c>
      <c r="Z5324" t="str">
        <f t="shared" si="1208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195"/>
        <v>41275</v>
      </c>
      <c r="D5325" s="4">
        <f t="shared" si="1196"/>
        <v>0.47397260273972602</v>
      </c>
      <c r="E5325" s="3">
        <f t="shared" si="1197"/>
        <v>2013</v>
      </c>
      <c r="F5325" s="3">
        <f t="shared" si="1198"/>
        <v>6</v>
      </c>
      <c r="G5325" s="3">
        <f t="shared" si="1199"/>
        <v>23</v>
      </c>
      <c r="H5325" s="3">
        <f t="shared" si="1200"/>
        <v>4</v>
      </c>
      <c r="I5325" s="3">
        <f t="shared" si="1201"/>
        <v>37</v>
      </c>
      <c r="J5325" s="3">
        <f t="shared" si="1202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03"/>
        <v>YES</v>
      </c>
      <c r="Q5325" t="str">
        <f t="shared" si="1204"/>
        <v>NO</v>
      </c>
      <c r="R5325" t="str">
        <f t="shared" si="1205"/>
        <v>NO</v>
      </c>
      <c r="S5325">
        <v>178</v>
      </c>
      <c r="T5325" t="s">
        <v>133</v>
      </c>
      <c r="U5325" t="str">
        <f t="shared" si="1206"/>
        <v>Harvard St</v>
      </c>
      <c r="W5325" t="str">
        <f t="shared" si="1207"/>
        <v/>
      </c>
      <c r="X5325" t="str">
        <f>IF(ISBLANK(S5325),"Intersection","Non-Intersection")</f>
        <v>Non-Intersection</v>
      </c>
      <c r="Y5325" t="s">
        <v>5761</v>
      </c>
      <c r="Z5325" t="str">
        <f t="shared" si="1208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195"/>
        <v>41275</v>
      </c>
      <c r="D5326" s="4">
        <f t="shared" si="1196"/>
        <v>0.47397260273972602</v>
      </c>
      <c r="E5326" s="3">
        <f t="shared" si="1197"/>
        <v>2013</v>
      </c>
      <c r="F5326" s="3">
        <f t="shared" si="1198"/>
        <v>6</v>
      </c>
      <c r="G5326" s="3">
        <f t="shared" si="1199"/>
        <v>23</v>
      </c>
      <c r="H5326" s="3">
        <f t="shared" si="1200"/>
        <v>4</v>
      </c>
      <c r="I5326" s="3">
        <f t="shared" si="1201"/>
        <v>37</v>
      </c>
      <c r="J5326" s="3">
        <f t="shared" si="1202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03"/>
        <v>YES</v>
      </c>
      <c r="Q5326" t="str">
        <f t="shared" si="1204"/>
        <v>NO</v>
      </c>
      <c r="R5326" t="str">
        <f t="shared" si="1205"/>
        <v>NO</v>
      </c>
      <c r="S5326">
        <v>178</v>
      </c>
      <c r="T5326" t="s">
        <v>133</v>
      </c>
      <c r="U5326" t="str">
        <f t="shared" si="1206"/>
        <v>Harvard St</v>
      </c>
      <c r="W5326" t="str">
        <f t="shared" si="1207"/>
        <v/>
      </c>
      <c r="X5326" t="str">
        <f>IF(ISBLANK(S5326),"Intersection","Non-Intersection")</f>
        <v>Non-Intersection</v>
      </c>
      <c r="Y5326" t="s">
        <v>5761</v>
      </c>
      <c r="Z5326" t="str">
        <f t="shared" si="1208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195"/>
        <v>41275</v>
      </c>
      <c r="D5327" s="4">
        <f t="shared" si="1196"/>
        <v>0.47397260273972602</v>
      </c>
      <c r="E5327" s="3">
        <f t="shared" si="1197"/>
        <v>2013</v>
      </c>
      <c r="F5327" s="3">
        <f t="shared" si="1198"/>
        <v>6</v>
      </c>
      <c r="G5327" s="3">
        <f t="shared" si="1199"/>
        <v>23</v>
      </c>
      <c r="H5327" s="3">
        <f t="shared" si="1200"/>
        <v>11</v>
      </c>
      <c r="I5327" s="3">
        <f t="shared" si="1201"/>
        <v>19</v>
      </c>
      <c r="J5327" s="3">
        <f t="shared" si="1202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03"/>
        <v>YES</v>
      </c>
      <c r="Q5327" t="str">
        <f t="shared" si="1204"/>
        <v>NO</v>
      </c>
      <c r="R5327" t="str">
        <f t="shared" si="1205"/>
        <v>NO</v>
      </c>
      <c r="S5327">
        <v>5</v>
      </c>
      <c r="T5327" t="s">
        <v>1145</v>
      </c>
      <c r="U5327" t="str">
        <f t="shared" si="1206"/>
        <v>Pemberton St</v>
      </c>
      <c r="W5327" t="str">
        <f t="shared" si="1207"/>
        <v/>
      </c>
      <c r="X5327" t="str">
        <f>IF(ISBLANK(S5327),"Intersection","Non-Intersection")</f>
        <v>Non-Intersection</v>
      </c>
      <c r="Y5327" t="s">
        <v>5763</v>
      </c>
      <c r="Z5327" t="str">
        <f t="shared" si="1208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195"/>
        <v>41275</v>
      </c>
      <c r="D5328" s="4">
        <f t="shared" si="1196"/>
        <v>0.47397260273972602</v>
      </c>
      <c r="E5328" s="3">
        <f t="shared" si="1197"/>
        <v>2013</v>
      </c>
      <c r="F5328" s="3">
        <f t="shared" si="1198"/>
        <v>6</v>
      </c>
      <c r="G5328" s="3">
        <f t="shared" si="1199"/>
        <v>23</v>
      </c>
      <c r="H5328" s="3">
        <f t="shared" si="1200"/>
        <v>11</v>
      </c>
      <c r="I5328" s="3">
        <f t="shared" si="1201"/>
        <v>0</v>
      </c>
      <c r="J5328" s="3">
        <f t="shared" si="1202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03"/>
        <v>YES</v>
      </c>
      <c r="Q5328" t="str">
        <f t="shared" si="1204"/>
        <v>NO</v>
      </c>
      <c r="R5328" t="str">
        <f t="shared" si="1205"/>
        <v>NO</v>
      </c>
      <c r="T5328" t="s">
        <v>14</v>
      </c>
      <c r="U5328" t="str">
        <f t="shared" si="1206"/>
        <v>Massachusetts Ave</v>
      </c>
      <c r="V5328" t="s">
        <v>2606</v>
      </c>
      <c r="W5328" t="str">
        <f t="shared" si="1207"/>
        <v>Alberta Ter</v>
      </c>
      <c r="X5328" t="str">
        <f>IF(ISBLANK(S5328),"Intersection","Non-Intersection")</f>
        <v>Intersection</v>
      </c>
      <c r="Y5328" t="s">
        <v>4170</v>
      </c>
      <c r="Z5328" t="str">
        <f t="shared" si="1208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195"/>
        <v>41275</v>
      </c>
      <c r="D5329" s="4">
        <f t="shared" si="1196"/>
        <v>0.47397260273972602</v>
      </c>
      <c r="E5329" s="3">
        <f t="shared" si="1197"/>
        <v>2013</v>
      </c>
      <c r="F5329" s="3">
        <f t="shared" si="1198"/>
        <v>6</v>
      </c>
      <c r="G5329" s="3">
        <f t="shared" si="1199"/>
        <v>23</v>
      </c>
      <c r="H5329" s="3">
        <f t="shared" si="1200"/>
        <v>18</v>
      </c>
      <c r="I5329" s="3">
        <f t="shared" si="1201"/>
        <v>45</v>
      </c>
      <c r="J5329" s="3">
        <f t="shared" si="1202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03"/>
        <v>YES</v>
      </c>
      <c r="Q5329" t="str">
        <f t="shared" si="1204"/>
        <v>NO</v>
      </c>
      <c r="R5329" t="str">
        <f t="shared" si="1205"/>
        <v>YES</v>
      </c>
      <c r="S5329">
        <v>11</v>
      </c>
      <c r="T5329" t="s">
        <v>1823</v>
      </c>
      <c r="U5329" t="str">
        <f t="shared" si="1206"/>
        <v>Walden Square Rd</v>
      </c>
      <c r="W5329" t="str">
        <f t="shared" si="1207"/>
        <v/>
      </c>
      <c r="X5329" t="str">
        <f>IF(ISBLANK(S5329),"Intersection","Non-Intersection")</f>
        <v>Non-Intersection</v>
      </c>
      <c r="Y5329" t="s">
        <v>5553</v>
      </c>
      <c r="Z5329" t="str">
        <f t="shared" si="1208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195"/>
        <v>41275</v>
      </c>
      <c r="D5330" s="4">
        <f t="shared" si="1196"/>
        <v>0.47671232876712327</v>
      </c>
      <c r="E5330" s="3">
        <f t="shared" si="1197"/>
        <v>2013</v>
      </c>
      <c r="F5330" s="3">
        <f t="shared" si="1198"/>
        <v>6</v>
      </c>
      <c r="G5330" s="3">
        <f t="shared" si="1199"/>
        <v>24</v>
      </c>
      <c r="H5330" s="3">
        <f t="shared" si="1200"/>
        <v>9</v>
      </c>
      <c r="I5330" s="3">
        <f t="shared" si="1201"/>
        <v>4</v>
      </c>
      <c r="J5330" s="3">
        <f t="shared" si="1202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03"/>
        <v>YES</v>
      </c>
      <c r="Q5330" t="str">
        <f t="shared" si="1204"/>
        <v>NO</v>
      </c>
      <c r="R5330" t="str">
        <f t="shared" si="1205"/>
        <v>NO</v>
      </c>
      <c r="T5330" t="s">
        <v>185</v>
      </c>
      <c r="U5330" t="str">
        <f t="shared" si="1206"/>
        <v>Garden St</v>
      </c>
      <c r="V5330" t="s">
        <v>296</v>
      </c>
      <c r="W5330" t="str">
        <f t="shared" si="1207"/>
        <v>Mason St</v>
      </c>
      <c r="X5330" t="str">
        <f>IF(ISBLANK(S5330),"Intersection","Non-Intersection")</f>
        <v>Intersection</v>
      </c>
      <c r="Y5330" t="s">
        <v>594</v>
      </c>
      <c r="Z5330" t="str">
        <f t="shared" si="1208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195"/>
        <v>41275</v>
      </c>
      <c r="D5331" s="4">
        <f t="shared" si="1196"/>
        <v>0.47671232876712327</v>
      </c>
      <c r="E5331" s="3">
        <f t="shared" si="1197"/>
        <v>2013</v>
      </c>
      <c r="F5331" s="3">
        <f t="shared" si="1198"/>
        <v>6</v>
      </c>
      <c r="G5331" s="3">
        <f t="shared" si="1199"/>
        <v>24</v>
      </c>
      <c r="H5331" s="3">
        <f t="shared" si="1200"/>
        <v>8</v>
      </c>
      <c r="I5331" s="3">
        <f t="shared" si="1201"/>
        <v>0</v>
      </c>
      <c r="J5331" s="3">
        <f t="shared" si="1202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03"/>
        <v>YES</v>
      </c>
      <c r="Q5331" t="str">
        <f t="shared" si="1204"/>
        <v>NO</v>
      </c>
      <c r="R5331" t="str">
        <f t="shared" si="1205"/>
        <v>NO</v>
      </c>
      <c r="S5331">
        <v>174</v>
      </c>
      <c r="T5331" t="s">
        <v>170</v>
      </c>
      <c r="U5331" t="str">
        <f t="shared" si="1206"/>
        <v>Alewife Brook Pky</v>
      </c>
      <c r="W5331" t="str">
        <f t="shared" si="1207"/>
        <v/>
      </c>
      <c r="X5331" t="str">
        <f>IF(ISBLANK(S5331),"Intersection","Non-Intersection")</f>
        <v>Non-Intersection</v>
      </c>
      <c r="Y5331" t="s">
        <v>2243</v>
      </c>
      <c r="Z5331" t="str">
        <f t="shared" si="1208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195"/>
        <v>41275</v>
      </c>
      <c r="D5332" s="4">
        <f t="shared" si="1196"/>
        <v>0.47671232876712327</v>
      </c>
      <c r="E5332" s="3">
        <f t="shared" si="1197"/>
        <v>2013</v>
      </c>
      <c r="F5332" s="3">
        <f t="shared" si="1198"/>
        <v>6</v>
      </c>
      <c r="G5332" s="3">
        <f t="shared" si="1199"/>
        <v>24</v>
      </c>
      <c r="H5332" s="3">
        <f t="shared" si="1200"/>
        <v>23</v>
      </c>
      <c r="I5332" s="3">
        <f t="shared" si="1201"/>
        <v>49</v>
      </c>
      <c r="J5332" s="3">
        <f t="shared" si="1202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03"/>
        <v>YES</v>
      </c>
      <c r="Q5332" t="str">
        <f t="shared" si="1204"/>
        <v>YES</v>
      </c>
      <c r="R5332" t="str">
        <f t="shared" si="1205"/>
        <v>NO</v>
      </c>
      <c r="T5332" t="s">
        <v>342</v>
      </c>
      <c r="U5332" t="str">
        <f t="shared" si="1206"/>
        <v>Prospect St</v>
      </c>
      <c r="V5332" t="s">
        <v>19</v>
      </c>
      <c r="W5332" t="str">
        <f t="shared" si="1207"/>
        <v>Cambridge St</v>
      </c>
      <c r="X5332" t="str">
        <f>IF(ISBLANK(S5332),"Intersection","Non-Intersection")</f>
        <v>Intersection</v>
      </c>
      <c r="Y5332" t="s">
        <v>3214</v>
      </c>
      <c r="Z5332" t="str">
        <f t="shared" si="1208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195"/>
        <v>41275</v>
      </c>
      <c r="D5333" s="4">
        <f t="shared" si="1196"/>
        <v>0.47671232876712327</v>
      </c>
      <c r="E5333" s="3">
        <f t="shared" si="1197"/>
        <v>2013</v>
      </c>
      <c r="F5333" s="3">
        <f t="shared" si="1198"/>
        <v>6</v>
      </c>
      <c r="G5333" s="3">
        <f t="shared" si="1199"/>
        <v>24</v>
      </c>
      <c r="H5333" s="3">
        <f t="shared" si="1200"/>
        <v>7</v>
      </c>
      <c r="I5333" s="3">
        <f t="shared" si="1201"/>
        <v>19</v>
      </c>
      <c r="J5333" s="3">
        <f t="shared" si="1202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03"/>
        <v>YES</v>
      </c>
      <c r="Q5333" t="str">
        <f t="shared" si="1204"/>
        <v>NO</v>
      </c>
      <c r="R5333" t="str">
        <f t="shared" si="1205"/>
        <v>NO</v>
      </c>
      <c r="T5333" t="s">
        <v>142</v>
      </c>
      <c r="U5333" t="str">
        <f t="shared" si="1206"/>
        <v>Huron Ave</v>
      </c>
      <c r="V5333" t="s">
        <v>2055</v>
      </c>
      <c r="W5333" t="str">
        <f t="shared" si="1207"/>
        <v>Aberdeen Ct</v>
      </c>
      <c r="X5333" t="str">
        <f>IF(ISBLANK(S5333),"Intersection","Non-Intersection")</f>
        <v>Intersection</v>
      </c>
      <c r="Y5333" t="s">
        <v>5765</v>
      </c>
      <c r="Z5333" t="str">
        <f t="shared" si="1208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195"/>
        <v>41275</v>
      </c>
      <c r="D5334" s="4">
        <f t="shared" si="1196"/>
        <v>0.47945205479452052</v>
      </c>
      <c r="E5334" s="3">
        <f t="shared" si="1197"/>
        <v>2013</v>
      </c>
      <c r="F5334" s="3">
        <f t="shared" si="1198"/>
        <v>6</v>
      </c>
      <c r="G5334" s="3">
        <f t="shared" si="1199"/>
        <v>25</v>
      </c>
      <c r="H5334" s="3">
        <f t="shared" si="1200"/>
        <v>9</v>
      </c>
      <c r="I5334" s="3">
        <f t="shared" si="1201"/>
        <v>20</v>
      </c>
      <c r="J5334" s="3">
        <f t="shared" si="1202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03"/>
        <v>YES</v>
      </c>
      <c r="Q5334" t="str">
        <f t="shared" si="1204"/>
        <v>YES</v>
      </c>
      <c r="R5334" t="str">
        <f t="shared" si="1205"/>
        <v>NO</v>
      </c>
      <c r="S5334">
        <v>1728</v>
      </c>
      <c r="T5334" t="s">
        <v>14</v>
      </c>
      <c r="U5334" t="str">
        <f t="shared" si="1206"/>
        <v>Massachusetts Ave</v>
      </c>
      <c r="W5334" t="str">
        <f t="shared" si="1207"/>
        <v/>
      </c>
      <c r="X5334" t="str">
        <f>IF(ISBLANK(S5334),"Intersection","Non-Intersection")</f>
        <v>Non-Intersection</v>
      </c>
      <c r="Y5334" t="s">
        <v>5766</v>
      </c>
      <c r="Z5334" t="str">
        <f t="shared" si="1208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195"/>
        <v>41275</v>
      </c>
      <c r="D5335" s="4">
        <f t="shared" si="1196"/>
        <v>0.47945205479452052</v>
      </c>
      <c r="E5335" s="3">
        <f t="shared" si="1197"/>
        <v>2013</v>
      </c>
      <c r="F5335" s="3">
        <f t="shared" si="1198"/>
        <v>6</v>
      </c>
      <c r="G5335" s="3">
        <f t="shared" si="1199"/>
        <v>25</v>
      </c>
      <c r="H5335" s="3">
        <f t="shared" si="1200"/>
        <v>10</v>
      </c>
      <c r="I5335" s="3">
        <f t="shared" si="1201"/>
        <v>25</v>
      </c>
      <c r="J5335" s="3">
        <f t="shared" si="1202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03"/>
        <v>YES</v>
      </c>
      <c r="Q5335" t="str">
        <f t="shared" si="1204"/>
        <v>NO</v>
      </c>
      <c r="R5335" t="str">
        <f t="shared" si="1205"/>
        <v>NO</v>
      </c>
      <c r="T5335" t="s">
        <v>32</v>
      </c>
      <c r="U5335" t="str">
        <f t="shared" si="1206"/>
        <v>Main St</v>
      </c>
      <c r="V5335" t="s">
        <v>796</v>
      </c>
      <c r="W5335" t="str">
        <f t="shared" si="1207"/>
        <v>Portland St</v>
      </c>
      <c r="X5335" t="str">
        <f>IF(ISBLANK(S5335),"Intersection","Non-Intersection")</f>
        <v>Intersection</v>
      </c>
      <c r="Y5335" t="s">
        <v>932</v>
      </c>
      <c r="Z5335" t="str">
        <f t="shared" si="1208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195"/>
        <v>41275</v>
      </c>
      <c r="D5336" s="4">
        <f t="shared" si="1196"/>
        <v>0.47945205479452052</v>
      </c>
      <c r="E5336" s="3">
        <f t="shared" si="1197"/>
        <v>2013</v>
      </c>
      <c r="F5336" s="3">
        <f t="shared" si="1198"/>
        <v>6</v>
      </c>
      <c r="G5336" s="3">
        <f t="shared" si="1199"/>
        <v>25</v>
      </c>
      <c r="H5336" s="3">
        <f t="shared" si="1200"/>
        <v>12</v>
      </c>
      <c r="I5336" s="3">
        <f t="shared" si="1201"/>
        <v>30</v>
      </c>
      <c r="J5336" s="3">
        <f t="shared" si="1202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03"/>
        <v>YES</v>
      </c>
      <c r="Q5336" t="str">
        <f t="shared" si="1204"/>
        <v>NO</v>
      </c>
      <c r="R5336" t="str">
        <f t="shared" si="1205"/>
        <v>NO</v>
      </c>
      <c r="S5336">
        <v>69</v>
      </c>
      <c r="T5336" t="s">
        <v>199</v>
      </c>
      <c r="U5336" t="str">
        <f t="shared" si="1206"/>
        <v>Brattle St</v>
      </c>
      <c r="W5336" t="str">
        <f t="shared" si="1207"/>
        <v/>
      </c>
      <c r="X5336" t="str">
        <f>IF(ISBLANK(S5336),"Intersection","Non-Intersection")</f>
        <v>Non-Intersection</v>
      </c>
      <c r="Y5336" t="s">
        <v>5768</v>
      </c>
      <c r="Z5336" t="str">
        <f t="shared" si="1208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195"/>
        <v>41275</v>
      </c>
      <c r="D5337" s="4">
        <f t="shared" si="1196"/>
        <v>0.47945205479452052</v>
      </c>
      <c r="E5337" s="3">
        <f t="shared" si="1197"/>
        <v>2013</v>
      </c>
      <c r="F5337" s="3">
        <f t="shared" si="1198"/>
        <v>6</v>
      </c>
      <c r="G5337" s="3">
        <f t="shared" si="1199"/>
        <v>25</v>
      </c>
      <c r="H5337" s="3">
        <f t="shared" si="1200"/>
        <v>15</v>
      </c>
      <c r="I5337" s="3">
        <f t="shared" si="1201"/>
        <v>5</v>
      </c>
      <c r="J5337" s="3">
        <f t="shared" si="1202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03"/>
        <v>YES</v>
      </c>
      <c r="Q5337" t="str">
        <f t="shared" si="1204"/>
        <v>NO</v>
      </c>
      <c r="R5337" t="str">
        <f t="shared" si="1205"/>
        <v>NO</v>
      </c>
      <c r="T5337" t="s">
        <v>14</v>
      </c>
      <c r="U5337" t="str">
        <f t="shared" si="1206"/>
        <v>Massachusetts Ave</v>
      </c>
      <c r="V5337" t="s">
        <v>2848</v>
      </c>
      <c r="W5337" t="str">
        <f t="shared" si="1207"/>
        <v>Norris St</v>
      </c>
      <c r="X5337" t="str">
        <f>IF(ISBLANK(S5337),"Intersection","Non-Intersection")</f>
        <v>Intersection</v>
      </c>
      <c r="Y5337" t="s">
        <v>5770</v>
      </c>
      <c r="Z5337" t="str">
        <f t="shared" si="1208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195"/>
        <v>41275</v>
      </c>
      <c r="D5338" s="4">
        <f t="shared" si="1196"/>
        <v>0.47945205479452052</v>
      </c>
      <c r="E5338" s="3">
        <f t="shared" si="1197"/>
        <v>2013</v>
      </c>
      <c r="F5338" s="3">
        <f t="shared" si="1198"/>
        <v>6</v>
      </c>
      <c r="G5338" s="3">
        <f t="shared" si="1199"/>
        <v>25</v>
      </c>
      <c r="H5338" s="3">
        <f t="shared" si="1200"/>
        <v>14</v>
      </c>
      <c r="I5338" s="3">
        <f t="shared" si="1201"/>
        <v>39</v>
      </c>
      <c r="J5338" s="3">
        <f t="shared" si="1202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03"/>
        <v>YES</v>
      </c>
      <c r="Q5338" t="str">
        <f t="shared" si="1204"/>
        <v>NO</v>
      </c>
      <c r="R5338" t="str">
        <f t="shared" si="1205"/>
        <v>NO</v>
      </c>
      <c r="S5338">
        <v>2150</v>
      </c>
      <c r="T5338" t="s">
        <v>14</v>
      </c>
      <c r="U5338" t="str">
        <f t="shared" si="1206"/>
        <v>Massachusetts Ave</v>
      </c>
      <c r="W5338" t="str">
        <f t="shared" si="1207"/>
        <v/>
      </c>
      <c r="X5338" t="str">
        <f>IF(ISBLANK(S5338),"Intersection","Non-Intersection")</f>
        <v>Non-Intersection</v>
      </c>
      <c r="Y5338" t="s">
        <v>4160</v>
      </c>
      <c r="Z5338" t="str">
        <f t="shared" si="1208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09">EOMONTH(B5339,MONTH(B5339)*-1)+1</f>
        <v>41275</v>
      </c>
      <c r="D5339" s="4">
        <f t="shared" ref="D5339:D5401" si="1210">YEARFRAC(C5339,B5339,1)</f>
        <v>0.47945205479452052</v>
      </c>
      <c r="E5339" s="3">
        <f t="shared" ref="E5339:E5401" si="1211">YEAR(B5339)</f>
        <v>2013</v>
      </c>
      <c r="F5339" s="3">
        <f t="shared" ref="F5339:F5401" si="1212">MONTH(B5339)</f>
        <v>6</v>
      </c>
      <c r="G5339" s="3">
        <f t="shared" ref="G5339:G5401" si="1213">DAY(B5339)</f>
        <v>25</v>
      </c>
      <c r="H5339" s="3">
        <f t="shared" ref="H5339:H5401" si="1214">HOUR(B5339)</f>
        <v>16</v>
      </c>
      <c r="I5339" s="3">
        <f t="shared" ref="I5339:I5401" si="1215">MINUTE(B5339)</f>
        <v>25</v>
      </c>
      <c r="J5339" s="3">
        <f t="shared" ref="J5339:J5401" si="1216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217">IF(OR(N5339="Auto",O5339="Auto"),"YES",IF(OR(N5339="Taxi",O5339="Taxi"),"YES",IF(OR(N5339="Van",O5339="Van"),"YES",IF(OR(N5339="Truck",O5339="Truck"),"YES","NO"))))</f>
        <v>YES</v>
      </c>
      <c r="Q5339" t="str">
        <f t="shared" ref="Q5339:Q5401" si="1218">IF(OR(N5339="Bicycle",O5339="Bicycle"),"YES","NO")</f>
        <v>NO</v>
      </c>
      <c r="R5339" t="str">
        <f t="shared" ref="R5339:R5401" si="1219">IF(OR(N5339="Pedestrian",O5339="Pedestrian"),"YES","NO")</f>
        <v>NO</v>
      </c>
      <c r="T5339" t="s">
        <v>32</v>
      </c>
      <c r="U5339" t="str">
        <f t="shared" si="1206"/>
        <v>Main St</v>
      </c>
      <c r="V5339" t="s">
        <v>796</v>
      </c>
      <c r="W5339" t="str">
        <f t="shared" si="1207"/>
        <v>Portland St</v>
      </c>
      <c r="X5339" t="str">
        <f>IF(ISBLANK(S5339),"Intersection","Non-Intersection")</f>
        <v>Intersection</v>
      </c>
      <c r="Y5339" t="s">
        <v>932</v>
      </c>
      <c r="Z5339" t="str">
        <f t="shared" si="1208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09"/>
        <v>41275</v>
      </c>
      <c r="D5340" s="4">
        <f t="shared" si="1210"/>
        <v>0.48219178082191783</v>
      </c>
      <c r="E5340" s="3">
        <f t="shared" si="1211"/>
        <v>2013</v>
      </c>
      <c r="F5340" s="3">
        <f t="shared" si="1212"/>
        <v>6</v>
      </c>
      <c r="G5340" s="3">
        <f t="shared" si="1213"/>
        <v>26</v>
      </c>
      <c r="H5340" s="3">
        <f t="shared" si="1214"/>
        <v>14</v>
      </c>
      <c r="I5340" s="3">
        <f t="shared" si="1215"/>
        <v>4</v>
      </c>
      <c r="J5340" s="3">
        <f t="shared" si="1216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217"/>
        <v>YES</v>
      </c>
      <c r="Q5340" t="str">
        <f t="shared" si="1218"/>
        <v>NO</v>
      </c>
      <c r="R5340" t="str">
        <f t="shared" si="1219"/>
        <v>NO</v>
      </c>
      <c r="T5340" t="s">
        <v>42</v>
      </c>
      <c r="U5340" t="str">
        <f t="shared" si="1206"/>
        <v>Putnam Ave</v>
      </c>
      <c r="V5340" t="s">
        <v>27</v>
      </c>
      <c r="W5340" t="str">
        <f t="shared" si="1207"/>
        <v>Western Ave</v>
      </c>
      <c r="X5340" t="str">
        <f>IF(ISBLANK(S5340),"Intersection","Non-Intersection")</f>
        <v>Intersection</v>
      </c>
      <c r="Y5340" t="s">
        <v>3749</v>
      </c>
      <c r="Z5340" t="str">
        <f t="shared" si="1208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09"/>
        <v>41275</v>
      </c>
      <c r="D5341" s="4">
        <f t="shared" si="1210"/>
        <v>0.48219178082191783</v>
      </c>
      <c r="E5341" s="3">
        <f t="shared" si="1211"/>
        <v>2013</v>
      </c>
      <c r="F5341" s="3">
        <f t="shared" si="1212"/>
        <v>6</v>
      </c>
      <c r="G5341" s="3">
        <f t="shared" si="1213"/>
        <v>26</v>
      </c>
      <c r="H5341" s="3">
        <f t="shared" si="1214"/>
        <v>6</v>
      </c>
      <c r="I5341" s="3">
        <f t="shared" si="1215"/>
        <v>43</v>
      </c>
      <c r="J5341" s="3">
        <f t="shared" si="1216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217"/>
        <v>YES</v>
      </c>
      <c r="Q5341" t="str">
        <f t="shared" si="1218"/>
        <v>NO</v>
      </c>
      <c r="R5341" t="str">
        <f t="shared" si="1219"/>
        <v>NO</v>
      </c>
      <c r="T5341" t="s">
        <v>133</v>
      </c>
      <c r="U5341" t="str">
        <f t="shared" si="1206"/>
        <v>Harvard St</v>
      </c>
      <c r="V5341" t="s">
        <v>3017</v>
      </c>
      <c r="W5341" t="str">
        <f t="shared" si="1207"/>
        <v>Ellery Pl</v>
      </c>
      <c r="X5341" t="str">
        <f>IF(ISBLANK(S5341),"Intersection","Non-Intersection")</f>
        <v>Intersection</v>
      </c>
      <c r="Y5341" t="s">
        <v>5771</v>
      </c>
      <c r="Z5341" t="str">
        <f t="shared" si="1208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09"/>
        <v>41275</v>
      </c>
      <c r="D5342" s="4">
        <f t="shared" si="1210"/>
        <v>0.48219178082191783</v>
      </c>
      <c r="E5342" s="3">
        <f t="shared" si="1211"/>
        <v>2013</v>
      </c>
      <c r="F5342" s="3">
        <f t="shared" si="1212"/>
        <v>6</v>
      </c>
      <c r="G5342" s="3">
        <f t="shared" si="1213"/>
        <v>26</v>
      </c>
      <c r="H5342" s="3">
        <f t="shared" si="1214"/>
        <v>12</v>
      </c>
      <c r="I5342" s="3">
        <f t="shared" si="1215"/>
        <v>0</v>
      </c>
      <c r="J5342" s="3">
        <f t="shared" si="1216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217"/>
        <v>YES</v>
      </c>
      <c r="Q5342" t="str">
        <f t="shared" si="1218"/>
        <v>NO</v>
      </c>
      <c r="R5342" t="str">
        <f t="shared" si="1219"/>
        <v>NO</v>
      </c>
      <c r="T5342" t="s">
        <v>498</v>
      </c>
      <c r="U5342" t="str">
        <f t="shared" si="1206"/>
        <v>Ellery St</v>
      </c>
      <c r="V5342" t="s">
        <v>133</v>
      </c>
      <c r="W5342" t="str">
        <f t="shared" si="1207"/>
        <v>Harvard St</v>
      </c>
      <c r="X5342" t="str">
        <f>IF(ISBLANK(S5342),"Intersection","Non-Intersection")</f>
        <v>Intersection</v>
      </c>
      <c r="Y5342" t="s">
        <v>5773</v>
      </c>
      <c r="Z5342" t="str">
        <f t="shared" si="1208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09"/>
        <v>41275</v>
      </c>
      <c r="D5343" s="4">
        <f t="shared" si="1210"/>
        <v>0.48219178082191783</v>
      </c>
      <c r="E5343" s="3">
        <f t="shared" si="1211"/>
        <v>2013</v>
      </c>
      <c r="F5343" s="3">
        <f t="shared" si="1212"/>
        <v>6</v>
      </c>
      <c r="G5343" s="3">
        <f t="shared" si="1213"/>
        <v>26</v>
      </c>
      <c r="H5343" s="3">
        <f t="shared" si="1214"/>
        <v>17</v>
      </c>
      <c r="I5343" s="3">
        <f t="shared" si="1215"/>
        <v>45</v>
      </c>
      <c r="J5343" s="3">
        <f t="shared" si="1216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217"/>
        <v>YES</v>
      </c>
      <c r="Q5343" t="str">
        <f t="shared" si="1218"/>
        <v>NO</v>
      </c>
      <c r="R5343" t="str">
        <f t="shared" si="1219"/>
        <v>NO</v>
      </c>
      <c r="S5343">
        <v>9</v>
      </c>
      <c r="T5343" t="s">
        <v>453</v>
      </c>
      <c r="U5343" t="str">
        <f t="shared" si="1206"/>
        <v>Brookline St</v>
      </c>
      <c r="W5343" t="str">
        <f t="shared" si="1207"/>
        <v/>
      </c>
      <c r="X5343" t="str">
        <f>IF(ISBLANK(S5343),"Intersection","Non-Intersection")</f>
        <v>Non-Intersection</v>
      </c>
      <c r="Y5343" t="s">
        <v>5774</v>
      </c>
      <c r="Z5343" t="str">
        <f t="shared" si="1208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09"/>
        <v>41275</v>
      </c>
      <c r="D5344" s="4">
        <f t="shared" si="1210"/>
        <v>0.48219178082191783</v>
      </c>
      <c r="E5344" s="3">
        <f t="shared" si="1211"/>
        <v>2013</v>
      </c>
      <c r="F5344" s="3">
        <f t="shared" si="1212"/>
        <v>6</v>
      </c>
      <c r="G5344" s="3">
        <f t="shared" si="1213"/>
        <v>26</v>
      </c>
      <c r="H5344" s="3">
        <f t="shared" si="1214"/>
        <v>20</v>
      </c>
      <c r="I5344" s="3">
        <f t="shared" si="1215"/>
        <v>6</v>
      </c>
      <c r="J5344" s="3">
        <f t="shared" si="1216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217"/>
        <v>YES</v>
      </c>
      <c r="Q5344" t="str">
        <f t="shared" si="1218"/>
        <v>NO</v>
      </c>
      <c r="R5344" t="str">
        <f t="shared" si="1219"/>
        <v>NO</v>
      </c>
      <c r="T5344" t="s">
        <v>19</v>
      </c>
      <c r="U5344" t="str">
        <f t="shared" si="1206"/>
        <v>Cambridge St</v>
      </c>
      <c r="V5344" t="s">
        <v>2820</v>
      </c>
      <c r="W5344" t="str">
        <f t="shared" si="1207"/>
        <v>Hunting St</v>
      </c>
      <c r="X5344" t="str">
        <f>IF(ISBLANK(S5344),"Intersection","Non-Intersection")</f>
        <v>Intersection</v>
      </c>
      <c r="Y5344" t="s">
        <v>3582</v>
      </c>
      <c r="Z5344" t="str">
        <f t="shared" si="1208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09"/>
        <v>41275</v>
      </c>
      <c r="D5345" s="4">
        <f t="shared" si="1210"/>
        <v>0.48219178082191783</v>
      </c>
      <c r="E5345" s="3">
        <f t="shared" si="1211"/>
        <v>2013</v>
      </c>
      <c r="F5345" s="3">
        <f t="shared" si="1212"/>
        <v>6</v>
      </c>
      <c r="G5345" s="3">
        <f t="shared" si="1213"/>
        <v>26</v>
      </c>
      <c r="H5345" s="3">
        <f t="shared" si="1214"/>
        <v>11</v>
      </c>
      <c r="I5345" s="3">
        <f t="shared" si="1215"/>
        <v>29</v>
      </c>
      <c r="J5345" s="3">
        <f t="shared" si="1216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217"/>
        <v>YES</v>
      </c>
      <c r="Q5345" t="str">
        <f t="shared" si="1218"/>
        <v>NO</v>
      </c>
      <c r="R5345" t="str">
        <f t="shared" si="1219"/>
        <v>NO</v>
      </c>
      <c r="T5345" t="s">
        <v>133</v>
      </c>
      <c r="U5345" t="str">
        <f t="shared" si="1206"/>
        <v>Harvard St</v>
      </c>
      <c r="V5345" t="s">
        <v>1226</v>
      </c>
      <c r="W5345" t="str">
        <f t="shared" si="1207"/>
        <v>Dana St</v>
      </c>
      <c r="X5345" t="str">
        <f>IF(ISBLANK(S5345),"Intersection","Non-Intersection")</f>
        <v>Intersection</v>
      </c>
      <c r="Y5345" t="s">
        <v>1853</v>
      </c>
      <c r="Z5345" t="str">
        <f t="shared" si="1208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09"/>
        <v>41275</v>
      </c>
      <c r="D5346" s="4">
        <f t="shared" si="1210"/>
        <v>0.48493150684931507</v>
      </c>
      <c r="E5346" s="3">
        <f t="shared" si="1211"/>
        <v>2013</v>
      </c>
      <c r="F5346" s="3">
        <f t="shared" si="1212"/>
        <v>6</v>
      </c>
      <c r="G5346" s="3">
        <f t="shared" si="1213"/>
        <v>27</v>
      </c>
      <c r="H5346" s="3">
        <f t="shared" si="1214"/>
        <v>8</v>
      </c>
      <c r="I5346" s="3">
        <f t="shared" si="1215"/>
        <v>42</v>
      </c>
      <c r="J5346" s="3">
        <f t="shared" si="1216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217"/>
        <v>YES</v>
      </c>
      <c r="Q5346" t="str">
        <f t="shared" si="1218"/>
        <v>NO</v>
      </c>
      <c r="R5346" t="str">
        <f t="shared" si="1219"/>
        <v>NO</v>
      </c>
      <c r="T5346" t="s">
        <v>116</v>
      </c>
      <c r="U5346" t="str">
        <f t="shared" si="1206"/>
        <v>Chestnut St</v>
      </c>
      <c r="V5346" t="s">
        <v>37</v>
      </c>
      <c r="W5346" t="str">
        <f t="shared" si="1207"/>
        <v>Magazine St</v>
      </c>
      <c r="X5346" t="str">
        <f>IF(ISBLANK(S5346),"Intersection","Non-Intersection")</f>
        <v>Intersection</v>
      </c>
      <c r="Y5346" t="s">
        <v>117</v>
      </c>
      <c r="Z5346" t="str">
        <f t="shared" si="1208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09"/>
        <v>41275</v>
      </c>
      <c r="D5347" s="4">
        <f t="shared" si="1210"/>
        <v>0.48493150684931507</v>
      </c>
      <c r="E5347" s="3">
        <f t="shared" si="1211"/>
        <v>2013</v>
      </c>
      <c r="F5347" s="3">
        <f t="shared" si="1212"/>
        <v>6</v>
      </c>
      <c r="G5347" s="3">
        <f t="shared" si="1213"/>
        <v>27</v>
      </c>
      <c r="H5347" s="3">
        <f t="shared" si="1214"/>
        <v>8</v>
      </c>
      <c r="I5347" s="3">
        <f t="shared" si="1215"/>
        <v>36</v>
      </c>
      <c r="J5347" s="3">
        <f t="shared" si="1216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217"/>
        <v>YES</v>
      </c>
      <c r="Q5347" t="str">
        <f t="shared" si="1218"/>
        <v>YES</v>
      </c>
      <c r="R5347" t="str">
        <f t="shared" si="1219"/>
        <v>NO</v>
      </c>
      <c r="T5347" t="s">
        <v>14</v>
      </c>
      <c r="U5347" t="str">
        <f t="shared" si="1206"/>
        <v>Massachusetts Ave</v>
      </c>
      <c r="V5347" t="s">
        <v>202</v>
      </c>
      <c r="W5347" t="str">
        <f t="shared" si="1207"/>
        <v>Vassar St</v>
      </c>
      <c r="X5347" t="str">
        <f>IF(ISBLANK(S5347),"Intersection","Non-Intersection")</f>
        <v>Intersection</v>
      </c>
      <c r="Y5347" t="s">
        <v>361</v>
      </c>
      <c r="Z5347" t="str">
        <f t="shared" si="1208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09"/>
        <v>41275</v>
      </c>
      <c r="D5348" s="4">
        <f t="shared" si="1210"/>
        <v>0.48493150684931507</v>
      </c>
      <c r="E5348" s="3">
        <f t="shared" si="1211"/>
        <v>2013</v>
      </c>
      <c r="F5348" s="3">
        <f t="shared" si="1212"/>
        <v>6</v>
      </c>
      <c r="G5348" s="3">
        <f t="shared" si="1213"/>
        <v>27</v>
      </c>
      <c r="H5348" s="3">
        <f t="shared" si="1214"/>
        <v>11</v>
      </c>
      <c r="I5348" s="3">
        <f t="shared" si="1215"/>
        <v>0</v>
      </c>
      <c r="J5348" s="3">
        <f t="shared" si="1216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217"/>
        <v>YES</v>
      </c>
      <c r="Q5348" t="str">
        <f t="shared" si="1218"/>
        <v>NO</v>
      </c>
      <c r="R5348" t="str">
        <f t="shared" si="1219"/>
        <v>NO</v>
      </c>
      <c r="T5348" t="s">
        <v>19</v>
      </c>
      <c r="U5348" t="str">
        <f t="shared" si="1206"/>
        <v>Cambridge St</v>
      </c>
      <c r="V5348" t="s">
        <v>129</v>
      </c>
      <c r="W5348" t="str">
        <f t="shared" si="1207"/>
        <v>Cardinal Medeiros Ave</v>
      </c>
      <c r="X5348" t="str">
        <f>IF(ISBLANK(S5348),"Intersection","Non-Intersection")</f>
        <v>Intersection</v>
      </c>
      <c r="Y5348" t="s">
        <v>130</v>
      </c>
      <c r="Z5348" t="str">
        <f t="shared" si="1208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09"/>
        <v>41275</v>
      </c>
      <c r="D5349" s="4">
        <f t="shared" si="1210"/>
        <v>0.48493150684931507</v>
      </c>
      <c r="E5349" s="3">
        <f t="shared" si="1211"/>
        <v>2013</v>
      </c>
      <c r="F5349" s="3">
        <f t="shared" si="1212"/>
        <v>6</v>
      </c>
      <c r="G5349" s="3">
        <f t="shared" si="1213"/>
        <v>27</v>
      </c>
      <c r="H5349" s="3">
        <f t="shared" si="1214"/>
        <v>12</v>
      </c>
      <c r="I5349" s="3">
        <f t="shared" si="1215"/>
        <v>49</v>
      </c>
      <c r="J5349" s="3">
        <f t="shared" si="1216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217"/>
        <v>YES</v>
      </c>
      <c r="Q5349" t="str">
        <f t="shared" si="1218"/>
        <v>NO</v>
      </c>
      <c r="R5349" t="str">
        <f t="shared" si="1219"/>
        <v>NO</v>
      </c>
      <c r="S5349">
        <v>748</v>
      </c>
      <c r="T5349" t="s">
        <v>203</v>
      </c>
      <c r="U5349" t="str">
        <f t="shared" si="1206"/>
        <v>Memorial Dr</v>
      </c>
      <c r="W5349" t="str">
        <f t="shared" si="1207"/>
        <v/>
      </c>
      <c r="X5349" t="str">
        <f>IF(ISBLANK(S5349),"Intersection","Non-Intersection")</f>
        <v>Non-Intersection</v>
      </c>
      <c r="Y5349" t="s">
        <v>1731</v>
      </c>
      <c r="Z5349" t="str">
        <f t="shared" si="1208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09"/>
        <v>41275</v>
      </c>
      <c r="D5350" s="4">
        <f t="shared" si="1210"/>
        <v>0.48493150684931507</v>
      </c>
      <c r="E5350" s="3">
        <f t="shared" si="1211"/>
        <v>2013</v>
      </c>
      <c r="F5350" s="3">
        <f t="shared" si="1212"/>
        <v>6</v>
      </c>
      <c r="G5350" s="3">
        <f t="shared" si="1213"/>
        <v>27</v>
      </c>
      <c r="H5350" s="3">
        <f t="shared" si="1214"/>
        <v>10</v>
      </c>
      <c r="I5350" s="3">
        <f t="shared" si="1215"/>
        <v>30</v>
      </c>
      <c r="J5350" s="3">
        <f t="shared" si="1216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217"/>
        <v>YES</v>
      </c>
      <c r="Q5350" t="str">
        <f t="shared" si="1218"/>
        <v>NO</v>
      </c>
      <c r="R5350" t="str">
        <f t="shared" si="1219"/>
        <v>NO</v>
      </c>
      <c r="T5350" t="s">
        <v>1062</v>
      </c>
      <c r="U5350" t="str">
        <f t="shared" si="1206"/>
        <v>Cambridgeside Pl</v>
      </c>
      <c r="W5350" t="str">
        <f t="shared" si="1207"/>
        <v/>
      </c>
      <c r="X5350" t="str">
        <f>IF(ISBLANK(S5350),"Intersection","Non-Intersection")</f>
        <v>Intersection</v>
      </c>
      <c r="Y5350" t="s">
        <v>1283</v>
      </c>
      <c r="Z5350" t="str">
        <f t="shared" si="1208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09"/>
        <v>41275</v>
      </c>
      <c r="D5351" s="4">
        <f t="shared" si="1210"/>
        <v>0.48767123287671232</v>
      </c>
      <c r="E5351" s="3">
        <f t="shared" si="1211"/>
        <v>2013</v>
      </c>
      <c r="F5351" s="3">
        <f t="shared" si="1212"/>
        <v>6</v>
      </c>
      <c r="G5351" s="3">
        <f t="shared" si="1213"/>
        <v>28</v>
      </c>
      <c r="H5351" s="3">
        <f t="shared" si="1214"/>
        <v>1</v>
      </c>
      <c r="I5351" s="3">
        <f t="shared" si="1215"/>
        <v>18</v>
      </c>
      <c r="J5351" s="3">
        <f t="shared" si="1216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217"/>
        <v>YES</v>
      </c>
      <c r="Q5351" t="str">
        <f t="shared" si="1218"/>
        <v>NO</v>
      </c>
      <c r="R5351" t="str">
        <f t="shared" si="1219"/>
        <v>NO</v>
      </c>
      <c r="T5351" t="s">
        <v>4313</v>
      </c>
      <c r="U5351" t="str">
        <f t="shared" si="1206"/>
        <v>Dunstable Rd</v>
      </c>
      <c r="V5351" t="s">
        <v>198</v>
      </c>
      <c r="W5351" t="str">
        <f t="shared" si="1207"/>
        <v>Mount Auburn St</v>
      </c>
      <c r="X5351" t="str">
        <f>IF(ISBLANK(S5351),"Intersection","Non-Intersection")</f>
        <v>Intersection</v>
      </c>
      <c r="Y5351" t="s">
        <v>4550</v>
      </c>
      <c r="Z5351" t="str">
        <f t="shared" si="1208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09"/>
        <v>41275</v>
      </c>
      <c r="D5352" s="4">
        <f t="shared" si="1210"/>
        <v>0.48767123287671232</v>
      </c>
      <c r="E5352" s="3">
        <f t="shared" si="1211"/>
        <v>2013</v>
      </c>
      <c r="F5352" s="3">
        <f t="shared" si="1212"/>
        <v>6</v>
      </c>
      <c r="G5352" s="3">
        <f t="shared" si="1213"/>
        <v>28</v>
      </c>
      <c r="H5352" s="3">
        <f t="shared" si="1214"/>
        <v>14</v>
      </c>
      <c r="I5352" s="3">
        <f t="shared" si="1215"/>
        <v>41</v>
      </c>
      <c r="J5352" s="3">
        <f t="shared" si="1216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217"/>
        <v>YES</v>
      </c>
      <c r="Q5352" t="str">
        <f t="shared" si="1218"/>
        <v>NO</v>
      </c>
      <c r="R5352" t="str">
        <f t="shared" si="1219"/>
        <v>NO</v>
      </c>
      <c r="T5352" t="s">
        <v>105</v>
      </c>
      <c r="U5352" t="str">
        <f t="shared" si="1206"/>
        <v>Broadway</v>
      </c>
      <c r="V5352" t="s">
        <v>134</v>
      </c>
      <c r="W5352" t="str">
        <f t="shared" si="1207"/>
        <v>Quincy St</v>
      </c>
      <c r="X5352" t="str">
        <f>IF(ISBLANK(S5352),"Intersection","Non-Intersection")</f>
        <v>Intersection</v>
      </c>
      <c r="Y5352" t="s">
        <v>838</v>
      </c>
      <c r="Z5352" t="str">
        <f t="shared" si="1208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09"/>
        <v>41275</v>
      </c>
      <c r="D5353" s="4">
        <f t="shared" si="1210"/>
        <v>0.48767123287671232</v>
      </c>
      <c r="E5353" s="3">
        <f t="shared" si="1211"/>
        <v>2013</v>
      </c>
      <c r="F5353" s="3">
        <f t="shared" si="1212"/>
        <v>6</v>
      </c>
      <c r="G5353" s="3">
        <f t="shared" si="1213"/>
        <v>28</v>
      </c>
      <c r="H5353" s="3">
        <f t="shared" si="1214"/>
        <v>12</v>
      </c>
      <c r="I5353" s="3">
        <f t="shared" si="1215"/>
        <v>0</v>
      </c>
      <c r="J5353" s="3">
        <f t="shared" si="1216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217"/>
        <v>YES</v>
      </c>
      <c r="Q5353" t="str">
        <f t="shared" si="1218"/>
        <v>NO</v>
      </c>
      <c r="R5353" t="str">
        <f t="shared" si="1219"/>
        <v>NO</v>
      </c>
      <c r="S5353">
        <v>378</v>
      </c>
      <c r="T5353" t="s">
        <v>14</v>
      </c>
      <c r="U5353" t="str">
        <f t="shared" si="1206"/>
        <v>Massachusetts Ave</v>
      </c>
      <c r="W5353" t="str">
        <f t="shared" si="1207"/>
        <v/>
      </c>
      <c r="X5353" t="str">
        <f>IF(ISBLANK(S5353),"Intersection","Non-Intersection")</f>
        <v>Non-Intersection</v>
      </c>
      <c r="Y5353" t="s">
        <v>1399</v>
      </c>
      <c r="Z5353" t="str">
        <f t="shared" si="1208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09"/>
        <v>41275</v>
      </c>
      <c r="D5354" s="4">
        <f t="shared" si="1210"/>
        <v>0.48767123287671232</v>
      </c>
      <c r="E5354" s="3">
        <f t="shared" si="1211"/>
        <v>2013</v>
      </c>
      <c r="F5354" s="3">
        <f t="shared" si="1212"/>
        <v>6</v>
      </c>
      <c r="G5354" s="3">
        <f t="shared" si="1213"/>
        <v>28</v>
      </c>
      <c r="H5354" s="3">
        <f t="shared" si="1214"/>
        <v>15</v>
      </c>
      <c r="I5354" s="3">
        <f t="shared" si="1215"/>
        <v>30</v>
      </c>
      <c r="J5354" s="3">
        <f t="shared" si="1216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217"/>
        <v>YES</v>
      </c>
      <c r="Q5354" t="str">
        <f t="shared" si="1218"/>
        <v>NO</v>
      </c>
      <c r="R5354" t="str">
        <f t="shared" si="1219"/>
        <v>NO</v>
      </c>
      <c r="T5354" t="s">
        <v>326</v>
      </c>
      <c r="U5354" t="str">
        <f t="shared" si="1206"/>
        <v>Jfk St</v>
      </c>
      <c r="W5354" t="str">
        <f t="shared" si="1207"/>
        <v/>
      </c>
      <c r="X5354" t="str">
        <f>IF(ISBLANK(S5354),"Intersection","Non-Intersection")</f>
        <v>Intersection</v>
      </c>
      <c r="Y5354" t="s">
        <v>2551</v>
      </c>
      <c r="Z5354" t="str">
        <f t="shared" si="1208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09"/>
        <v>41275</v>
      </c>
      <c r="D5355" s="4">
        <f t="shared" si="1210"/>
        <v>0.48767123287671232</v>
      </c>
      <c r="E5355" s="3">
        <f t="shared" si="1211"/>
        <v>2013</v>
      </c>
      <c r="F5355" s="3">
        <f t="shared" si="1212"/>
        <v>6</v>
      </c>
      <c r="G5355" s="3">
        <f t="shared" si="1213"/>
        <v>28</v>
      </c>
      <c r="H5355" s="3">
        <f t="shared" si="1214"/>
        <v>20</v>
      </c>
      <c r="I5355" s="3">
        <f t="shared" si="1215"/>
        <v>15</v>
      </c>
      <c r="J5355" s="3">
        <f t="shared" si="1216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217"/>
        <v>YES</v>
      </c>
      <c r="Q5355" t="str">
        <f t="shared" si="1218"/>
        <v>NO</v>
      </c>
      <c r="R5355" t="str">
        <f t="shared" si="1219"/>
        <v>NO</v>
      </c>
      <c r="S5355">
        <v>177</v>
      </c>
      <c r="T5355" t="s">
        <v>1145</v>
      </c>
      <c r="U5355" t="str">
        <f t="shared" si="1206"/>
        <v>Pemberton St</v>
      </c>
      <c r="W5355" t="str">
        <f t="shared" si="1207"/>
        <v/>
      </c>
      <c r="X5355" t="str">
        <f>IF(ISBLANK(S5355),"Intersection","Non-Intersection")</f>
        <v>Non-Intersection</v>
      </c>
      <c r="Y5355" t="s">
        <v>2431</v>
      </c>
      <c r="Z5355" t="str">
        <f t="shared" si="1208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09"/>
        <v>41275</v>
      </c>
      <c r="D5356" s="4">
        <f t="shared" si="1210"/>
        <v>0.48767123287671232</v>
      </c>
      <c r="E5356" s="3">
        <f t="shared" si="1211"/>
        <v>2013</v>
      </c>
      <c r="F5356" s="3">
        <f t="shared" si="1212"/>
        <v>6</v>
      </c>
      <c r="G5356" s="3">
        <f t="shared" si="1213"/>
        <v>28</v>
      </c>
      <c r="H5356" s="3">
        <f t="shared" si="1214"/>
        <v>9</v>
      </c>
      <c r="I5356" s="3">
        <f t="shared" si="1215"/>
        <v>45</v>
      </c>
      <c r="J5356" s="3">
        <f t="shared" si="1216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217"/>
        <v>YES</v>
      </c>
      <c r="Q5356" t="str">
        <f t="shared" si="1218"/>
        <v>NO</v>
      </c>
      <c r="R5356" t="str">
        <f t="shared" si="1219"/>
        <v>NO</v>
      </c>
      <c r="T5356" t="s">
        <v>41</v>
      </c>
      <c r="U5356" t="str">
        <f t="shared" si="1206"/>
        <v>River St</v>
      </c>
      <c r="V5356" t="s">
        <v>203</v>
      </c>
      <c r="W5356" t="str">
        <f t="shared" si="1207"/>
        <v>Memorial Dr</v>
      </c>
      <c r="X5356" t="str">
        <f>IF(ISBLANK(S5356),"Intersection","Non-Intersection")</f>
        <v>Intersection</v>
      </c>
      <c r="Y5356" t="s">
        <v>3110</v>
      </c>
      <c r="Z5356" t="str">
        <f t="shared" si="1208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09"/>
        <v>41275</v>
      </c>
      <c r="D5357" s="4">
        <f t="shared" si="1210"/>
        <v>0.49041095890410957</v>
      </c>
      <c r="E5357" s="3">
        <f t="shared" si="1211"/>
        <v>2013</v>
      </c>
      <c r="F5357" s="3">
        <f t="shared" si="1212"/>
        <v>6</v>
      </c>
      <c r="G5357" s="3">
        <f t="shared" si="1213"/>
        <v>29</v>
      </c>
      <c r="H5357" s="3">
        <f t="shared" si="1214"/>
        <v>2</v>
      </c>
      <c r="I5357" s="3">
        <f t="shared" si="1215"/>
        <v>0</v>
      </c>
      <c r="J5357" s="3">
        <f t="shared" si="1216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217"/>
        <v>YES</v>
      </c>
      <c r="Q5357" t="str">
        <f t="shared" si="1218"/>
        <v>NO</v>
      </c>
      <c r="R5357" t="str">
        <f t="shared" si="1219"/>
        <v>NO</v>
      </c>
      <c r="T5357" t="s">
        <v>3260</v>
      </c>
      <c r="U5357" t="str">
        <f t="shared" si="1206"/>
        <v>Eaton St</v>
      </c>
      <c r="V5357" t="s">
        <v>5776</v>
      </c>
      <c r="W5357" t="str">
        <f t="shared" si="1207"/>
        <v>Cherry Ct</v>
      </c>
      <c r="X5357" t="str">
        <f>IF(ISBLANK(S5357),"Intersection","Non-Intersection")</f>
        <v>Intersection</v>
      </c>
      <c r="Y5357" t="s">
        <v>5777</v>
      </c>
      <c r="Z5357" t="str">
        <f t="shared" si="1208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09"/>
        <v>41275</v>
      </c>
      <c r="D5358" s="4">
        <f t="shared" si="1210"/>
        <v>0.49589041095890413</v>
      </c>
      <c r="E5358" s="3">
        <f t="shared" si="1211"/>
        <v>2013</v>
      </c>
      <c r="F5358" s="3">
        <f t="shared" si="1212"/>
        <v>7</v>
      </c>
      <c r="G5358" s="3">
        <f t="shared" si="1213"/>
        <v>1</v>
      </c>
      <c r="H5358" s="3">
        <f t="shared" si="1214"/>
        <v>21</v>
      </c>
      <c r="I5358" s="3">
        <f t="shared" si="1215"/>
        <v>59</v>
      </c>
      <c r="J5358" s="3">
        <f t="shared" si="1216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217"/>
        <v>YES</v>
      </c>
      <c r="Q5358" t="str">
        <f t="shared" si="1218"/>
        <v>NO</v>
      </c>
      <c r="R5358" t="str">
        <f t="shared" si="1219"/>
        <v>NO</v>
      </c>
      <c r="S5358">
        <v>9799</v>
      </c>
      <c r="T5358" t="s">
        <v>2060</v>
      </c>
      <c r="U5358" t="str">
        <f t="shared" si="1206"/>
        <v>Harvey St</v>
      </c>
      <c r="W5358" t="str">
        <f t="shared" si="1207"/>
        <v/>
      </c>
      <c r="X5358" t="str">
        <f>IF(ISBLANK(S5358),"Intersection","Non-Intersection")</f>
        <v>Non-Intersection</v>
      </c>
      <c r="Y5358" t="s">
        <v>5778</v>
      </c>
      <c r="Z5358" t="str">
        <f t="shared" si="1208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09"/>
        <v>41275</v>
      </c>
      <c r="D5359" s="4">
        <f t="shared" si="1210"/>
        <v>0.49589041095890413</v>
      </c>
      <c r="E5359" s="3">
        <f t="shared" si="1211"/>
        <v>2013</v>
      </c>
      <c r="F5359" s="3">
        <f t="shared" si="1212"/>
        <v>7</v>
      </c>
      <c r="G5359" s="3">
        <f t="shared" si="1213"/>
        <v>1</v>
      </c>
      <c r="H5359" s="3">
        <f t="shared" si="1214"/>
        <v>20</v>
      </c>
      <c r="I5359" s="3">
        <f t="shared" si="1215"/>
        <v>19</v>
      </c>
      <c r="J5359" s="3">
        <f t="shared" si="1216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217"/>
        <v>YES</v>
      </c>
      <c r="Q5359" t="str">
        <f t="shared" si="1218"/>
        <v>NO</v>
      </c>
      <c r="R5359" t="str">
        <f t="shared" si="1219"/>
        <v>NO</v>
      </c>
      <c r="T5359" t="s">
        <v>1182</v>
      </c>
      <c r="U5359" t="str">
        <f t="shared" si="1206"/>
        <v>Amherst St</v>
      </c>
      <c r="V5359" t="s">
        <v>14</v>
      </c>
      <c r="W5359" t="str">
        <f t="shared" si="1207"/>
        <v>Massachusetts Ave</v>
      </c>
      <c r="X5359" t="str">
        <f>IF(ISBLANK(S5359),"Intersection","Non-Intersection")</f>
        <v>Intersection</v>
      </c>
      <c r="Y5359" t="s">
        <v>3598</v>
      </c>
      <c r="Z5359" t="str">
        <f t="shared" si="1208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09"/>
        <v>41275</v>
      </c>
      <c r="D5360" s="4">
        <f t="shared" si="1210"/>
        <v>0.49863013698630138</v>
      </c>
      <c r="E5360" s="3">
        <f t="shared" si="1211"/>
        <v>2013</v>
      </c>
      <c r="F5360" s="3">
        <f t="shared" si="1212"/>
        <v>7</v>
      </c>
      <c r="G5360" s="3">
        <f t="shared" si="1213"/>
        <v>2</v>
      </c>
      <c r="H5360" s="3">
        <f t="shared" si="1214"/>
        <v>12</v>
      </c>
      <c r="I5360" s="3">
        <f t="shared" si="1215"/>
        <v>45</v>
      </c>
      <c r="J5360" s="3">
        <f t="shared" si="1216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217"/>
        <v>YES</v>
      </c>
      <c r="Q5360" t="str">
        <f t="shared" si="1218"/>
        <v>NO</v>
      </c>
      <c r="R5360" t="str">
        <f t="shared" si="1219"/>
        <v>NO</v>
      </c>
      <c r="S5360">
        <v>245</v>
      </c>
      <c r="T5360" t="s">
        <v>380</v>
      </c>
      <c r="U5360" t="str">
        <f t="shared" si="1206"/>
        <v>Charles St</v>
      </c>
      <c r="V5360" t="s">
        <v>147</v>
      </c>
      <c r="W5360" t="str">
        <f t="shared" si="1207"/>
        <v>Sixth St</v>
      </c>
      <c r="X5360" t="str">
        <f>IF(ISBLANK(S5360),"Intersection","Non-Intersection")</f>
        <v>Non-Intersection</v>
      </c>
      <c r="Y5360" t="s">
        <v>5780</v>
      </c>
      <c r="Z5360" t="str">
        <f t="shared" si="1208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09"/>
        <v>41275</v>
      </c>
      <c r="D5361" s="4">
        <f t="shared" si="1210"/>
        <v>0.49863013698630138</v>
      </c>
      <c r="E5361" s="3">
        <f t="shared" si="1211"/>
        <v>2013</v>
      </c>
      <c r="F5361" s="3">
        <f t="shared" si="1212"/>
        <v>7</v>
      </c>
      <c r="G5361" s="3">
        <f t="shared" si="1213"/>
        <v>2</v>
      </c>
      <c r="H5361" s="3">
        <f t="shared" si="1214"/>
        <v>14</v>
      </c>
      <c r="I5361" s="3">
        <f t="shared" si="1215"/>
        <v>19</v>
      </c>
      <c r="J5361" s="3">
        <f t="shared" si="1216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217"/>
        <v>YES</v>
      </c>
      <c r="Q5361" t="str">
        <f t="shared" si="1218"/>
        <v>NO</v>
      </c>
      <c r="R5361" t="str">
        <f t="shared" si="1219"/>
        <v>YES</v>
      </c>
      <c r="T5361" t="s">
        <v>14</v>
      </c>
      <c r="U5361" t="str">
        <f t="shared" si="1206"/>
        <v>Massachusetts Ave</v>
      </c>
      <c r="V5361" t="s">
        <v>126</v>
      </c>
      <c r="W5361" t="str">
        <f t="shared" si="1207"/>
        <v>Somerville Ave</v>
      </c>
      <c r="X5361" t="str">
        <f>IF(ISBLANK(S5361),"Intersection","Non-Intersection")</f>
        <v>Intersection</v>
      </c>
      <c r="Y5361" t="s">
        <v>127</v>
      </c>
      <c r="Z5361" t="str">
        <f t="shared" si="1208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09"/>
        <v>41275</v>
      </c>
      <c r="D5362" s="4">
        <f t="shared" si="1210"/>
        <v>0.49863013698630138</v>
      </c>
      <c r="E5362" s="3">
        <f t="shared" si="1211"/>
        <v>2013</v>
      </c>
      <c r="F5362" s="3">
        <f t="shared" si="1212"/>
        <v>7</v>
      </c>
      <c r="G5362" s="3">
        <f t="shared" si="1213"/>
        <v>2</v>
      </c>
      <c r="H5362" s="3">
        <f t="shared" si="1214"/>
        <v>17</v>
      </c>
      <c r="I5362" s="3">
        <f t="shared" si="1215"/>
        <v>19</v>
      </c>
      <c r="J5362" s="3">
        <f t="shared" si="1216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217"/>
        <v>YES</v>
      </c>
      <c r="Q5362" t="str">
        <f t="shared" si="1218"/>
        <v>NO</v>
      </c>
      <c r="R5362" t="str">
        <f t="shared" si="1219"/>
        <v>NO</v>
      </c>
      <c r="S5362">
        <v>105</v>
      </c>
      <c r="T5362" t="s">
        <v>146</v>
      </c>
      <c r="U5362" t="str">
        <f t="shared" si="1206"/>
        <v>Spring St</v>
      </c>
      <c r="W5362" t="str">
        <f t="shared" si="1207"/>
        <v/>
      </c>
      <c r="X5362" t="str">
        <f>IF(ISBLANK(S5362),"Intersection","Non-Intersection")</f>
        <v>Non-Intersection</v>
      </c>
      <c r="Y5362" t="s">
        <v>5782</v>
      </c>
      <c r="Z5362" t="str">
        <f t="shared" si="1208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09"/>
        <v>41275</v>
      </c>
      <c r="D5363" s="4">
        <f t="shared" si="1210"/>
        <v>0.50136986301369868</v>
      </c>
      <c r="E5363" s="3">
        <f t="shared" si="1211"/>
        <v>2013</v>
      </c>
      <c r="F5363" s="3">
        <f t="shared" si="1212"/>
        <v>7</v>
      </c>
      <c r="G5363" s="3">
        <f t="shared" si="1213"/>
        <v>3</v>
      </c>
      <c r="H5363" s="3">
        <f t="shared" si="1214"/>
        <v>10</v>
      </c>
      <c r="I5363" s="3">
        <f t="shared" si="1215"/>
        <v>44</v>
      </c>
      <c r="J5363" s="3">
        <f t="shared" si="1216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217"/>
        <v>YES</v>
      </c>
      <c r="Q5363" t="str">
        <f t="shared" si="1218"/>
        <v>NO</v>
      </c>
      <c r="R5363" t="str">
        <f t="shared" si="1219"/>
        <v>NO</v>
      </c>
      <c r="S5363">
        <v>58</v>
      </c>
      <c r="T5363" t="s">
        <v>1582</v>
      </c>
      <c r="U5363" t="str">
        <f t="shared" si="1206"/>
        <v>Gold Star Rd</v>
      </c>
      <c r="W5363" t="str">
        <f t="shared" si="1207"/>
        <v/>
      </c>
      <c r="X5363" t="str">
        <f>IF(ISBLANK(S5363),"Intersection","Non-Intersection")</f>
        <v>Non-Intersection</v>
      </c>
      <c r="Y5363" t="s">
        <v>5784</v>
      </c>
      <c r="Z5363" t="str">
        <f t="shared" si="1208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09"/>
        <v>41275</v>
      </c>
      <c r="D5364" s="4">
        <f t="shared" si="1210"/>
        <v>0.50136986301369868</v>
      </c>
      <c r="E5364" s="3">
        <f t="shared" si="1211"/>
        <v>2013</v>
      </c>
      <c r="F5364" s="3">
        <f t="shared" si="1212"/>
        <v>7</v>
      </c>
      <c r="G5364" s="3">
        <f t="shared" si="1213"/>
        <v>3</v>
      </c>
      <c r="H5364" s="3">
        <f t="shared" si="1214"/>
        <v>8</v>
      </c>
      <c r="I5364" s="3">
        <f t="shared" si="1215"/>
        <v>15</v>
      </c>
      <c r="J5364" s="3">
        <f t="shared" si="1216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217"/>
        <v>YES</v>
      </c>
      <c r="Q5364" t="str">
        <f t="shared" si="1218"/>
        <v>NO</v>
      </c>
      <c r="R5364" t="str">
        <f t="shared" si="1219"/>
        <v>NO</v>
      </c>
      <c r="S5364">
        <v>1500</v>
      </c>
      <c r="T5364" t="s">
        <v>14</v>
      </c>
      <c r="U5364" t="str">
        <f t="shared" si="1206"/>
        <v>Massachusetts Ave</v>
      </c>
      <c r="W5364" t="str">
        <f t="shared" si="1207"/>
        <v/>
      </c>
      <c r="X5364" t="str">
        <f>IF(ISBLANK(S5364),"Intersection","Non-Intersection")</f>
        <v>Non-Intersection</v>
      </c>
      <c r="Y5364" t="s">
        <v>5786</v>
      </c>
      <c r="Z5364" t="str">
        <f t="shared" si="1208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09"/>
        <v>41275</v>
      </c>
      <c r="D5365" s="4">
        <f t="shared" si="1210"/>
        <v>0.50136986301369868</v>
      </c>
      <c r="E5365" s="3">
        <f t="shared" si="1211"/>
        <v>2013</v>
      </c>
      <c r="F5365" s="3">
        <f t="shared" si="1212"/>
        <v>7</v>
      </c>
      <c r="G5365" s="3">
        <f t="shared" si="1213"/>
        <v>3</v>
      </c>
      <c r="H5365" s="3">
        <f t="shared" si="1214"/>
        <v>10</v>
      </c>
      <c r="I5365" s="3">
        <f t="shared" si="1215"/>
        <v>44</v>
      </c>
      <c r="J5365" s="3">
        <f t="shared" si="1216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217"/>
        <v>YES</v>
      </c>
      <c r="Q5365" t="str">
        <f t="shared" si="1218"/>
        <v>NO</v>
      </c>
      <c r="R5365" t="str">
        <f t="shared" si="1219"/>
        <v>NO</v>
      </c>
      <c r="S5365">
        <v>198</v>
      </c>
      <c r="T5365" t="s">
        <v>170</v>
      </c>
      <c r="U5365" t="str">
        <f t="shared" si="1206"/>
        <v>Alewife Brook Pky</v>
      </c>
      <c r="W5365" t="str">
        <f t="shared" si="1207"/>
        <v/>
      </c>
      <c r="X5365" t="str">
        <f>IF(ISBLANK(S5365),"Intersection","Non-Intersection")</f>
        <v>Non-Intersection</v>
      </c>
      <c r="Y5365" t="s">
        <v>4345</v>
      </c>
      <c r="Z5365" t="str">
        <f t="shared" si="1208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09"/>
        <v>41275</v>
      </c>
      <c r="D5366" s="4">
        <f t="shared" si="1210"/>
        <v>0.50136986301369868</v>
      </c>
      <c r="E5366" s="3">
        <f t="shared" si="1211"/>
        <v>2013</v>
      </c>
      <c r="F5366" s="3">
        <f t="shared" si="1212"/>
        <v>7</v>
      </c>
      <c r="G5366" s="3">
        <f t="shared" si="1213"/>
        <v>3</v>
      </c>
      <c r="H5366" s="3">
        <f t="shared" si="1214"/>
        <v>12</v>
      </c>
      <c r="I5366" s="3">
        <f t="shared" si="1215"/>
        <v>0</v>
      </c>
      <c r="J5366" s="3">
        <f t="shared" si="1216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217"/>
        <v>YES</v>
      </c>
      <c r="Q5366" t="str">
        <f t="shared" si="1218"/>
        <v>NO</v>
      </c>
      <c r="R5366" t="str">
        <f t="shared" si="1219"/>
        <v>NO</v>
      </c>
      <c r="S5366">
        <v>190</v>
      </c>
      <c r="T5366" t="s">
        <v>449</v>
      </c>
      <c r="U5366" t="str">
        <f t="shared" si="1206"/>
        <v>Appian Way</v>
      </c>
      <c r="W5366" t="str">
        <f t="shared" si="1207"/>
        <v/>
      </c>
      <c r="X5366" t="str">
        <f>IF(ISBLANK(S5366),"Intersection","Non-Intersection")</f>
        <v>Non-Intersection</v>
      </c>
      <c r="Y5366" t="s">
        <v>5788</v>
      </c>
      <c r="Z5366" t="str">
        <f t="shared" si="1208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09"/>
        <v>41275</v>
      </c>
      <c r="D5367" s="4">
        <f t="shared" si="1210"/>
        <v>0.50136986301369868</v>
      </c>
      <c r="E5367" s="3">
        <f t="shared" si="1211"/>
        <v>2013</v>
      </c>
      <c r="F5367" s="3">
        <f t="shared" si="1212"/>
        <v>7</v>
      </c>
      <c r="G5367" s="3">
        <f t="shared" si="1213"/>
        <v>3</v>
      </c>
      <c r="H5367" s="3">
        <f t="shared" si="1214"/>
        <v>12</v>
      </c>
      <c r="I5367" s="3">
        <f t="shared" si="1215"/>
        <v>59</v>
      </c>
      <c r="J5367" s="3">
        <f t="shared" si="1216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217"/>
        <v>YES</v>
      </c>
      <c r="Q5367" t="str">
        <f t="shared" si="1218"/>
        <v>NO</v>
      </c>
      <c r="R5367" t="str">
        <f t="shared" si="1219"/>
        <v>NO</v>
      </c>
      <c r="T5367" t="s">
        <v>19</v>
      </c>
      <c r="U5367" t="str">
        <f t="shared" si="1206"/>
        <v>Cambridge St</v>
      </c>
      <c r="V5367" t="s">
        <v>667</v>
      </c>
      <c r="W5367" t="str">
        <f t="shared" si="1207"/>
        <v>Tremont St</v>
      </c>
      <c r="X5367" t="str">
        <f>IF(ISBLANK(S5367),"Intersection","Non-Intersection")</f>
        <v>Intersection</v>
      </c>
      <c r="Y5367" t="s">
        <v>3074</v>
      </c>
      <c r="Z5367" t="str">
        <f t="shared" si="1208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09"/>
        <v>41275</v>
      </c>
      <c r="D5368" s="4">
        <f t="shared" si="1210"/>
        <v>0.50410958904109593</v>
      </c>
      <c r="E5368" s="3">
        <f t="shared" si="1211"/>
        <v>2013</v>
      </c>
      <c r="F5368" s="3">
        <f t="shared" si="1212"/>
        <v>7</v>
      </c>
      <c r="G5368" s="3">
        <f t="shared" si="1213"/>
        <v>4</v>
      </c>
      <c r="H5368" s="3">
        <f t="shared" si="1214"/>
        <v>14</v>
      </c>
      <c r="I5368" s="3">
        <f t="shared" si="1215"/>
        <v>48</v>
      </c>
      <c r="J5368" s="3">
        <f t="shared" si="1216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217"/>
        <v>NO</v>
      </c>
      <c r="Q5368" t="str">
        <f t="shared" si="1218"/>
        <v>YES</v>
      </c>
      <c r="R5368" t="str">
        <f t="shared" si="1219"/>
        <v>NO</v>
      </c>
      <c r="U5368" t="str">
        <f t="shared" si="1206"/>
        <v/>
      </c>
      <c r="W5368" t="str">
        <f t="shared" si="1207"/>
        <v/>
      </c>
      <c r="X5368" t="str">
        <f>IF(ISBLANK(S5368),"Intersection","Non-Intersection")</f>
        <v>Intersection</v>
      </c>
      <c r="Y5368" t="s">
        <v>717</v>
      </c>
      <c r="Z5368" t="str">
        <f t="shared" si="1208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09"/>
        <v>41275</v>
      </c>
      <c r="D5369" s="4">
        <f t="shared" si="1210"/>
        <v>0.50410958904109593</v>
      </c>
      <c r="E5369" s="3">
        <f t="shared" si="1211"/>
        <v>2013</v>
      </c>
      <c r="F5369" s="3">
        <f t="shared" si="1212"/>
        <v>7</v>
      </c>
      <c r="G5369" s="3">
        <f t="shared" si="1213"/>
        <v>4</v>
      </c>
      <c r="H5369" s="3">
        <f t="shared" si="1214"/>
        <v>22</v>
      </c>
      <c r="I5369" s="3">
        <f t="shared" si="1215"/>
        <v>25</v>
      </c>
      <c r="J5369" s="3">
        <f t="shared" si="1216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217"/>
        <v>YES</v>
      </c>
      <c r="Q5369" t="str">
        <f t="shared" si="1218"/>
        <v>NO</v>
      </c>
      <c r="R5369" t="str">
        <f t="shared" si="1219"/>
        <v>NO</v>
      </c>
      <c r="T5369" t="s">
        <v>260</v>
      </c>
      <c r="U5369" t="str">
        <f t="shared" si="1206"/>
        <v>Third St</v>
      </c>
      <c r="V5369" t="s">
        <v>698</v>
      </c>
      <c r="W5369" t="str">
        <f t="shared" si="1207"/>
        <v>Thorndike St</v>
      </c>
      <c r="X5369" t="str">
        <f>IF(ISBLANK(S5369),"Intersection","Non-Intersection")</f>
        <v>Intersection</v>
      </c>
      <c r="Y5369" t="s">
        <v>5790</v>
      </c>
      <c r="Z5369" t="str">
        <f t="shared" si="1208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09"/>
        <v>41275</v>
      </c>
      <c r="D5370" s="4">
        <f t="shared" si="1210"/>
        <v>0.50684931506849318</v>
      </c>
      <c r="E5370" s="3">
        <f t="shared" si="1211"/>
        <v>2013</v>
      </c>
      <c r="F5370" s="3">
        <f t="shared" si="1212"/>
        <v>7</v>
      </c>
      <c r="G5370" s="3">
        <f t="shared" si="1213"/>
        <v>5</v>
      </c>
      <c r="H5370" s="3">
        <f t="shared" si="1214"/>
        <v>2</v>
      </c>
      <c r="I5370" s="3">
        <f t="shared" si="1215"/>
        <v>35</v>
      </c>
      <c r="J5370" s="3">
        <f t="shared" si="1216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217"/>
        <v>YES</v>
      </c>
      <c r="Q5370" t="str">
        <f t="shared" si="1218"/>
        <v>NO</v>
      </c>
      <c r="R5370" t="str">
        <f t="shared" si="1219"/>
        <v>NO</v>
      </c>
      <c r="S5370">
        <v>40</v>
      </c>
      <c r="T5370" t="s">
        <v>354</v>
      </c>
      <c r="U5370" t="str">
        <f t="shared" si="1206"/>
        <v>Linnaean St</v>
      </c>
      <c r="W5370" t="str">
        <f t="shared" si="1207"/>
        <v/>
      </c>
      <c r="X5370" t="str">
        <f>IF(ISBLANK(S5370),"Intersection","Non-Intersection")</f>
        <v>Non-Intersection</v>
      </c>
      <c r="Y5370" t="s">
        <v>5792</v>
      </c>
      <c r="Z5370" t="str">
        <f t="shared" si="1208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09"/>
        <v>41275</v>
      </c>
      <c r="D5371" s="4">
        <f t="shared" si="1210"/>
        <v>0.50684931506849318</v>
      </c>
      <c r="E5371" s="3">
        <f t="shared" si="1211"/>
        <v>2013</v>
      </c>
      <c r="F5371" s="3">
        <f t="shared" si="1212"/>
        <v>7</v>
      </c>
      <c r="G5371" s="3">
        <f t="shared" si="1213"/>
        <v>5</v>
      </c>
      <c r="H5371" s="3">
        <f t="shared" si="1214"/>
        <v>15</v>
      </c>
      <c r="I5371" s="3">
        <f t="shared" si="1215"/>
        <v>0</v>
      </c>
      <c r="J5371" s="3">
        <f t="shared" si="1216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217"/>
        <v>YES</v>
      </c>
      <c r="Q5371" t="str">
        <f t="shared" si="1218"/>
        <v>NO</v>
      </c>
      <c r="R5371" t="str">
        <f t="shared" si="1219"/>
        <v>NO</v>
      </c>
      <c r="T5371" t="s">
        <v>203</v>
      </c>
      <c r="U5371" t="str">
        <f t="shared" si="1206"/>
        <v>Memorial Dr</v>
      </c>
      <c r="W5371" t="str">
        <f t="shared" si="1207"/>
        <v/>
      </c>
      <c r="X5371" t="str">
        <f>IF(ISBLANK(S5371),"Intersection","Non-Intersection")</f>
        <v>Intersection</v>
      </c>
      <c r="Y5371" t="s">
        <v>2085</v>
      </c>
      <c r="Z5371" t="str">
        <f t="shared" si="1208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09"/>
        <v>41275</v>
      </c>
      <c r="D5372" s="4">
        <f t="shared" si="1210"/>
        <v>0.50684931506849318</v>
      </c>
      <c r="E5372" s="3">
        <f t="shared" si="1211"/>
        <v>2013</v>
      </c>
      <c r="F5372" s="3">
        <f t="shared" si="1212"/>
        <v>7</v>
      </c>
      <c r="G5372" s="3">
        <f t="shared" si="1213"/>
        <v>5</v>
      </c>
      <c r="H5372" s="3">
        <f t="shared" si="1214"/>
        <v>6</v>
      </c>
      <c r="I5372" s="3">
        <f t="shared" si="1215"/>
        <v>0</v>
      </c>
      <c r="J5372" s="3">
        <f t="shared" si="1216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217"/>
        <v>YES</v>
      </c>
      <c r="Q5372" t="str">
        <f t="shared" si="1218"/>
        <v>NO</v>
      </c>
      <c r="R5372" t="str">
        <f t="shared" si="1219"/>
        <v>YES</v>
      </c>
      <c r="T5372" t="s">
        <v>199</v>
      </c>
      <c r="U5372" t="str">
        <f t="shared" si="1206"/>
        <v>Brattle St</v>
      </c>
      <c r="V5372" t="s">
        <v>791</v>
      </c>
      <c r="W5372" t="str">
        <f t="shared" si="1207"/>
        <v>Palmer St</v>
      </c>
      <c r="X5372" t="str">
        <f>IF(ISBLANK(S5372),"Intersection","Non-Intersection")</f>
        <v>Intersection</v>
      </c>
      <c r="Y5372" t="s">
        <v>792</v>
      </c>
      <c r="Z5372" t="str">
        <f t="shared" si="1208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09"/>
        <v>41275</v>
      </c>
      <c r="D5373" s="4">
        <f t="shared" si="1210"/>
        <v>0.50958904109589043</v>
      </c>
      <c r="E5373" s="3">
        <f t="shared" si="1211"/>
        <v>2013</v>
      </c>
      <c r="F5373" s="3">
        <f t="shared" si="1212"/>
        <v>7</v>
      </c>
      <c r="G5373" s="3">
        <f t="shared" si="1213"/>
        <v>6</v>
      </c>
      <c r="H5373" s="3">
        <f t="shared" si="1214"/>
        <v>17</v>
      </c>
      <c r="I5373" s="3">
        <f t="shared" si="1215"/>
        <v>39</v>
      </c>
      <c r="J5373" s="3">
        <f t="shared" si="1216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217"/>
        <v>YES</v>
      </c>
      <c r="Q5373" t="str">
        <f t="shared" si="1218"/>
        <v>NO</v>
      </c>
      <c r="R5373" t="str">
        <f t="shared" si="1219"/>
        <v>NO</v>
      </c>
      <c r="S5373">
        <v>40</v>
      </c>
      <c r="T5373" t="s">
        <v>2580</v>
      </c>
      <c r="U5373" t="str">
        <f t="shared" si="1206"/>
        <v>Land Blvd</v>
      </c>
      <c r="W5373" t="str">
        <f t="shared" si="1207"/>
        <v/>
      </c>
      <c r="X5373" t="str">
        <f>IF(ISBLANK(S5373),"Intersection","Non-Intersection")</f>
        <v>Non-Intersection</v>
      </c>
      <c r="Y5373" t="s">
        <v>5794</v>
      </c>
      <c r="Z5373" t="str">
        <f t="shared" si="1208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09"/>
        <v>41275</v>
      </c>
      <c r="D5374" s="4">
        <f t="shared" si="1210"/>
        <v>0.50958904109589043</v>
      </c>
      <c r="E5374" s="3">
        <f t="shared" si="1211"/>
        <v>2013</v>
      </c>
      <c r="F5374" s="3">
        <f t="shared" si="1212"/>
        <v>7</v>
      </c>
      <c r="G5374" s="3">
        <f t="shared" si="1213"/>
        <v>6</v>
      </c>
      <c r="H5374" s="3">
        <f t="shared" si="1214"/>
        <v>22</v>
      </c>
      <c r="I5374" s="3">
        <f t="shared" si="1215"/>
        <v>34</v>
      </c>
      <c r="J5374" s="3">
        <f t="shared" si="1216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217"/>
        <v>YES</v>
      </c>
      <c r="Q5374" t="str">
        <f t="shared" si="1218"/>
        <v>NO</v>
      </c>
      <c r="R5374" t="str">
        <f t="shared" si="1219"/>
        <v>NO</v>
      </c>
      <c r="T5374" t="s">
        <v>14</v>
      </c>
      <c r="U5374" t="str">
        <f t="shared" si="1206"/>
        <v>Massachusetts Ave</v>
      </c>
      <c r="V5374" t="s">
        <v>2012</v>
      </c>
      <c r="W5374" t="str">
        <f t="shared" si="1207"/>
        <v>Mellen St</v>
      </c>
      <c r="X5374" t="str">
        <f>IF(ISBLANK(S5374),"Intersection","Non-Intersection")</f>
        <v>Intersection</v>
      </c>
      <c r="Y5374" t="s">
        <v>2013</v>
      </c>
      <c r="Z5374" t="str">
        <f t="shared" si="1208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09"/>
        <v>41275</v>
      </c>
      <c r="D5375" s="4">
        <f t="shared" si="1210"/>
        <v>0.51232876712328768</v>
      </c>
      <c r="E5375" s="3">
        <f t="shared" si="1211"/>
        <v>2013</v>
      </c>
      <c r="F5375" s="3">
        <f t="shared" si="1212"/>
        <v>7</v>
      </c>
      <c r="G5375" s="3">
        <f t="shared" si="1213"/>
        <v>7</v>
      </c>
      <c r="H5375" s="3">
        <f t="shared" si="1214"/>
        <v>18</v>
      </c>
      <c r="I5375" s="3">
        <f t="shared" si="1215"/>
        <v>27</v>
      </c>
      <c r="J5375" s="3">
        <f t="shared" si="1216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217"/>
        <v>YES</v>
      </c>
      <c r="Q5375" t="str">
        <f t="shared" si="1218"/>
        <v>NO</v>
      </c>
      <c r="R5375" t="str">
        <f t="shared" si="1219"/>
        <v>NO</v>
      </c>
      <c r="S5375">
        <v>0</v>
      </c>
      <c r="T5375" t="s">
        <v>199</v>
      </c>
      <c r="U5375" t="str">
        <f t="shared" si="1206"/>
        <v>Brattle St</v>
      </c>
      <c r="W5375" t="str">
        <f t="shared" si="1207"/>
        <v/>
      </c>
      <c r="X5375" t="str">
        <f>IF(ISBLANK(S5375),"Intersection","Non-Intersection")</f>
        <v>Non-Intersection</v>
      </c>
      <c r="Y5375" t="s">
        <v>5796</v>
      </c>
      <c r="Z5375" t="str">
        <f t="shared" si="1208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09"/>
        <v>41275</v>
      </c>
      <c r="D5376" s="4">
        <f t="shared" si="1210"/>
        <v>0.51232876712328768</v>
      </c>
      <c r="E5376" s="3">
        <f t="shared" si="1211"/>
        <v>2013</v>
      </c>
      <c r="F5376" s="3">
        <f t="shared" si="1212"/>
        <v>7</v>
      </c>
      <c r="G5376" s="3">
        <f t="shared" si="1213"/>
        <v>7</v>
      </c>
      <c r="H5376" s="3">
        <f t="shared" si="1214"/>
        <v>23</v>
      </c>
      <c r="I5376" s="3">
        <f t="shared" si="1215"/>
        <v>4</v>
      </c>
      <c r="J5376" s="3">
        <f t="shared" si="1216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217"/>
        <v>YES</v>
      </c>
      <c r="Q5376" t="str">
        <f t="shared" si="1218"/>
        <v>NO</v>
      </c>
      <c r="R5376" t="str">
        <f t="shared" si="1219"/>
        <v>NO</v>
      </c>
      <c r="T5376" t="s">
        <v>453</v>
      </c>
      <c r="U5376" t="str">
        <f t="shared" si="1206"/>
        <v>Brookline St</v>
      </c>
      <c r="V5376" t="s">
        <v>69</v>
      </c>
      <c r="W5376" t="str">
        <f t="shared" si="1207"/>
        <v>Henry St</v>
      </c>
      <c r="X5376" t="str">
        <f>IF(ISBLANK(S5376),"Intersection","Non-Intersection")</f>
        <v>Intersection</v>
      </c>
      <c r="Y5376" t="s">
        <v>1818</v>
      </c>
      <c r="Z5376" t="str">
        <f t="shared" si="1208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09"/>
        <v>41275</v>
      </c>
      <c r="D5377" s="4">
        <f t="shared" si="1210"/>
        <v>0.51506849315068493</v>
      </c>
      <c r="E5377" s="3">
        <f t="shared" si="1211"/>
        <v>2013</v>
      </c>
      <c r="F5377" s="3">
        <f t="shared" si="1212"/>
        <v>7</v>
      </c>
      <c r="G5377" s="3">
        <f t="shared" si="1213"/>
        <v>8</v>
      </c>
      <c r="H5377" s="3">
        <f t="shared" si="1214"/>
        <v>12</v>
      </c>
      <c r="I5377" s="3">
        <f t="shared" si="1215"/>
        <v>59</v>
      </c>
      <c r="J5377" s="3">
        <f t="shared" si="1216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217"/>
        <v>YES</v>
      </c>
      <c r="Q5377" t="str">
        <f t="shared" si="1218"/>
        <v>NO</v>
      </c>
      <c r="R5377" t="str">
        <f t="shared" si="1219"/>
        <v>NO</v>
      </c>
      <c r="S5377">
        <v>409</v>
      </c>
      <c r="T5377" t="s">
        <v>745</v>
      </c>
      <c r="U5377" t="str">
        <f t="shared" si="1206"/>
        <v>Norfolk St</v>
      </c>
      <c r="W5377" t="str">
        <f t="shared" si="1207"/>
        <v/>
      </c>
      <c r="X5377" t="str">
        <f>IF(ISBLANK(S5377),"Intersection","Non-Intersection")</f>
        <v>Non-Intersection</v>
      </c>
      <c r="Y5377" t="s">
        <v>5061</v>
      </c>
      <c r="Z5377" t="str">
        <f t="shared" si="1208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09"/>
        <v>41275</v>
      </c>
      <c r="D5378" s="4">
        <f t="shared" si="1210"/>
        <v>0.51506849315068493</v>
      </c>
      <c r="E5378" s="3">
        <f t="shared" si="1211"/>
        <v>2013</v>
      </c>
      <c r="F5378" s="3">
        <f t="shared" si="1212"/>
        <v>7</v>
      </c>
      <c r="G5378" s="3">
        <f t="shared" si="1213"/>
        <v>8</v>
      </c>
      <c r="H5378" s="3">
        <f t="shared" si="1214"/>
        <v>17</v>
      </c>
      <c r="I5378" s="3">
        <f t="shared" si="1215"/>
        <v>39</v>
      </c>
      <c r="J5378" s="3">
        <f t="shared" si="1216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217"/>
        <v>YES</v>
      </c>
      <c r="Q5378" t="str">
        <f t="shared" si="1218"/>
        <v>YES</v>
      </c>
      <c r="R5378" t="str">
        <f t="shared" si="1219"/>
        <v>NO</v>
      </c>
      <c r="T5378" t="s">
        <v>14</v>
      </c>
      <c r="U5378" t="str">
        <f t="shared" si="1206"/>
        <v>Massachusetts Ave</v>
      </c>
      <c r="V5378" t="s">
        <v>1272</v>
      </c>
      <c r="W5378" t="str">
        <f t="shared" si="1207"/>
        <v>Forest St</v>
      </c>
      <c r="X5378" t="str">
        <f>IF(ISBLANK(S5378),"Intersection","Non-Intersection")</f>
        <v>Intersection</v>
      </c>
      <c r="Y5378" t="s">
        <v>1273</v>
      </c>
      <c r="Z5378" t="str">
        <f t="shared" si="1208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09"/>
        <v>41275</v>
      </c>
      <c r="D5379" s="4">
        <f t="shared" si="1210"/>
        <v>0.51780821917808217</v>
      </c>
      <c r="E5379" s="3">
        <f t="shared" si="1211"/>
        <v>2013</v>
      </c>
      <c r="F5379" s="3">
        <f t="shared" si="1212"/>
        <v>7</v>
      </c>
      <c r="G5379" s="3">
        <f t="shared" si="1213"/>
        <v>9</v>
      </c>
      <c r="H5379" s="3">
        <f t="shared" si="1214"/>
        <v>12</v>
      </c>
      <c r="I5379" s="3">
        <f t="shared" si="1215"/>
        <v>0</v>
      </c>
      <c r="J5379" s="3">
        <f t="shared" si="1216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217"/>
        <v>YES</v>
      </c>
      <c r="Q5379" t="str">
        <f t="shared" si="1218"/>
        <v>NO</v>
      </c>
      <c r="R5379" t="str">
        <f t="shared" si="1219"/>
        <v>NO</v>
      </c>
      <c r="T5379" t="s">
        <v>166</v>
      </c>
      <c r="U5379" t="str">
        <f t="shared" ref="U5379:U5442" si="1220">TRIM(PROPER(T5379))</f>
        <v>Oxford Ave</v>
      </c>
      <c r="V5379" t="s">
        <v>57</v>
      </c>
      <c r="W5379" t="str">
        <f t="shared" ref="W5379:W5442" si="1221">TRIM(PROPER(V5379))</f>
        <v>Everett St</v>
      </c>
      <c r="X5379" t="str">
        <f>IF(ISBLANK(S5379),"Intersection","Non-Intersection")</f>
        <v>Intersection</v>
      </c>
      <c r="Y5379" t="s">
        <v>264</v>
      </c>
      <c r="Z5379" t="str">
        <f t="shared" ref="Z5379:Z5442" si="1222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09"/>
        <v>41275</v>
      </c>
      <c r="D5380" s="4">
        <f t="shared" si="1210"/>
        <v>0.51780821917808217</v>
      </c>
      <c r="E5380" s="3">
        <f t="shared" si="1211"/>
        <v>2013</v>
      </c>
      <c r="F5380" s="3">
        <f t="shared" si="1212"/>
        <v>7</v>
      </c>
      <c r="G5380" s="3">
        <f t="shared" si="1213"/>
        <v>9</v>
      </c>
      <c r="H5380" s="3">
        <f t="shared" si="1214"/>
        <v>12</v>
      </c>
      <c r="I5380" s="3">
        <f t="shared" si="1215"/>
        <v>59</v>
      </c>
      <c r="J5380" s="3">
        <f t="shared" si="1216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217"/>
        <v>YES</v>
      </c>
      <c r="Q5380" t="str">
        <f t="shared" si="1218"/>
        <v>NO</v>
      </c>
      <c r="R5380" t="str">
        <f t="shared" si="1219"/>
        <v>YES</v>
      </c>
      <c r="T5380" t="s">
        <v>1438</v>
      </c>
      <c r="U5380" t="str">
        <f t="shared" si="1220"/>
        <v>Dunster St</v>
      </c>
      <c r="W5380" t="str">
        <f t="shared" si="1221"/>
        <v/>
      </c>
      <c r="X5380" t="str">
        <f>IF(ISBLANK(S5380),"Intersection","Non-Intersection")</f>
        <v>Intersection</v>
      </c>
      <c r="Y5380" t="s">
        <v>2442</v>
      </c>
      <c r="Z5380" t="str">
        <f t="shared" si="1222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09"/>
        <v>41275</v>
      </c>
      <c r="D5381" s="4">
        <f t="shared" si="1210"/>
        <v>0.51780821917808217</v>
      </c>
      <c r="E5381" s="3">
        <f t="shared" si="1211"/>
        <v>2013</v>
      </c>
      <c r="F5381" s="3">
        <f t="shared" si="1212"/>
        <v>7</v>
      </c>
      <c r="G5381" s="3">
        <f t="shared" si="1213"/>
        <v>9</v>
      </c>
      <c r="H5381" s="3">
        <f t="shared" si="1214"/>
        <v>13</v>
      </c>
      <c r="I5381" s="3">
        <f t="shared" si="1215"/>
        <v>22</v>
      </c>
      <c r="J5381" s="3">
        <f t="shared" si="1216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217"/>
        <v>YES</v>
      </c>
      <c r="Q5381" t="str">
        <f t="shared" si="1218"/>
        <v>NO</v>
      </c>
      <c r="R5381" t="str">
        <f t="shared" si="1219"/>
        <v>NO</v>
      </c>
      <c r="T5381" t="s">
        <v>14</v>
      </c>
      <c r="U5381" t="str">
        <f t="shared" si="1220"/>
        <v>Massachusetts Ave</v>
      </c>
      <c r="V5381" t="s">
        <v>178</v>
      </c>
      <c r="W5381" t="str">
        <f t="shared" si="1221"/>
        <v>Pleasant St</v>
      </c>
      <c r="X5381" t="str">
        <f>IF(ISBLANK(S5381),"Intersection","Non-Intersection")</f>
        <v>Intersection</v>
      </c>
      <c r="Y5381" t="s">
        <v>1866</v>
      </c>
      <c r="Z5381" t="str">
        <f t="shared" si="1222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09"/>
        <v>41275</v>
      </c>
      <c r="D5382" s="4">
        <f t="shared" si="1210"/>
        <v>0.51780821917808217</v>
      </c>
      <c r="E5382" s="3">
        <f t="shared" si="1211"/>
        <v>2013</v>
      </c>
      <c r="F5382" s="3">
        <f t="shared" si="1212"/>
        <v>7</v>
      </c>
      <c r="G5382" s="3">
        <f t="shared" si="1213"/>
        <v>9</v>
      </c>
      <c r="H5382" s="3">
        <f t="shared" si="1214"/>
        <v>18</v>
      </c>
      <c r="I5382" s="3">
        <f t="shared" si="1215"/>
        <v>0</v>
      </c>
      <c r="J5382" s="3">
        <f t="shared" si="1216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217"/>
        <v>YES</v>
      </c>
      <c r="Q5382" t="str">
        <f t="shared" si="1218"/>
        <v>NO</v>
      </c>
      <c r="R5382" t="str">
        <f t="shared" si="1219"/>
        <v>NO</v>
      </c>
      <c r="T5382" t="s">
        <v>326</v>
      </c>
      <c r="U5382" t="str">
        <f t="shared" si="1220"/>
        <v>Jfk St</v>
      </c>
      <c r="V5382" t="s">
        <v>325</v>
      </c>
      <c r="W5382" t="str">
        <f t="shared" si="1221"/>
        <v>Eliot St</v>
      </c>
      <c r="X5382" t="str">
        <f>IF(ISBLANK(S5382),"Intersection","Non-Intersection")</f>
        <v>Intersection</v>
      </c>
      <c r="Y5382" t="s">
        <v>1420</v>
      </c>
      <c r="Z5382" t="str">
        <f t="shared" si="1222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09"/>
        <v>41275</v>
      </c>
      <c r="D5383" s="4">
        <f t="shared" si="1210"/>
        <v>0.51780821917808217</v>
      </c>
      <c r="E5383" s="3">
        <f t="shared" si="1211"/>
        <v>2013</v>
      </c>
      <c r="F5383" s="3">
        <f t="shared" si="1212"/>
        <v>7</v>
      </c>
      <c r="G5383" s="3">
        <f t="shared" si="1213"/>
        <v>9</v>
      </c>
      <c r="H5383" s="3">
        <f t="shared" si="1214"/>
        <v>17</v>
      </c>
      <c r="I5383" s="3">
        <f t="shared" si="1215"/>
        <v>29</v>
      </c>
      <c r="J5383" s="3">
        <f t="shared" si="1216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217"/>
        <v>YES</v>
      </c>
      <c r="Q5383" t="str">
        <f t="shared" si="1218"/>
        <v>NO</v>
      </c>
      <c r="R5383" t="str">
        <f t="shared" si="1219"/>
        <v>NO</v>
      </c>
      <c r="S5383">
        <v>411</v>
      </c>
      <c r="T5383" t="s">
        <v>108</v>
      </c>
      <c r="U5383" t="str">
        <f t="shared" si="1220"/>
        <v>Franklin St</v>
      </c>
      <c r="W5383" t="str">
        <f t="shared" si="1221"/>
        <v/>
      </c>
      <c r="X5383" t="str">
        <f>IF(ISBLANK(S5383),"Intersection","Non-Intersection")</f>
        <v>Non-Intersection</v>
      </c>
      <c r="Y5383" t="s">
        <v>5798</v>
      </c>
      <c r="Z5383" t="str">
        <f t="shared" si="1222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09"/>
        <v>41275</v>
      </c>
      <c r="D5384" s="4">
        <f t="shared" si="1210"/>
        <v>0.52054794520547942</v>
      </c>
      <c r="E5384" s="3">
        <f t="shared" si="1211"/>
        <v>2013</v>
      </c>
      <c r="F5384" s="3">
        <f t="shared" si="1212"/>
        <v>7</v>
      </c>
      <c r="G5384" s="3">
        <f t="shared" si="1213"/>
        <v>10</v>
      </c>
      <c r="H5384" s="3">
        <f t="shared" si="1214"/>
        <v>7</v>
      </c>
      <c r="I5384" s="3">
        <f t="shared" si="1215"/>
        <v>50</v>
      </c>
      <c r="J5384" s="3">
        <f t="shared" si="1216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217"/>
        <v>YES</v>
      </c>
      <c r="Q5384" t="str">
        <f t="shared" si="1218"/>
        <v>YES</v>
      </c>
      <c r="R5384" t="str">
        <f t="shared" si="1219"/>
        <v>NO</v>
      </c>
      <c r="S5384">
        <v>99</v>
      </c>
      <c r="T5384" t="s">
        <v>45</v>
      </c>
      <c r="U5384" t="str">
        <f t="shared" si="1220"/>
        <v>Sherman St</v>
      </c>
      <c r="W5384" t="str">
        <f t="shared" si="1221"/>
        <v/>
      </c>
      <c r="X5384" t="str">
        <f>IF(ISBLANK(S5384),"Intersection","Non-Intersection")</f>
        <v>Non-Intersection</v>
      </c>
      <c r="Y5384" t="s">
        <v>1266</v>
      </c>
      <c r="Z5384" t="str">
        <f t="shared" si="1222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09"/>
        <v>41275</v>
      </c>
      <c r="D5385" s="4">
        <f t="shared" si="1210"/>
        <v>0.52054794520547942</v>
      </c>
      <c r="E5385" s="3">
        <f t="shared" si="1211"/>
        <v>2013</v>
      </c>
      <c r="F5385" s="3">
        <f t="shared" si="1212"/>
        <v>7</v>
      </c>
      <c r="G5385" s="3">
        <f t="shared" si="1213"/>
        <v>10</v>
      </c>
      <c r="H5385" s="3">
        <f t="shared" si="1214"/>
        <v>9</v>
      </c>
      <c r="I5385" s="3">
        <f t="shared" si="1215"/>
        <v>1</v>
      </c>
      <c r="J5385" s="3">
        <f t="shared" si="1216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217"/>
        <v>YES</v>
      </c>
      <c r="Q5385" t="str">
        <f t="shared" si="1218"/>
        <v>YES</v>
      </c>
      <c r="R5385" t="str">
        <f t="shared" si="1219"/>
        <v>NO</v>
      </c>
      <c r="T5385" t="s">
        <v>202</v>
      </c>
      <c r="U5385" t="str">
        <f t="shared" si="1220"/>
        <v>Vassar St</v>
      </c>
      <c r="V5385" t="s">
        <v>14</v>
      </c>
      <c r="W5385" t="str">
        <f t="shared" si="1221"/>
        <v>Massachusetts Ave</v>
      </c>
      <c r="X5385" t="str">
        <f>IF(ISBLANK(S5385),"Intersection","Non-Intersection")</f>
        <v>Intersection</v>
      </c>
      <c r="Y5385" t="s">
        <v>222</v>
      </c>
      <c r="Z5385" t="str">
        <f t="shared" si="1222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09"/>
        <v>41275</v>
      </c>
      <c r="D5386" s="4">
        <f t="shared" si="1210"/>
        <v>0.52054794520547942</v>
      </c>
      <c r="E5386" s="3">
        <f t="shared" si="1211"/>
        <v>2013</v>
      </c>
      <c r="F5386" s="3">
        <f t="shared" si="1212"/>
        <v>7</v>
      </c>
      <c r="G5386" s="3">
        <f t="shared" si="1213"/>
        <v>10</v>
      </c>
      <c r="H5386" s="3">
        <f t="shared" si="1214"/>
        <v>12</v>
      </c>
      <c r="I5386" s="3">
        <f t="shared" si="1215"/>
        <v>0</v>
      </c>
      <c r="J5386" s="3">
        <f t="shared" si="1216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217"/>
        <v>YES</v>
      </c>
      <c r="Q5386" t="str">
        <f t="shared" si="1218"/>
        <v>NO</v>
      </c>
      <c r="R5386" t="str">
        <f t="shared" si="1219"/>
        <v>NO</v>
      </c>
      <c r="T5386" t="s">
        <v>1211</v>
      </c>
      <c r="U5386" t="str">
        <f t="shared" si="1220"/>
        <v>Mifflin Pl</v>
      </c>
      <c r="V5386" t="s">
        <v>198</v>
      </c>
      <c r="W5386" t="str">
        <f t="shared" si="1221"/>
        <v>Mount Auburn St</v>
      </c>
      <c r="X5386" t="str">
        <f>IF(ISBLANK(S5386),"Intersection","Non-Intersection")</f>
        <v>Intersection</v>
      </c>
      <c r="Y5386" t="s">
        <v>1212</v>
      </c>
      <c r="Z5386" t="str">
        <f t="shared" si="1222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09"/>
        <v>41275</v>
      </c>
      <c r="D5387" s="4">
        <f t="shared" si="1210"/>
        <v>0.52054794520547942</v>
      </c>
      <c r="E5387" s="3">
        <f t="shared" si="1211"/>
        <v>2013</v>
      </c>
      <c r="F5387" s="3">
        <f t="shared" si="1212"/>
        <v>7</v>
      </c>
      <c r="G5387" s="3">
        <f t="shared" si="1213"/>
        <v>10</v>
      </c>
      <c r="H5387" s="3">
        <f t="shared" si="1214"/>
        <v>5</v>
      </c>
      <c r="I5387" s="3">
        <f t="shared" si="1215"/>
        <v>29</v>
      </c>
      <c r="J5387" s="3">
        <f t="shared" si="1216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217"/>
        <v>YES</v>
      </c>
      <c r="Q5387" t="str">
        <f t="shared" si="1218"/>
        <v>NO</v>
      </c>
      <c r="R5387" t="str">
        <f t="shared" si="1219"/>
        <v>NO</v>
      </c>
      <c r="T5387" t="s">
        <v>19</v>
      </c>
      <c r="U5387" t="str">
        <f t="shared" si="1220"/>
        <v>Cambridge St</v>
      </c>
      <c r="V5387" t="s">
        <v>260</v>
      </c>
      <c r="W5387" t="str">
        <f t="shared" si="1221"/>
        <v>Third St</v>
      </c>
      <c r="X5387" t="str">
        <f>IF(ISBLANK(S5387),"Intersection","Non-Intersection")</f>
        <v>Intersection</v>
      </c>
      <c r="Y5387" t="s">
        <v>640</v>
      </c>
      <c r="Z5387" t="str">
        <f t="shared" si="1222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09"/>
        <v>41275</v>
      </c>
      <c r="D5388" s="4">
        <f t="shared" si="1210"/>
        <v>0.52328767123287667</v>
      </c>
      <c r="E5388" s="3">
        <f t="shared" si="1211"/>
        <v>2013</v>
      </c>
      <c r="F5388" s="3">
        <f t="shared" si="1212"/>
        <v>7</v>
      </c>
      <c r="G5388" s="3">
        <f t="shared" si="1213"/>
        <v>11</v>
      </c>
      <c r="H5388" s="3">
        <f t="shared" si="1214"/>
        <v>10</v>
      </c>
      <c r="I5388" s="3">
        <f t="shared" si="1215"/>
        <v>25</v>
      </c>
      <c r="J5388" s="3">
        <f t="shared" si="1216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217"/>
        <v>YES</v>
      </c>
      <c r="Q5388" t="str">
        <f t="shared" si="1218"/>
        <v>NO</v>
      </c>
      <c r="R5388" t="str">
        <f t="shared" si="1219"/>
        <v>NO</v>
      </c>
      <c r="S5388">
        <v>39</v>
      </c>
      <c r="T5388" t="s">
        <v>199</v>
      </c>
      <c r="U5388" t="str">
        <f t="shared" si="1220"/>
        <v>Brattle St</v>
      </c>
      <c r="W5388" t="str">
        <f t="shared" si="1221"/>
        <v/>
      </c>
      <c r="X5388" t="str">
        <f>IF(ISBLANK(S5388),"Intersection","Non-Intersection")</f>
        <v>Non-Intersection</v>
      </c>
      <c r="Y5388" t="s">
        <v>5800</v>
      </c>
      <c r="Z5388" t="str">
        <f t="shared" si="1222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09"/>
        <v>41275</v>
      </c>
      <c r="D5389" s="4">
        <f t="shared" si="1210"/>
        <v>0.52328767123287667</v>
      </c>
      <c r="E5389" s="3">
        <f t="shared" si="1211"/>
        <v>2013</v>
      </c>
      <c r="F5389" s="3">
        <f t="shared" si="1212"/>
        <v>7</v>
      </c>
      <c r="G5389" s="3">
        <f t="shared" si="1213"/>
        <v>11</v>
      </c>
      <c r="H5389" s="3">
        <f t="shared" si="1214"/>
        <v>20</v>
      </c>
      <c r="I5389" s="3">
        <f t="shared" si="1215"/>
        <v>45</v>
      </c>
      <c r="J5389" s="3">
        <f t="shared" si="1216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217"/>
        <v>YES</v>
      </c>
      <c r="Q5389" t="str">
        <f t="shared" si="1218"/>
        <v>NO</v>
      </c>
      <c r="R5389" t="str">
        <f t="shared" si="1219"/>
        <v>NO</v>
      </c>
      <c r="S5389">
        <v>85</v>
      </c>
      <c r="T5389" t="s">
        <v>2686</v>
      </c>
      <c r="U5389" t="str">
        <f t="shared" si="1220"/>
        <v>Bolton St</v>
      </c>
      <c r="W5389" t="str">
        <f t="shared" si="1221"/>
        <v/>
      </c>
      <c r="X5389" t="str">
        <f>IF(ISBLANK(S5389),"Intersection","Non-Intersection")</f>
        <v>Non-Intersection</v>
      </c>
      <c r="Y5389" t="s">
        <v>5802</v>
      </c>
      <c r="Z5389" t="str">
        <f t="shared" si="1222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09"/>
        <v>41275</v>
      </c>
      <c r="D5390" s="4">
        <f t="shared" si="1210"/>
        <v>0.52328767123287667</v>
      </c>
      <c r="E5390" s="3">
        <f t="shared" si="1211"/>
        <v>2013</v>
      </c>
      <c r="F5390" s="3">
        <f t="shared" si="1212"/>
        <v>7</v>
      </c>
      <c r="G5390" s="3">
        <f t="shared" si="1213"/>
        <v>11</v>
      </c>
      <c r="H5390" s="3">
        <f t="shared" si="1214"/>
        <v>22</v>
      </c>
      <c r="I5390" s="3">
        <f t="shared" si="1215"/>
        <v>30</v>
      </c>
      <c r="J5390" s="3">
        <f t="shared" si="1216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217"/>
        <v>YES</v>
      </c>
      <c r="Q5390" t="str">
        <f t="shared" si="1218"/>
        <v>NO</v>
      </c>
      <c r="R5390" t="str">
        <f t="shared" si="1219"/>
        <v>NO</v>
      </c>
      <c r="S5390">
        <v>87</v>
      </c>
      <c r="T5390" t="s">
        <v>985</v>
      </c>
      <c r="U5390" t="str">
        <f t="shared" si="1220"/>
        <v>Plymouth St</v>
      </c>
      <c r="W5390" t="str">
        <f t="shared" si="1221"/>
        <v/>
      </c>
      <c r="X5390" t="str">
        <f>IF(ISBLANK(S5390),"Intersection","Non-Intersection")</f>
        <v>Non-Intersection</v>
      </c>
      <c r="Y5390" t="s">
        <v>5804</v>
      </c>
      <c r="Z5390" t="str">
        <f t="shared" si="1222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09"/>
        <v>41275</v>
      </c>
      <c r="D5391" s="4">
        <f t="shared" si="1210"/>
        <v>0.52602739726027392</v>
      </c>
      <c r="E5391" s="3">
        <f t="shared" si="1211"/>
        <v>2013</v>
      </c>
      <c r="F5391" s="3">
        <f t="shared" si="1212"/>
        <v>7</v>
      </c>
      <c r="G5391" s="3">
        <f t="shared" si="1213"/>
        <v>12</v>
      </c>
      <c r="H5391" s="3">
        <f t="shared" si="1214"/>
        <v>16</v>
      </c>
      <c r="I5391" s="3">
        <f t="shared" si="1215"/>
        <v>43</v>
      </c>
      <c r="J5391" s="3">
        <f t="shared" si="1216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217"/>
        <v>YES</v>
      </c>
      <c r="Q5391" t="str">
        <f t="shared" si="1218"/>
        <v>YES</v>
      </c>
      <c r="R5391" t="str">
        <f t="shared" si="1219"/>
        <v>NO</v>
      </c>
      <c r="S5391">
        <v>204</v>
      </c>
      <c r="T5391" t="s">
        <v>342</v>
      </c>
      <c r="U5391" t="str">
        <f t="shared" si="1220"/>
        <v>Prospect St</v>
      </c>
      <c r="W5391" t="str">
        <f t="shared" si="1221"/>
        <v/>
      </c>
      <c r="X5391" t="str">
        <f>IF(ISBLANK(S5391),"Intersection","Non-Intersection")</f>
        <v>Non-Intersection</v>
      </c>
      <c r="Y5391" t="s">
        <v>5633</v>
      </c>
      <c r="Z5391" t="str">
        <f t="shared" si="1222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09"/>
        <v>41275</v>
      </c>
      <c r="D5392" s="4">
        <f t="shared" si="1210"/>
        <v>0.52876712328767128</v>
      </c>
      <c r="E5392" s="3">
        <f t="shared" si="1211"/>
        <v>2013</v>
      </c>
      <c r="F5392" s="3">
        <f t="shared" si="1212"/>
        <v>7</v>
      </c>
      <c r="G5392" s="3">
        <f t="shared" si="1213"/>
        <v>13</v>
      </c>
      <c r="H5392" s="3">
        <f t="shared" si="1214"/>
        <v>11</v>
      </c>
      <c r="I5392" s="3">
        <f t="shared" si="1215"/>
        <v>39</v>
      </c>
      <c r="J5392" s="3">
        <f t="shared" si="1216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217"/>
        <v>YES</v>
      </c>
      <c r="Q5392" t="str">
        <f t="shared" si="1218"/>
        <v>NO</v>
      </c>
      <c r="R5392" t="str">
        <f t="shared" si="1219"/>
        <v>NO</v>
      </c>
      <c r="S5392">
        <v>108</v>
      </c>
      <c r="T5392" t="s">
        <v>66</v>
      </c>
      <c r="U5392" t="str">
        <f t="shared" si="1220"/>
        <v>Dudley St</v>
      </c>
      <c r="W5392" t="str">
        <f t="shared" si="1221"/>
        <v/>
      </c>
      <c r="X5392" t="str">
        <f>IF(ISBLANK(S5392),"Intersection","Non-Intersection")</f>
        <v>Non-Intersection</v>
      </c>
      <c r="Y5392" t="s">
        <v>5806</v>
      </c>
      <c r="Z5392" t="str">
        <f t="shared" si="1222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09"/>
        <v>41275</v>
      </c>
      <c r="D5393" s="4">
        <f t="shared" si="1210"/>
        <v>0.53150684931506853</v>
      </c>
      <c r="E5393" s="3">
        <f t="shared" si="1211"/>
        <v>2013</v>
      </c>
      <c r="F5393" s="3">
        <f t="shared" si="1212"/>
        <v>7</v>
      </c>
      <c r="G5393" s="3">
        <f t="shared" si="1213"/>
        <v>14</v>
      </c>
      <c r="H5393" s="3">
        <f t="shared" si="1214"/>
        <v>9</v>
      </c>
      <c r="I5393" s="3">
        <f t="shared" si="1215"/>
        <v>59</v>
      </c>
      <c r="J5393" s="3">
        <f t="shared" si="1216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217"/>
        <v>YES</v>
      </c>
      <c r="Q5393" t="str">
        <f t="shared" si="1218"/>
        <v>NO</v>
      </c>
      <c r="R5393" t="str">
        <f t="shared" si="1219"/>
        <v>NO</v>
      </c>
      <c r="S5393">
        <v>256</v>
      </c>
      <c r="T5393" t="s">
        <v>27</v>
      </c>
      <c r="U5393" t="str">
        <f t="shared" si="1220"/>
        <v>Western Ave</v>
      </c>
      <c r="W5393" t="str">
        <f t="shared" si="1221"/>
        <v/>
      </c>
      <c r="X5393" t="str">
        <f>IF(ISBLANK(S5393),"Intersection","Non-Intersection")</f>
        <v>Non-Intersection</v>
      </c>
      <c r="Y5393" t="s">
        <v>5808</v>
      </c>
      <c r="Z5393" t="str">
        <f t="shared" si="1222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09"/>
        <v>41275</v>
      </c>
      <c r="D5394" s="4">
        <f t="shared" si="1210"/>
        <v>0.53150684931506853</v>
      </c>
      <c r="E5394" s="3">
        <f t="shared" si="1211"/>
        <v>2013</v>
      </c>
      <c r="F5394" s="3">
        <f t="shared" si="1212"/>
        <v>7</v>
      </c>
      <c r="G5394" s="3">
        <f t="shared" si="1213"/>
        <v>14</v>
      </c>
      <c r="H5394" s="3">
        <f t="shared" si="1214"/>
        <v>19</v>
      </c>
      <c r="I5394" s="3">
        <f t="shared" si="1215"/>
        <v>15</v>
      </c>
      <c r="J5394" s="3">
        <f t="shared" si="1216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217"/>
        <v>YES</v>
      </c>
      <c r="Q5394" t="str">
        <f t="shared" si="1218"/>
        <v>NO</v>
      </c>
      <c r="R5394" t="str">
        <f t="shared" si="1219"/>
        <v>NO</v>
      </c>
      <c r="S5394">
        <v>215</v>
      </c>
      <c r="T5394" t="s">
        <v>170</v>
      </c>
      <c r="U5394" t="str">
        <f t="shared" si="1220"/>
        <v>Alewife Brook Pky</v>
      </c>
      <c r="W5394" t="str">
        <f t="shared" si="1221"/>
        <v/>
      </c>
      <c r="X5394" t="str">
        <f>IF(ISBLANK(S5394),"Intersection","Non-Intersection")</f>
        <v>Non-Intersection</v>
      </c>
      <c r="Y5394" t="s">
        <v>4750</v>
      </c>
      <c r="Z5394" t="str">
        <f t="shared" si="1222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09"/>
        <v>41275</v>
      </c>
      <c r="D5395" s="4">
        <f t="shared" si="1210"/>
        <v>0.53150684931506853</v>
      </c>
      <c r="E5395" s="3">
        <f t="shared" si="1211"/>
        <v>2013</v>
      </c>
      <c r="F5395" s="3">
        <f t="shared" si="1212"/>
        <v>7</v>
      </c>
      <c r="G5395" s="3">
        <f t="shared" si="1213"/>
        <v>14</v>
      </c>
      <c r="H5395" s="3">
        <f t="shared" si="1214"/>
        <v>21</v>
      </c>
      <c r="I5395" s="3">
        <f t="shared" si="1215"/>
        <v>49</v>
      </c>
      <c r="J5395" s="3">
        <f t="shared" si="1216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217"/>
        <v>YES</v>
      </c>
      <c r="Q5395" t="str">
        <f t="shared" si="1218"/>
        <v>NO</v>
      </c>
      <c r="R5395" t="str">
        <f t="shared" si="1219"/>
        <v>NO</v>
      </c>
      <c r="T5395" t="s">
        <v>32</v>
      </c>
      <c r="U5395" t="str">
        <f t="shared" si="1220"/>
        <v>Main St</v>
      </c>
      <c r="V5395" t="s">
        <v>796</v>
      </c>
      <c r="W5395" t="str">
        <f t="shared" si="1221"/>
        <v>Portland St</v>
      </c>
      <c r="X5395" t="str">
        <f>IF(ISBLANK(S5395),"Intersection","Non-Intersection")</f>
        <v>Intersection</v>
      </c>
      <c r="Y5395" t="s">
        <v>932</v>
      </c>
      <c r="Z5395" t="str">
        <f t="shared" si="1222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09"/>
        <v>41275</v>
      </c>
      <c r="D5396" s="4">
        <f t="shared" si="1210"/>
        <v>0.53698630136986303</v>
      </c>
      <c r="E5396" s="3">
        <f t="shared" si="1211"/>
        <v>2013</v>
      </c>
      <c r="F5396" s="3">
        <f t="shared" si="1212"/>
        <v>7</v>
      </c>
      <c r="G5396" s="3">
        <f t="shared" si="1213"/>
        <v>16</v>
      </c>
      <c r="H5396" s="3">
        <f t="shared" si="1214"/>
        <v>18</v>
      </c>
      <c r="I5396" s="3">
        <f t="shared" si="1215"/>
        <v>33</v>
      </c>
      <c r="J5396" s="3">
        <f t="shared" si="1216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217"/>
        <v>YES</v>
      </c>
      <c r="Q5396" t="str">
        <f t="shared" si="1218"/>
        <v>NO</v>
      </c>
      <c r="R5396" t="str">
        <f t="shared" si="1219"/>
        <v>NO</v>
      </c>
      <c r="S5396">
        <v>214</v>
      </c>
      <c r="T5396" t="s">
        <v>42</v>
      </c>
      <c r="U5396" t="str">
        <f t="shared" si="1220"/>
        <v>Putnam Ave</v>
      </c>
      <c r="W5396" t="str">
        <f t="shared" si="1221"/>
        <v/>
      </c>
      <c r="X5396" t="str">
        <f>IF(ISBLANK(S5396),"Intersection","Non-Intersection")</f>
        <v>Non-Intersection</v>
      </c>
      <c r="Y5396" t="s">
        <v>5810</v>
      </c>
      <c r="Z5396" t="str">
        <f t="shared" si="1222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09"/>
        <v>41275</v>
      </c>
      <c r="D5397" s="4">
        <f t="shared" si="1210"/>
        <v>0.53698630136986303</v>
      </c>
      <c r="E5397" s="3">
        <f t="shared" si="1211"/>
        <v>2013</v>
      </c>
      <c r="F5397" s="3">
        <f t="shared" si="1212"/>
        <v>7</v>
      </c>
      <c r="G5397" s="3">
        <f t="shared" si="1213"/>
        <v>16</v>
      </c>
      <c r="H5397" s="3">
        <f t="shared" si="1214"/>
        <v>20</v>
      </c>
      <c r="I5397" s="3">
        <f t="shared" si="1215"/>
        <v>0</v>
      </c>
      <c r="J5397" s="3">
        <f t="shared" si="1216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217"/>
        <v>YES</v>
      </c>
      <c r="Q5397" t="str">
        <f t="shared" si="1218"/>
        <v>NO</v>
      </c>
      <c r="R5397" t="str">
        <f t="shared" si="1219"/>
        <v>NO</v>
      </c>
      <c r="T5397" t="s">
        <v>14</v>
      </c>
      <c r="U5397" t="str">
        <f t="shared" si="1220"/>
        <v>Massachusetts Ave</v>
      </c>
      <c r="V5397" t="s">
        <v>524</v>
      </c>
      <c r="W5397" t="str">
        <f t="shared" si="1221"/>
        <v>Blake St</v>
      </c>
      <c r="X5397" t="str">
        <f>IF(ISBLANK(S5397),"Intersection","Non-Intersection")</f>
        <v>Intersection</v>
      </c>
      <c r="Y5397" t="s">
        <v>3291</v>
      </c>
      <c r="Z5397" t="str">
        <f t="shared" si="1222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09"/>
        <v>41275</v>
      </c>
      <c r="D5398" s="4">
        <f t="shared" si="1210"/>
        <v>0.53698630136986303</v>
      </c>
      <c r="E5398" s="3">
        <f t="shared" si="1211"/>
        <v>2013</v>
      </c>
      <c r="F5398" s="3">
        <f t="shared" si="1212"/>
        <v>7</v>
      </c>
      <c r="G5398" s="3">
        <f t="shared" si="1213"/>
        <v>16</v>
      </c>
      <c r="H5398" s="3">
        <f t="shared" si="1214"/>
        <v>19</v>
      </c>
      <c r="I5398" s="3">
        <f t="shared" si="1215"/>
        <v>30</v>
      </c>
      <c r="J5398" s="3">
        <f t="shared" si="1216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217"/>
        <v>YES</v>
      </c>
      <c r="Q5398" t="str">
        <f t="shared" si="1218"/>
        <v>NO</v>
      </c>
      <c r="R5398" t="str">
        <f t="shared" si="1219"/>
        <v>NO</v>
      </c>
      <c r="T5398" t="s">
        <v>198</v>
      </c>
      <c r="U5398" t="str">
        <f t="shared" si="1220"/>
        <v>Mount Auburn St</v>
      </c>
      <c r="V5398" t="s">
        <v>2532</v>
      </c>
      <c r="W5398" t="str">
        <f t="shared" si="1221"/>
        <v>Ash St</v>
      </c>
      <c r="X5398" t="str">
        <f>IF(ISBLANK(S5398),"Intersection","Non-Intersection")</f>
        <v>Intersection</v>
      </c>
      <c r="Y5398" t="s">
        <v>2888</v>
      </c>
      <c r="Z5398" t="str">
        <f t="shared" si="1222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09"/>
        <v>41275</v>
      </c>
      <c r="D5399" s="4">
        <f t="shared" si="1210"/>
        <v>0.53698630136986303</v>
      </c>
      <c r="E5399" s="3">
        <f t="shared" si="1211"/>
        <v>2013</v>
      </c>
      <c r="F5399" s="3">
        <f t="shared" si="1212"/>
        <v>7</v>
      </c>
      <c r="G5399" s="3">
        <f t="shared" si="1213"/>
        <v>16</v>
      </c>
      <c r="H5399" s="3">
        <f t="shared" si="1214"/>
        <v>9</v>
      </c>
      <c r="I5399" s="3">
        <f t="shared" si="1215"/>
        <v>4</v>
      </c>
      <c r="J5399" s="3">
        <f t="shared" si="1216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217"/>
        <v>YES</v>
      </c>
      <c r="Q5399" t="str">
        <f t="shared" si="1218"/>
        <v>NO</v>
      </c>
      <c r="R5399" t="str">
        <f t="shared" si="1219"/>
        <v>NO</v>
      </c>
      <c r="T5399" t="s">
        <v>14</v>
      </c>
      <c r="U5399" t="str">
        <f t="shared" si="1220"/>
        <v>Massachusetts Ave</v>
      </c>
      <c r="V5399" t="s">
        <v>487</v>
      </c>
      <c r="W5399" t="str">
        <f t="shared" si="1221"/>
        <v>Beech St</v>
      </c>
      <c r="X5399" t="str">
        <f>IF(ISBLANK(S5399),"Intersection","Non-Intersection")</f>
        <v>Intersection</v>
      </c>
      <c r="Y5399" t="s">
        <v>787</v>
      </c>
      <c r="Z5399" t="str">
        <f t="shared" si="1222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09"/>
        <v>41275</v>
      </c>
      <c r="D5400" s="4">
        <f t="shared" si="1210"/>
        <v>0.53698630136986303</v>
      </c>
      <c r="E5400" s="3">
        <f t="shared" si="1211"/>
        <v>2013</v>
      </c>
      <c r="F5400" s="3">
        <f t="shared" si="1212"/>
        <v>7</v>
      </c>
      <c r="G5400" s="3">
        <f t="shared" si="1213"/>
        <v>16</v>
      </c>
      <c r="H5400" s="3">
        <f t="shared" si="1214"/>
        <v>12</v>
      </c>
      <c r="I5400" s="3">
        <f t="shared" si="1215"/>
        <v>59</v>
      </c>
      <c r="J5400" s="3">
        <f t="shared" si="1216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217"/>
        <v>YES</v>
      </c>
      <c r="Q5400" t="str">
        <f t="shared" si="1218"/>
        <v>NO</v>
      </c>
      <c r="R5400" t="str">
        <f t="shared" si="1219"/>
        <v>NO</v>
      </c>
      <c r="T5400" t="s">
        <v>61</v>
      </c>
      <c r="U5400" t="str">
        <f t="shared" si="1220"/>
        <v>First St</v>
      </c>
      <c r="W5400" t="str">
        <f t="shared" si="1221"/>
        <v/>
      </c>
      <c r="X5400" t="str">
        <f>IF(ISBLANK(S5400),"Intersection","Non-Intersection")</f>
        <v>Intersection</v>
      </c>
      <c r="Y5400" t="s">
        <v>3626</v>
      </c>
      <c r="Z5400" t="str">
        <f t="shared" si="1222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09"/>
        <v>41275</v>
      </c>
      <c r="D5401" s="4">
        <f t="shared" si="1210"/>
        <v>0.53972602739726028</v>
      </c>
      <c r="E5401" s="3">
        <f t="shared" si="1211"/>
        <v>2013</v>
      </c>
      <c r="F5401" s="3">
        <f t="shared" si="1212"/>
        <v>7</v>
      </c>
      <c r="G5401" s="3">
        <f t="shared" si="1213"/>
        <v>17</v>
      </c>
      <c r="H5401" s="3">
        <f t="shared" si="1214"/>
        <v>7</v>
      </c>
      <c r="I5401" s="3">
        <f t="shared" si="1215"/>
        <v>50</v>
      </c>
      <c r="J5401" s="3">
        <f t="shared" si="1216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217"/>
        <v>YES</v>
      </c>
      <c r="Q5401" t="str">
        <f t="shared" si="1218"/>
        <v>NO</v>
      </c>
      <c r="R5401" t="str">
        <f t="shared" si="1219"/>
        <v>NO</v>
      </c>
      <c r="T5401" t="s">
        <v>105</v>
      </c>
      <c r="U5401" t="str">
        <f t="shared" si="1220"/>
        <v>Broadway</v>
      </c>
      <c r="V5401" t="s">
        <v>260</v>
      </c>
      <c r="W5401" t="str">
        <f t="shared" si="1221"/>
        <v>Third St</v>
      </c>
      <c r="X5401" t="str">
        <f>IF(ISBLANK(S5401),"Intersection","Non-Intersection")</f>
        <v>Intersection</v>
      </c>
      <c r="Y5401" t="s">
        <v>2506</v>
      </c>
      <c r="Z5401" t="str">
        <f t="shared" si="1222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223">EOMONTH(B5402,MONTH(B5402)*-1)+1</f>
        <v>41275</v>
      </c>
      <c r="D5402" s="4">
        <f t="shared" ref="D5402:D5464" si="1224">YEARFRAC(C5402,B5402,1)</f>
        <v>0.53972602739726028</v>
      </c>
      <c r="E5402" s="3">
        <f t="shared" ref="E5402:E5464" si="1225">YEAR(B5402)</f>
        <v>2013</v>
      </c>
      <c r="F5402" s="3">
        <f t="shared" ref="F5402:F5464" si="1226">MONTH(B5402)</f>
        <v>7</v>
      </c>
      <c r="G5402" s="3">
        <f t="shared" ref="G5402:G5464" si="1227">DAY(B5402)</f>
        <v>17</v>
      </c>
      <c r="H5402" s="3">
        <f t="shared" ref="H5402:H5464" si="1228">HOUR(B5402)</f>
        <v>9</v>
      </c>
      <c r="I5402" s="3">
        <f t="shared" ref="I5402:I5464" si="1229">MINUTE(B5402)</f>
        <v>59</v>
      </c>
      <c r="J5402" s="3">
        <f t="shared" ref="J5402:J5464" si="1230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231">IF(OR(N5402="Auto",O5402="Auto"),"YES",IF(OR(N5402="Taxi",O5402="Taxi"),"YES",IF(OR(N5402="Van",O5402="Van"),"YES",IF(OR(N5402="Truck",O5402="Truck"),"YES","NO"))))</f>
        <v>YES</v>
      </c>
      <c r="Q5402" t="str">
        <f t="shared" ref="Q5402:Q5464" si="1232">IF(OR(N5402="Bicycle",O5402="Bicycle"),"YES","NO")</f>
        <v>NO</v>
      </c>
      <c r="R5402" t="str">
        <f t="shared" ref="R5402:R5464" si="1233">IF(OR(N5402="Pedestrian",O5402="Pedestrian"),"YES","NO")</f>
        <v>NO</v>
      </c>
      <c r="S5402">
        <v>2</v>
      </c>
      <c r="T5402" t="s">
        <v>3017</v>
      </c>
      <c r="U5402" t="str">
        <f t="shared" si="1220"/>
        <v>Ellery Pl</v>
      </c>
      <c r="W5402" t="str">
        <f t="shared" si="1221"/>
        <v/>
      </c>
      <c r="X5402" t="str">
        <f>IF(ISBLANK(S5402),"Intersection","Non-Intersection")</f>
        <v>Non-Intersection</v>
      </c>
      <c r="Y5402" t="s">
        <v>5812</v>
      </c>
      <c r="Z5402" t="str">
        <f t="shared" si="1222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223"/>
        <v>41275</v>
      </c>
      <c r="D5403" s="4">
        <f t="shared" si="1224"/>
        <v>0.53972602739726028</v>
      </c>
      <c r="E5403" s="3">
        <f t="shared" si="1225"/>
        <v>2013</v>
      </c>
      <c r="F5403" s="3">
        <f t="shared" si="1226"/>
        <v>7</v>
      </c>
      <c r="G5403" s="3">
        <f t="shared" si="1227"/>
        <v>17</v>
      </c>
      <c r="H5403" s="3">
        <f t="shared" si="1228"/>
        <v>15</v>
      </c>
      <c r="I5403" s="3">
        <f t="shared" si="1229"/>
        <v>30</v>
      </c>
      <c r="J5403" s="3">
        <f t="shared" si="1230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231"/>
        <v>YES</v>
      </c>
      <c r="Q5403" t="str">
        <f t="shared" si="1232"/>
        <v>NO</v>
      </c>
      <c r="R5403" t="str">
        <f t="shared" si="1233"/>
        <v>NO</v>
      </c>
      <c r="T5403" t="s">
        <v>14</v>
      </c>
      <c r="U5403" t="str">
        <f t="shared" si="1220"/>
        <v>Massachusetts Ave</v>
      </c>
      <c r="V5403" t="s">
        <v>185</v>
      </c>
      <c r="W5403" t="str">
        <f t="shared" si="1221"/>
        <v>Garden St</v>
      </c>
      <c r="X5403" t="str">
        <f>IF(ISBLANK(S5403),"Intersection","Non-Intersection")</f>
        <v>Intersection</v>
      </c>
      <c r="Y5403" t="s">
        <v>1247</v>
      </c>
      <c r="Z5403" t="str">
        <f t="shared" si="1222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223"/>
        <v>41275</v>
      </c>
      <c r="D5404" s="4">
        <f t="shared" si="1224"/>
        <v>0.53972602739726028</v>
      </c>
      <c r="E5404" s="3">
        <f t="shared" si="1225"/>
        <v>2013</v>
      </c>
      <c r="F5404" s="3">
        <f t="shared" si="1226"/>
        <v>7</v>
      </c>
      <c r="G5404" s="3">
        <f t="shared" si="1227"/>
        <v>17</v>
      </c>
      <c r="H5404" s="3">
        <f t="shared" si="1228"/>
        <v>14</v>
      </c>
      <c r="I5404" s="3">
        <f t="shared" si="1229"/>
        <v>45</v>
      </c>
      <c r="J5404" s="3">
        <f t="shared" si="1230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231"/>
        <v>YES</v>
      </c>
      <c r="Q5404" t="str">
        <f t="shared" si="1232"/>
        <v>NO</v>
      </c>
      <c r="R5404" t="str">
        <f t="shared" si="1233"/>
        <v>NO</v>
      </c>
      <c r="S5404">
        <v>186</v>
      </c>
      <c r="T5404" t="s">
        <v>170</v>
      </c>
      <c r="U5404" t="str">
        <f t="shared" si="1220"/>
        <v>Alewife Brook Pky</v>
      </c>
      <c r="V5404" t="s">
        <v>710</v>
      </c>
      <c r="W5404" t="str">
        <f t="shared" si="1221"/>
        <v>Fresh Pond Pky</v>
      </c>
      <c r="X5404" t="str">
        <f>IF(ISBLANK(S5404),"Intersection","Non-Intersection")</f>
        <v>Non-Intersection</v>
      </c>
      <c r="Y5404" t="s">
        <v>242</v>
      </c>
      <c r="Z5404" t="str">
        <f t="shared" si="1222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223"/>
        <v>41275</v>
      </c>
      <c r="D5405" s="4">
        <f t="shared" si="1224"/>
        <v>0.53972602739726028</v>
      </c>
      <c r="E5405" s="3">
        <f t="shared" si="1225"/>
        <v>2013</v>
      </c>
      <c r="F5405" s="3">
        <f t="shared" si="1226"/>
        <v>7</v>
      </c>
      <c r="G5405" s="3">
        <f t="shared" si="1227"/>
        <v>17</v>
      </c>
      <c r="H5405" s="3">
        <f t="shared" si="1228"/>
        <v>18</v>
      </c>
      <c r="I5405" s="3">
        <f t="shared" si="1229"/>
        <v>17</v>
      </c>
      <c r="J5405" s="3">
        <f t="shared" si="1230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231"/>
        <v>YES</v>
      </c>
      <c r="Q5405" t="str">
        <f t="shared" si="1232"/>
        <v>YES</v>
      </c>
      <c r="R5405" t="str">
        <f t="shared" si="1233"/>
        <v>NO</v>
      </c>
      <c r="S5405">
        <v>1001</v>
      </c>
      <c r="T5405" t="s">
        <v>19</v>
      </c>
      <c r="U5405" t="str">
        <f t="shared" si="1220"/>
        <v>Cambridge St</v>
      </c>
      <c r="W5405" t="str">
        <f t="shared" si="1221"/>
        <v/>
      </c>
      <c r="X5405" t="str">
        <f>IF(ISBLANK(S5405),"Intersection","Non-Intersection")</f>
        <v>Non-Intersection</v>
      </c>
      <c r="Y5405" t="s">
        <v>2171</v>
      </c>
      <c r="Z5405" t="str">
        <f t="shared" si="1222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223"/>
        <v>41275</v>
      </c>
      <c r="D5406" s="4">
        <f t="shared" si="1224"/>
        <v>0.54246575342465753</v>
      </c>
      <c r="E5406" s="3">
        <f t="shared" si="1225"/>
        <v>2013</v>
      </c>
      <c r="F5406" s="3">
        <f t="shared" si="1226"/>
        <v>7</v>
      </c>
      <c r="G5406" s="3">
        <f t="shared" si="1227"/>
        <v>18</v>
      </c>
      <c r="H5406" s="3">
        <f t="shared" si="1228"/>
        <v>11</v>
      </c>
      <c r="I5406" s="3">
        <f t="shared" si="1229"/>
        <v>9</v>
      </c>
      <c r="J5406" s="3">
        <f t="shared" si="1230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231"/>
        <v>YES</v>
      </c>
      <c r="Q5406" t="str">
        <f t="shared" si="1232"/>
        <v>NO</v>
      </c>
      <c r="R5406" t="str">
        <f t="shared" si="1233"/>
        <v>NO</v>
      </c>
      <c r="T5406" t="s">
        <v>379</v>
      </c>
      <c r="U5406" t="str">
        <f t="shared" si="1220"/>
        <v>Second St</v>
      </c>
      <c r="V5406" t="s">
        <v>60</v>
      </c>
      <c r="W5406" t="str">
        <f t="shared" si="1221"/>
        <v>Rogers St</v>
      </c>
      <c r="X5406" t="str">
        <f>IF(ISBLANK(S5406),"Intersection","Non-Intersection")</f>
        <v>Intersection</v>
      </c>
      <c r="Y5406" t="s">
        <v>2642</v>
      </c>
      <c r="Z5406" t="str">
        <f t="shared" si="1222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223"/>
        <v>41275</v>
      </c>
      <c r="D5407" s="4">
        <f t="shared" si="1224"/>
        <v>0.54246575342465753</v>
      </c>
      <c r="E5407" s="3">
        <f t="shared" si="1225"/>
        <v>2013</v>
      </c>
      <c r="F5407" s="3">
        <f t="shared" si="1226"/>
        <v>7</v>
      </c>
      <c r="G5407" s="3">
        <f t="shared" si="1227"/>
        <v>18</v>
      </c>
      <c r="H5407" s="3">
        <f t="shared" si="1228"/>
        <v>9</v>
      </c>
      <c r="I5407" s="3">
        <f t="shared" si="1229"/>
        <v>24</v>
      </c>
      <c r="J5407" s="3">
        <f t="shared" si="1230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231"/>
        <v>YES</v>
      </c>
      <c r="Q5407" t="str">
        <f t="shared" si="1232"/>
        <v>NO</v>
      </c>
      <c r="R5407" t="str">
        <f t="shared" si="1233"/>
        <v>NO</v>
      </c>
      <c r="S5407">
        <v>91</v>
      </c>
      <c r="T5407" t="s">
        <v>45</v>
      </c>
      <c r="U5407" t="str">
        <f t="shared" si="1220"/>
        <v>Sherman St</v>
      </c>
      <c r="W5407" t="str">
        <f t="shared" si="1221"/>
        <v/>
      </c>
      <c r="X5407" t="str">
        <f>IF(ISBLANK(S5407),"Intersection","Non-Intersection")</f>
        <v>Non-Intersection</v>
      </c>
      <c r="Y5407" t="s">
        <v>46</v>
      </c>
      <c r="Z5407" t="str">
        <f t="shared" si="1222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223"/>
        <v>41275</v>
      </c>
      <c r="D5408" s="4">
        <f t="shared" si="1224"/>
        <v>0.54246575342465753</v>
      </c>
      <c r="E5408" s="3">
        <f t="shared" si="1225"/>
        <v>2013</v>
      </c>
      <c r="F5408" s="3">
        <f t="shared" si="1226"/>
        <v>7</v>
      </c>
      <c r="G5408" s="3">
        <f t="shared" si="1227"/>
        <v>18</v>
      </c>
      <c r="H5408" s="3">
        <f t="shared" si="1228"/>
        <v>7</v>
      </c>
      <c r="I5408" s="3">
        <f t="shared" si="1229"/>
        <v>19</v>
      </c>
      <c r="J5408" s="3">
        <f t="shared" si="1230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231"/>
        <v>YES</v>
      </c>
      <c r="Q5408" t="str">
        <f t="shared" si="1232"/>
        <v>NO</v>
      </c>
      <c r="R5408" t="str">
        <f t="shared" si="1233"/>
        <v>NO</v>
      </c>
      <c r="S5408">
        <v>60</v>
      </c>
      <c r="T5408" t="s">
        <v>185</v>
      </c>
      <c r="U5408" t="str">
        <f t="shared" si="1220"/>
        <v>Garden St</v>
      </c>
      <c r="V5408" t="s">
        <v>988</v>
      </c>
      <c r="W5408" t="str">
        <f t="shared" si="1221"/>
        <v>Bond St</v>
      </c>
      <c r="X5408" t="str">
        <f>IF(ISBLANK(S5408),"Intersection","Non-Intersection")</f>
        <v>Non-Intersection</v>
      </c>
      <c r="Y5408" t="s">
        <v>2823</v>
      </c>
      <c r="Z5408" t="str">
        <f t="shared" si="1222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223"/>
        <v>41275</v>
      </c>
      <c r="D5409" s="4">
        <f t="shared" si="1224"/>
        <v>0.54246575342465753</v>
      </c>
      <c r="E5409" s="3">
        <f t="shared" si="1225"/>
        <v>2013</v>
      </c>
      <c r="F5409" s="3">
        <f t="shared" si="1226"/>
        <v>7</v>
      </c>
      <c r="G5409" s="3">
        <f t="shared" si="1227"/>
        <v>18</v>
      </c>
      <c r="H5409" s="3">
        <f t="shared" si="1228"/>
        <v>10</v>
      </c>
      <c r="I5409" s="3">
        <f t="shared" si="1229"/>
        <v>28</v>
      </c>
      <c r="J5409" s="3">
        <f t="shared" si="1230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231"/>
        <v>YES</v>
      </c>
      <c r="Q5409" t="str">
        <f t="shared" si="1232"/>
        <v>YES</v>
      </c>
      <c r="R5409" t="str">
        <f t="shared" si="1233"/>
        <v>NO</v>
      </c>
      <c r="T5409" t="s">
        <v>105</v>
      </c>
      <c r="U5409" t="str">
        <f t="shared" si="1220"/>
        <v>Broadway</v>
      </c>
      <c r="V5409" t="s">
        <v>796</v>
      </c>
      <c r="W5409" t="str">
        <f t="shared" si="1221"/>
        <v>Portland St</v>
      </c>
      <c r="X5409" t="str">
        <f>IF(ISBLANK(S5409),"Intersection","Non-Intersection")</f>
        <v>Intersection</v>
      </c>
      <c r="Y5409" t="s">
        <v>2561</v>
      </c>
      <c r="Z5409" t="str">
        <f t="shared" si="1222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223"/>
        <v>41275</v>
      </c>
      <c r="D5410" s="4">
        <f t="shared" si="1224"/>
        <v>0.54246575342465753</v>
      </c>
      <c r="E5410" s="3">
        <f t="shared" si="1225"/>
        <v>2013</v>
      </c>
      <c r="F5410" s="3">
        <f t="shared" si="1226"/>
        <v>7</v>
      </c>
      <c r="G5410" s="3">
        <f t="shared" si="1227"/>
        <v>18</v>
      </c>
      <c r="H5410" s="3">
        <f t="shared" si="1228"/>
        <v>16</v>
      </c>
      <c r="I5410" s="3">
        <f t="shared" si="1229"/>
        <v>6</v>
      </c>
      <c r="J5410" s="3">
        <f t="shared" si="1230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231"/>
        <v>YES</v>
      </c>
      <c r="Q5410" t="str">
        <f t="shared" si="1232"/>
        <v>YES</v>
      </c>
      <c r="R5410" t="str">
        <f t="shared" si="1233"/>
        <v>NO</v>
      </c>
      <c r="T5410" t="s">
        <v>587</v>
      </c>
      <c r="U5410" t="str">
        <f t="shared" si="1220"/>
        <v>Webster Ave</v>
      </c>
      <c r="V5410" t="s">
        <v>101</v>
      </c>
      <c r="W5410" t="str">
        <f t="shared" si="1221"/>
        <v>Columbia St</v>
      </c>
      <c r="X5410" t="str">
        <f>IF(ISBLANK(S5410),"Intersection","Non-Intersection")</f>
        <v>Intersection</v>
      </c>
      <c r="Y5410" t="s">
        <v>5814</v>
      </c>
      <c r="Z5410" t="str">
        <f t="shared" si="1222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223"/>
        <v>41275</v>
      </c>
      <c r="D5411" s="4">
        <f t="shared" si="1224"/>
        <v>0.54246575342465753</v>
      </c>
      <c r="E5411" s="3">
        <f t="shared" si="1225"/>
        <v>2013</v>
      </c>
      <c r="F5411" s="3">
        <f t="shared" si="1226"/>
        <v>7</v>
      </c>
      <c r="G5411" s="3">
        <f t="shared" si="1227"/>
        <v>18</v>
      </c>
      <c r="H5411" s="3">
        <f t="shared" si="1228"/>
        <v>18</v>
      </c>
      <c r="I5411" s="3">
        <f t="shared" si="1229"/>
        <v>20</v>
      </c>
      <c r="J5411" s="3">
        <f t="shared" si="1230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231"/>
        <v>YES</v>
      </c>
      <c r="Q5411" t="str">
        <f t="shared" si="1232"/>
        <v>NO</v>
      </c>
      <c r="R5411" t="str">
        <f t="shared" si="1233"/>
        <v>NO</v>
      </c>
      <c r="S5411">
        <v>126</v>
      </c>
      <c r="T5411" t="s">
        <v>342</v>
      </c>
      <c r="U5411" t="str">
        <f t="shared" si="1220"/>
        <v>Prospect St</v>
      </c>
      <c r="W5411" t="str">
        <f t="shared" si="1221"/>
        <v/>
      </c>
      <c r="X5411" t="str">
        <f>IF(ISBLANK(S5411),"Intersection","Non-Intersection")</f>
        <v>Non-Intersection</v>
      </c>
      <c r="Y5411" t="s">
        <v>5815</v>
      </c>
      <c r="Z5411" t="str">
        <f t="shared" si="1222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223"/>
        <v>41275</v>
      </c>
      <c r="D5412" s="4">
        <f t="shared" si="1224"/>
        <v>0.54246575342465753</v>
      </c>
      <c r="E5412" s="3">
        <f t="shared" si="1225"/>
        <v>2013</v>
      </c>
      <c r="F5412" s="3">
        <f t="shared" si="1226"/>
        <v>7</v>
      </c>
      <c r="G5412" s="3">
        <f t="shared" si="1227"/>
        <v>18</v>
      </c>
      <c r="H5412" s="3">
        <f t="shared" si="1228"/>
        <v>20</v>
      </c>
      <c r="I5412" s="3">
        <f t="shared" si="1229"/>
        <v>29</v>
      </c>
      <c r="J5412" s="3">
        <f t="shared" si="1230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231"/>
        <v>YES</v>
      </c>
      <c r="Q5412" t="str">
        <f t="shared" si="1232"/>
        <v>NO</v>
      </c>
      <c r="R5412" t="str">
        <f t="shared" si="1233"/>
        <v>NO</v>
      </c>
      <c r="T5412" t="s">
        <v>760</v>
      </c>
      <c r="U5412" t="str">
        <f t="shared" si="1220"/>
        <v>Fulkerson St</v>
      </c>
      <c r="W5412" t="str">
        <f t="shared" si="1221"/>
        <v/>
      </c>
      <c r="X5412" t="str">
        <f>IF(ISBLANK(S5412),"Intersection","Non-Intersection")</f>
        <v>Intersection</v>
      </c>
      <c r="Y5412" t="s">
        <v>4215</v>
      </c>
      <c r="Z5412" t="str">
        <f t="shared" si="1222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223"/>
        <v>41275</v>
      </c>
      <c r="D5413" s="4">
        <f t="shared" si="1224"/>
        <v>0.54520547945205478</v>
      </c>
      <c r="E5413" s="3">
        <f t="shared" si="1225"/>
        <v>2013</v>
      </c>
      <c r="F5413" s="3">
        <f t="shared" si="1226"/>
        <v>7</v>
      </c>
      <c r="G5413" s="3">
        <f t="shared" si="1227"/>
        <v>19</v>
      </c>
      <c r="H5413" s="3">
        <f t="shared" si="1228"/>
        <v>15</v>
      </c>
      <c r="I5413" s="3">
        <f t="shared" si="1229"/>
        <v>30</v>
      </c>
      <c r="J5413" s="3">
        <f t="shared" si="1230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231"/>
        <v>YES</v>
      </c>
      <c r="Q5413" t="str">
        <f t="shared" si="1232"/>
        <v>NO</v>
      </c>
      <c r="R5413" t="str">
        <f t="shared" si="1233"/>
        <v>NO</v>
      </c>
      <c r="T5413" t="s">
        <v>2580</v>
      </c>
      <c r="U5413" t="str">
        <f t="shared" si="1220"/>
        <v>Land Blvd</v>
      </c>
      <c r="V5413" t="s">
        <v>1062</v>
      </c>
      <c r="W5413" t="str">
        <f t="shared" si="1221"/>
        <v>Cambridgeside Pl</v>
      </c>
      <c r="X5413" t="str">
        <f>IF(ISBLANK(S5413),"Intersection","Non-Intersection")</f>
        <v>Intersection</v>
      </c>
      <c r="Y5413" t="s">
        <v>2581</v>
      </c>
      <c r="Z5413" t="str">
        <f t="shared" si="1222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223"/>
        <v>41275</v>
      </c>
      <c r="D5414" s="4">
        <f t="shared" si="1224"/>
        <v>0.54520547945205478</v>
      </c>
      <c r="E5414" s="3">
        <f t="shared" si="1225"/>
        <v>2013</v>
      </c>
      <c r="F5414" s="3">
        <f t="shared" si="1226"/>
        <v>7</v>
      </c>
      <c r="G5414" s="3">
        <f t="shared" si="1227"/>
        <v>19</v>
      </c>
      <c r="H5414" s="3">
        <f t="shared" si="1228"/>
        <v>16</v>
      </c>
      <c r="I5414" s="3">
        <f t="shared" si="1229"/>
        <v>2</v>
      </c>
      <c r="J5414" s="3">
        <f t="shared" si="1230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231"/>
        <v>YES</v>
      </c>
      <c r="Q5414" t="str">
        <f t="shared" si="1232"/>
        <v>YES</v>
      </c>
      <c r="R5414" t="str">
        <f t="shared" si="1233"/>
        <v>NO</v>
      </c>
      <c r="S5414">
        <v>223</v>
      </c>
      <c r="T5414" t="s">
        <v>27</v>
      </c>
      <c r="U5414" t="str">
        <f t="shared" si="1220"/>
        <v>Western Ave</v>
      </c>
      <c r="W5414" t="str">
        <f t="shared" si="1221"/>
        <v/>
      </c>
      <c r="X5414" t="str">
        <f>IF(ISBLANK(S5414),"Intersection","Non-Intersection")</f>
        <v>Non-Intersection</v>
      </c>
      <c r="Y5414" t="s">
        <v>5817</v>
      </c>
      <c r="Z5414" t="str">
        <f t="shared" si="1222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223"/>
        <v>41275</v>
      </c>
      <c r="D5415" s="4">
        <f t="shared" si="1224"/>
        <v>0.54794520547945202</v>
      </c>
      <c r="E5415" s="3">
        <f t="shared" si="1225"/>
        <v>2013</v>
      </c>
      <c r="F5415" s="3">
        <f t="shared" si="1226"/>
        <v>7</v>
      </c>
      <c r="G5415" s="3">
        <f t="shared" si="1227"/>
        <v>20</v>
      </c>
      <c r="H5415" s="3">
        <f t="shared" si="1228"/>
        <v>10</v>
      </c>
      <c r="I5415" s="3">
        <f t="shared" si="1229"/>
        <v>44</v>
      </c>
      <c r="J5415" s="3">
        <f t="shared" si="1230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231"/>
        <v>YES</v>
      </c>
      <c r="Q5415" t="str">
        <f t="shared" si="1232"/>
        <v>NO</v>
      </c>
      <c r="R5415" t="str">
        <f t="shared" si="1233"/>
        <v>NO</v>
      </c>
      <c r="T5415" t="s">
        <v>41</v>
      </c>
      <c r="U5415" t="str">
        <f t="shared" si="1220"/>
        <v>River St</v>
      </c>
      <c r="V5415" t="s">
        <v>42</v>
      </c>
      <c r="W5415" t="str">
        <f t="shared" si="1221"/>
        <v>Putnam Ave</v>
      </c>
      <c r="X5415" t="str">
        <f>IF(ISBLANK(S5415),"Intersection","Non-Intersection")</f>
        <v>Intersection</v>
      </c>
      <c r="Y5415" t="s">
        <v>43</v>
      </c>
      <c r="Z5415" t="str">
        <f t="shared" si="1222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223"/>
        <v>41275</v>
      </c>
      <c r="D5416" s="4">
        <f t="shared" si="1224"/>
        <v>0.54794520547945202</v>
      </c>
      <c r="E5416" s="3">
        <f t="shared" si="1225"/>
        <v>2013</v>
      </c>
      <c r="F5416" s="3">
        <f t="shared" si="1226"/>
        <v>7</v>
      </c>
      <c r="G5416" s="3">
        <f t="shared" si="1227"/>
        <v>20</v>
      </c>
      <c r="H5416" s="3">
        <f t="shared" si="1228"/>
        <v>10</v>
      </c>
      <c r="I5416" s="3">
        <f t="shared" si="1229"/>
        <v>50</v>
      </c>
      <c r="J5416" s="3">
        <f t="shared" si="1230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231"/>
        <v>YES</v>
      </c>
      <c r="Q5416" t="str">
        <f t="shared" si="1232"/>
        <v>NO</v>
      </c>
      <c r="R5416" t="str">
        <f t="shared" si="1233"/>
        <v>NO</v>
      </c>
      <c r="S5416">
        <v>313</v>
      </c>
      <c r="T5416" t="s">
        <v>14</v>
      </c>
      <c r="U5416" t="str">
        <f t="shared" si="1220"/>
        <v>Massachusetts Ave</v>
      </c>
      <c r="W5416" t="str">
        <f t="shared" si="1221"/>
        <v/>
      </c>
      <c r="X5416" t="str">
        <f>IF(ISBLANK(S5416),"Intersection","Non-Intersection")</f>
        <v>Non-Intersection</v>
      </c>
      <c r="Y5416" t="s">
        <v>5819</v>
      </c>
      <c r="Z5416" t="str">
        <f t="shared" si="1222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223"/>
        <v>41275</v>
      </c>
      <c r="D5417" s="4">
        <f t="shared" si="1224"/>
        <v>0.54794520547945202</v>
      </c>
      <c r="E5417" s="3">
        <f t="shared" si="1225"/>
        <v>2013</v>
      </c>
      <c r="F5417" s="3">
        <f t="shared" si="1226"/>
        <v>7</v>
      </c>
      <c r="G5417" s="3">
        <f t="shared" si="1227"/>
        <v>20</v>
      </c>
      <c r="H5417" s="3">
        <f t="shared" si="1228"/>
        <v>12</v>
      </c>
      <c r="I5417" s="3">
        <f t="shared" si="1229"/>
        <v>55</v>
      </c>
      <c r="J5417" s="3">
        <f t="shared" si="1230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231"/>
        <v>YES</v>
      </c>
      <c r="Q5417" t="str">
        <f t="shared" si="1232"/>
        <v>NO</v>
      </c>
      <c r="R5417" t="str">
        <f t="shared" si="1233"/>
        <v>NO</v>
      </c>
      <c r="T5417" t="s">
        <v>5821</v>
      </c>
      <c r="U5417" t="str">
        <f t="shared" si="1220"/>
        <v>Auburn Ct</v>
      </c>
      <c r="V5417" t="s">
        <v>41</v>
      </c>
      <c r="W5417" t="str">
        <f t="shared" si="1221"/>
        <v>River St</v>
      </c>
      <c r="X5417" t="str">
        <f>IF(ISBLANK(S5417),"Intersection","Non-Intersection")</f>
        <v>Intersection</v>
      </c>
      <c r="Y5417" t="s">
        <v>5822</v>
      </c>
      <c r="Z5417" t="str">
        <f t="shared" si="1222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223"/>
        <v>41275</v>
      </c>
      <c r="D5418" s="4">
        <f t="shared" si="1224"/>
        <v>0.54794520547945202</v>
      </c>
      <c r="E5418" s="3">
        <f t="shared" si="1225"/>
        <v>2013</v>
      </c>
      <c r="F5418" s="3">
        <f t="shared" si="1226"/>
        <v>7</v>
      </c>
      <c r="G5418" s="3">
        <f t="shared" si="1227"/>
        <v>20</v>
      </c>
      <c r="H5418" s="3">
        <f t="shared" si="1228"/>
        <v>14</v>
      </c>
      <c r="I5418" s="3">
        <f t="shared" si="1229"/>
        <v>12</v>
      </c>
      <c r="J5418" s="3">
        <f t="shared" si="1230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231"/>
        <v>YES</v>
      </c>
      <c r="Q5418" t="str">
        <f t="shared" si="1232"/>
        <v>YES</v>
      </c>
      <c r="R5418" t="str">
        <f t="shared" si="1233"/>
        <v>NO</v>
      </c>
      <c r="S5418">
        <v>202</v>
      </c>
      <c r="T5418" t="s">
        <v>74</v>
      </c>
      <c r="U5418" t="str">
        <f t="shared" si="1220"/>
        <v>Hampshire St</v>
      </c>
      <c r="W5418" t="str">
        <f t="shared" si="1221"/>
        <v/>
      </c>
      <c r="X5418" t="str">
        <f>IF(ISBLANK(S5418),"Intersection","Non-Intersection")</f>
        <v>Non-Intersection</v>
      </c>
      <c r="Y5418" t="s">
        <v>5823</v>
      </c>
      <c r="Z5418" t="str">
        <f t="shared" si="1222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223"/>
        <v>41275</v>
      </c>
      <c r="D5419" s="4">
        <f t="shared" si="1224"/>
        <v>0.54794520547945202</v>
      </c>
      <c r="E5419" s="3">
        <f t="shared" si="1225"/>
        <v>2013</v>
      </c>
      <c r="F5419" s="3">
        <f t="shared" si="1226"/>
        <v>7</v>
      </c>
      <c r="G5419" s="3">
        <f t="shared" si="1227"/>
        <v>20</v>
      </c>
      <c r="H5419" s="3">
        <f t="shared" si="1228"/>
        <v>12</v>
      </c>
      <c r="I5419" s="3">
        <f t="shared" si="1229"/>
        <v>10</v>
      </c>
      <c r="J5419" s="3">
        <f t="shared" si="1230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231"/>
        <v>YES</v>
      </c>
      <c r="Q5419" t="str">
        <f t="shared" si="1232"/>
        <v>YES</v>
      </c>
      <c r="R5419" t="str">
        <f t="shared" si="1233"/>
        <v>NO</v>
      </c>
      <c r="T5419" t="s">
        <v>42</v>
      </c>
      <c r="U5419" t="str">
        <f t="shared" si="1220"/>
        <v>Putnam Ave</v>
      </c>
      <c r="V5419" t="s">
        <v>41</v>
      </c>
      <c r="W5419" t="str">
        <f t="shared" si="1221"/>
        <v>River St</v>
      </c>
      <c r="X5419" t="str">
        <f>IF(ISBLANK(S5419),"Intersection","Non-Intersection")</f>
        <v>Intersection</v>
      </c>
      <c r="Y5419" t="s">
        <v>2398</v>
      </c>
      <c r="Z5419" t="str">
        <f t="shared" si="1222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223"/>
        <v>41275</v>
      </c>
      <c r="D5420" s="4">
        <f t="shared" si="1224"/>
        <v>0.54794520547945202</v>
      </c>
      <c r="E5420" s="3">
        <f t="shared" si="1225"/>
        <v>2013</v>
      </c>
      <c r="F5420" s="3">
        <f t="shared" si="1226"/>
        <v>7</v>
      </c>
      <c r="G5420" s="3">
        <f t="shared" si="1227"/>
        <v>20</v>
      </c>
      <c r="H5420" s="3">
        <f t="shared" si="1228"/>
        <v>20</v>
      </c>
      <c r="I5420" s="3">
        <f t="shared" si="1229"/>
        <v>25</v>
      </c>
      <c r="J5420" s="3">
        <f t="shared" si="1230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231"/>
        <v>YES</v>
      </c>
      <c r="Q5420" t="str">
        <f t="shared" si="1232"/>
        <v>NO</v>
      </c>
      <c r="R5420" t="str">
        <f t="shared" si="1233"/>
        <v>NO</v>
      </c>
      <c r="T5420" t="s">
        <v>155</v>
      </c>
      <c r="U5420" t="str">
        <f t="shared" si="1220"/>
        <v>Richdale Ave</v>
      </c>
      <c r="W5420" t="str">
        <f t="shared" si="1221"/>
        <v/>
      </c>
      <c r="X5420" t="str">
        <f>IF(ISBLANK(S5420),"Intersection","Non-Intersection")</f>
        <v>Intersection</v>
      </c>
      <c r="Y5420" t="s">
        <v>4349</v>
      </c>
      <c r="Z5420" t="str">
        <f t="shared" si="1222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223"/>
        <v>41275</v>
      </c>
      <c r="D5421" s="4">
        <f t="shared" si="1224"/>
        <v>0.54794520547945202</v>
      </c>
      <c r="E5421" s="3">
        <f t="shared" si="1225"/>
        <v>2013</v>
      </c>
      <c r="F5421" s="3">
        <f t="shared" si="1226"/>
        <v>7</v>
      </c>
      <c r="G5421" s="3">
        <f t="shared" si="1227"/>
        <v>20</v>
      </c>
      <c r="H5421" s="3">
        <f t="shared" si="1228"/>
        <v>15</v>
      </c>
      <c r="I5421" s="3">
        <f t="shared" si="1229"/>
        <v>0</v>
      </c>
      <c r="J5421" s="3">
        <f t="shared" si="1230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231"/>
        <v>YES</v>
      </c>
      <c r="Q5421" t="str">
        <f t="shared" si="1232"/>
        <v>NO</v>
      </c>
      <c r="R5421" t="str">
        <f t="shared" si="1233"/>
        <v>NO</v>
      </c>
      <c r="S5421">
        <v>335</v>
      </c>
      <c r="T5421" t="s">
        <v>133</v>
      </c>
      <c r="U5421" t="str">
        <f t="shared" si="1220"/>
        <v>Harvard St</v>
      </c>
      <c r="W5421" t="str">
        <f t="shared" si="1221"/>
        <v/>
      </c>
      <c r="X5421" t="str">
        <f>IF(ISBLANK(S5421),"Intersection","Non-Intersection")</f>
        <v>Non-Intersection</v>
      </c>
      <c r="Y5421" t="s">
        <v>5825</v>
      </c>
      <c r="Z5421" t="str">
        <f t="shared" si="1222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223"/>
        <v>41275</v>
      </c>
      <c r="D5422" s="4">
        <f t="shared" si="1224"/>
        <v>0.55068493150684927</v>
      </c>
      <c r="E5422" s="3">
        <f t="shared" si="1225"/>
        <v>2013</v>
      </c>
      <c r="F5422" s="3">
        <f t="shared" si="1226"/>
        <v>7</v>
      </c>
      <c r="G5422" s="3">
        <f t="shared" si="1227"/>
        <v>21</v>
      </c>
      <c r="H5422" s="3">
        <f t="shared" si="1228"/>
        <v>12</v>
      </c>
      <c r="I5422" s="3">
        <f t="shared" si="1229"/>
        <v>14</v>
      </c>
      <c r="J5422" s="3">
        <f t="shared" si="1230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231"/>
        <v>YES</v>
      </c>
      <c r="Q5422" t="str">
        <f t="shared" si="1232"/>
        <v>YES</v>
      </c>
      <c r="R5422" t="str">
        <f t="shared" si="1233"/>
        <v>NO</v>
      </c>
      <c r="T5422" t="s">
        <v>37</v>
      </c>
      <c r="U5422" t="str">
        <f t="shared" si="1220"/>
        <v>Magazine St</v>
      </c>
      <c r="V5422" t="s">
        <v>42</v>
      </c>
      <c r="W5422" t="str">
        <f t="shared" si="1221"/>
        <v>Putnam Ave</v>
      </c>
      <c r="X5422" t="str">
        <f>IF(ISBLANK(S5422),"Intersection","Non-Intersection")</f>
        <v>Intersection</v>
      </c>
      <c r="Y5422" t="s">
        <v>801</v>
      </c>
      <c r="Z5422" t="str">
        <f t="shared" si="1222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223"/>
        <v>41275</v>
      </c>
      <c r="D5423" s="4">
        <f t="shared" si="1224"/>
        <v>0.55068493150684927</v>
      </c>
      <c r="E5423" s="3">
        <f t="shared" si="1225"/>
        <v>2013</v>
      </c>
      <c r="F5423" s="3">
        <f t="shared" si="1226"/>
        <v>7</v>
      </c>
      <c r="G5423" s="3">
        <f t="shared" si="1227"/>
        <v>21</v>
      </c>
      <c r="H5423" s="3">
        <f t="shared" si="1228"/>
        <v>2</v>
      </c>
      <c r="I5423" s="3">
        <f t="shared" si="1229"/>
        <v>26</v>
      </c>
      <c r="J5423" s="3">
        <f t="shared" si="1230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231"/>
        <v>YES</v>
      </c>
      <c r="Q5423" t="str">
        <f t="shared" si="1232"/>
        <v>NO</v>
      </c>
      <c r="R5423" t="str">
        <f t="shared" si="1233"/>
        <v>NO</v>
      </c>
      <c r="T5423" t="s">
        <v>296</v>
      </c>
      <c r="U5423" t="str">
        <f t="shared" si="1220"/>
        <v>Mason St</v>
      </c>
      <c r="V5423" t="s">
        <v>399</v>
      </c>
      <c r="W5423" t="str">
        <f t="shared" si="1221"/>
        <v>Phillips Pl</v>
      </c>
      <c r="X5423" t="str">
        <f>IF(ISBLANK(S5423),"Intersection","Non-Intersection")</f>
        <v>Intersection</v>
      </c>
      <c r="Y5423" t="s">
        <v>400</v>
      </c>
      <c r="Z5423" t="str">
        <f t="shared" si="1222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223"/>
        <v>41275</v>
      </c>
      <c r="D5424" s="4">
        <f t="shared" si="1224"/>
        <v>0.55068493150684927</v>
      </c>
      <c r="E5424" s="3">
        <f t="shared" si="1225"/>
        <v>2013</v>
      </c>
      <c r="F5424" s="3">
        <f t="shared" si="1226"/>
        <v>7</v>
      </c>
      <c r="G5424" s="3">
        <f t="shared" si="1227"/>
        <v>21</v>
      </c>
      <c r="H5424" s="3">
        <f t="shared" si="1228"/>
        <v>14</v>
      </c>
      <c r="I5424" s="3">
        <f t="shared" si="1229"/>
        <v>0</v>
      </c>
      <c r="J5424" s="3">
        <f t="shared" si="1230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231"/>
        <v>YES</v>
      </c>
      <c r="Q5424" t="str">
        <f t="shared" si="1232"/>
        <v>NO</v>
      </c>
      <c r="R5424" t="str">
        <f t="shared" si="1233"/>
        <v>NO</v>
      </c>
      <c r="S5424">
        <v>269</v>
      </c>
      <c r="T5424" t="s">
        <v>42</v>
      </c>
      <c r="U5424" t="str">
        <f t="shared" si="1220"/>
        <v>Putnam Ave</v>
      </c>
      <c r="W5424" t="str">
        <f t="shared" si="1221"/>
        <v/>
      </c>
      <c r="X5424" t="str">
        <f>IF(ISBLANK(S5424),"Intersection","Non-Intersection")</f>
        <v>Non-Intersection</v>
      </c>
      <c r="Y5424" t="s">
        <v>1979</v>
      </c>
      <c r="Z5424" t="str">
        <f t="shared" si="1222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223"/>
        <v>41275</v>
      </c>
      <c r="D5425" s="4">
        <f t="shared" si="1224"/>
        <v>0.55068493150684927</v>
      </c>
      <c r="E5425" s="3">
        <f t="shared" si="1225"/>
        <v>2013</v>
      </c>
      <c r="F5425" s="3">
        <f t="shared" si="1226"/>
        <v>7</v>
      </c>
      <c r="G5425" s="3">
        <f t="shared" si="1227"/>
        <v>21</v>
      </c>
      <c r="H5425" s="3">
        <f t="shared" si="1228"/>
        <v>15</v>
      </c>
      <c r="I5425" s="3">
        <f t="shared" si="1229"/>
        <v>10</v>
      </c>
      <c r="J5425" s="3">
        <f t="shared" si="1230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231"/>
        <v>YES</v>
      </c>
      <c r="Q5425" t="str">
        <f t="shared" si="1232"/>
        <v>YES</v>
      </c>
      <c r="R5425" t="str">
        <f t="shared" si="1233"/>
        <v>NO</v>
      </c>
      <c r="T5425" t="s">
        <v>92</v>
      </c>
      <c r="U5425" t="str">
        <f t="shared" si="1220"/>
        <v>Wheeler St</v>
      </c>
      <c r="V5425" t="s">
        <v>186</v>
      </c>
      <c r="W5425" t="str">
        <f t="shared" si="1221"/>
        <v>Concord Ave</v>
      </c>
      <c r="X5425" t="str">
        <f>IF(ISBLANK(S5425),"Intersection","Non-Intersection")</f>
        <v>Intersection</v>
      </c>
      <c r="Y5425" t="s">
        <v>5827</v>
      </c>
      <c r="Z5425" t="str">
        <f t="shared" si="1222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223"/>
        <v>41275</v>
      </c>
      <c r="D5426" s="4">
        <f t="shared" si="1224"/>
        <v>0.55342465753424652</v>
      </c>
      <c r="E5426" s="3">
        <f t="shared" si="1225"/>
        <v>2013</v>
      </c>
      <c r="F5426" s="3">
        <f t="shared" si="1226"/>
        <v>7</v>
      </c>
      <c r="G5426" s="3">
        <f t="shared" si="1227"/>
        <v>22</v>
      </c>
      <c r="H5426" s="3">
        <f t="shared" si="1228"/>
        <v>8</v>
      </c>
      <c r="I5426" s="3">
        <f t="shared" si="1229"/>
        <v>45</v>
      </c>
      <c r="J5426" s="3">
        <f t="shared" si="1230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231"/>
        <v>YES</v>
      </c>
      <c r="Q5426" t="str">
        <f t="shared" si="1232"/>
        <v>NO</v>
      </c>
      <c r="R5426" t="str">
        <f t="shared" si="1233"/>
        <v>NO</v>
      </c>
      <c r="S5426">
        <v>120</v>
      </c>
      <c r="T5426" t="s">
        <v>202</v>
      </c>
      <c r="U5426" t="str">
        <f t="shared" si="1220"/>
        <v>Vassar St</v>
      </c>
      <c r="W5426" t="str">
        <f t="shared" si="1221"/>
        <v/>
      </c>
      <c r="X5426" t="str">
        <f>IF(ISBLANK(S5426),"Intersection","Non-Intersection")</f>
        <v>Non-Intersection</v>
      </c>
      <c r="Y5426" t="s">
        <v>1413</v>
      </c>
      <c r="Z5426" t="str">
        <f t="shared" si="1222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223"/>
        <v>41275</v>
      </c>
      <c r="D5427" s="4">
        <f t="shared" si="1224"/>
        <v>0.55342465753424652</v>
      </c>
      <c r="E5427" s="3">
        <f t="shared" si="1225"/>
        <v>2013</v>
      </c>
      <c r="F5427" s="3">
        <f t="shared" si="1226"/>
        <v>7</v>
      </c>
      <c r="G5427" s="3">
        <f t="shared" si="1227"/>
        <v>22</v>
      </c>
      <c r="H5427" s="3">
        <f t="shared" si="1228"/>
        <v>9</v>
      </c>
      <c r="I5427" s="3">
        <f t="shared" si="1229"/>
        <v>49</v>
      </c>
      <c r="J5427" s="3">
        <f t="shared" si="1230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231"/>
        <v>YES</v>
      </c>
      <c r="Q5427" t="str">
        <f t="shared" si="1232"/>
        <v>NO</v>
      </c>
      <c r="R5427" t="str">
        <f t="shared" si="1233"/>
        <v>NO</v>
      </c>
      <c r="T5427" t="s">
        <v>14</v>
      </c>
      <c r="U5427" t="str">
        <f t="shared" si="1220"/>
        <v>Massachusetts Ave</v>
      </c>
      <c r="V5427" t="s">
        <v>754</v>
      </c>
      <c r="W5427" t="str">
        <f t="shared" si="1221"/>
        <v>Clarendon Ave</v>
      </c>
      <c r="X5427" t="str">
        <f>IF(ISBLANK(S5427),"Intersection","Non-Intersection")</f>
        <v>Intersection</v>
      </c>
      <c r="Y5427" t="s">
        <v>1965</v>
      </c>
      <c r="Z5427" t="str">
        <f t="shared" si="1222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223"/>
        <v>41275</v>
      </c>
      <c r="D5428" s="4">
        <f t="shared" si="1224"/>
        <v>0.55342465753424652</v>
      </c>
      <c r="E5428" s="3">
        <f t="shared" si="1225"/>
        <v>2013</v>
      </c>
      <c r="F5428" s="3">
        <f t="shared" si="1226"/>
        <v>7</v>
      </c>
      <c r="G5428" s="3">
        <f t="shared" si="1227"/>
        <v>22</v>
      </c>
      <c r="H5428" s="3">
        <f t="shared" si="1228"/>
        <v>11</v>
      </c>
      <c r="I5428" s="3">
        <f t="shared" si="1229"/>
        <v>9</v>
      </c>
      <c r="J5428" s="3">
        <f t="shared" si="1230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231"/>
        <v>YES</v>
      </c>
      <c r="Q5428" t="str">
        <f t="shared" si="1232"/>
        <v>NO</v>
      </c>
      <c r="R5428" t="str">
        <f t="shared" si="1233"/>
        <v>NO</v>
      </c>
      <c r="S5428">
        <v>1035</v>
      </c>
      <c r="T5428" t="s">
        <v>19</v>
      </c>
      <c r="U5428" t="str">
        <f t="shared" si="1220"/>
        <v>Cambridge St</v>
      </c>
      <c r="W5428" t="str">
        <f t="shared" si="1221"/>
        <v/>
      </c>
      <c r="X5428" t="str">
        <f>IF(ISBLANK(S5428),"Intersection","Non-Intersection")</f>
        <v>Non-Intersection</v>
      </c>
      <c r="Y5428" t="s">
        <v>4959</v>
      </c>
      <c r="Z5428" t="str">
        <f t="shared" si="1222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223"/>
        <v>41275</v>
      </c>
      <c r="D5429" s="4">
        <f t="shared" si="1224"/>
        <v>0.55342465753424652</v>
      </c>
      <c r="E5429" s="3">
        <f t="shared" si="1225"/>
        <v>2013</v>
      </c>
      <c r="F5429" s="3">
        <f t="shared" si="1226"/>
        <v>7</v>
      </c>
      <c r="G5429" s="3">
        <f t="shared" si="1227"/>
        <v>22</v>
      </c>
      <c r="H5429" s="3">
        <f t="shared" si="1228"/>
        <v>16</v>
      </c>
      <c r="I5429" s="3">
        <f t="shared" si="1229"/>
        <v>12</v>
      </c>
      <c r="J5429" s="3">
        <f t="shared" si="1230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231"/>
        <v>YES</v>
      </c>
      <c r="Q5429" t="str">
        <f t="shared" si="1232"/>
        <v>NO</v>
      </c>
      <c r="R5429" t="str">
        <f t="shared" si="1233"/>
        <v>NO</v>
      </c>
      <c r="S5429">
        <v>10</v>
      </c>
      <c r="T5429" t="s">
        <v>165</v>
      </c>
      <c r="U5429" t="str">
        <f t="shared" si="1220"/>
        <v>Cogswell Ave</v>
      </c>
      <c r="W5429" t="str">
        <f t="shared" si="1221"/>
        <v/>
      </c>
      <c r="X5429" t="str">
        <f>IF(ISBLANK(S5429),"Intersection","Non-Intersection")</f>
        <v>Non-Intersection</v>
      </c>
      <c r="Y5429" t="s">
        <v>5828</v>
      </c>
      <c r="Z5429" t="str">
        <f t="shared" si="1222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223"/>
        <v>41275</v>
      </c>
      <c r="D5430" s="4">
        <f t="shared" si="1224"/>
        <v>0.55342465753424652</v>
      </c>
      <c r="E5430" s="3">
        <f t="shared" si="1225"/>
        <v>2013</v>
      </c>
      <c r="F5430" s="3">
        <f t="shared" si="1226"/>
        <v>7</v>
      </c>
      <c r="G5430" s="3">
        <f t="shared" si="1227"/>
        <v>22</v>
      </c>
      <c r="H5430" s="3">
        <f t="shared" si="1228"/>
        <v>17</v>
      </c>
      <c r="I5430" s="3">
        <f t="shared" si="1229"/>
        <v>22</v>
      </c>
      <c r="J5430" s="3">
        <f t="shared" si="1230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231"/>
        <v>YES</v>
      </c>
      <c r="Q5430" t="str">
        <f t="shared" si="1232"/>
        <v>YES</v>
      </c>
      <c r="R5430" t="str">
        <f t="shared" si="1233"/>
        <v>NO</v>
      </c>
      <c r="S5430">
        <v>163</v>
      </c>
      <c r="T5430" t="s">
        <v>74</v>
      </c>
      <c r="U5430" t="str">
        <f t="shared" si="1220"/>
        <v>Hampshire St</v>
      </c>
      <c r="W5430" t="str">
        <f t="shared" si="1221"/>
        <v/>
      </c>
      <c r="X5430" t="str">
        <f>IF(ISBLANK(S5430),"Intersection","Non-Intersection")</f>
        <v>Non-Intersection</v>
      </c>
      <c r="Y5430" t="s">
        <v>5830</v>
      </c>
      <c r="Z5430" t="str">
        <f t="shared" si="1222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223"/>
        <v>41275</v>
      </c>
      <c r="D5431" s="4">
        <f t="shared" si="1224"/>
        <v>0.55342465753424652</v>
      </c>
      <c r="E5431" s="3">
        <f t="shared" si="1225"/>
        <v>2013</v>
      </c>
      <c r="F5431" s="3">
        <f t="shared" si="1226"/>
        <v>7</v>
      </c>
      <c r="G5431" s="3">
        <f t="shared" si="1227"/>
        <v>22</v>
      </c>
      <c r="H5431" s="3">
        <f t="shared" si="1228"/>
        <v>16</v>
      </c>
      <c r="I5431" s="3">
        <f t="shared" si="1229"/>
        <v>30</v>
      </c>
      <c r="J5431" s="3">
        <f t="shared" si="1230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231"/>
        <v>YES</v>
      </c>
      <c r="Q5431" t="str">
        <f t="shared" si="1232"/>
        <v>NO</v>
      </c>
      <c r="R5431" t="str">
        <f t="shared" si="1233"/>
        <v>NO</v>
      </c>
      <c r="S5431">
        <v>21</v>
      </c>
      <c r="T5431" t="s">
        <v>971</v>
      </c>
      <c r="U5431" t="str">
        <f t="shared" si="1220"/>
        <v>Ellsworth Ave</v>
      </c>
      <c r="W5431" t="str">
        <f t="shared" si="1221"/>
        <v/>
      </c>
      <c r="X5431" t="str">
        <f>IF(ISBLANK(S5431),"Intersection","Non-Intersection")</f>
        <v>Non-Intersection</v>
      </c>
      <c r="Y5431" t="s">
        <v>5832</v>
      </c>
      <c r="Z5431" t="str">
        <f t="shared" si="1222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223"/>
        <v>41275</v>
      </c>
      <c r="D5432" s="4">
        <f t="shared" si="1224"/>
        <v>0.55342465753424652</v>
      </c>
      <c r="E5432" s="3">
        <f t="shared" si="1225"/>
        <v>2013</v>
      </c>
      <c r="F5432" s="3">
        <f t="shared" si="1226"/>
        <v>7</v>
      </c>
      <c r="G5432" s="3">
        <f t="shared" si="1227"/>
        <v>22</v>
      </c>
      <c r="H5432" s="3">
        <f t="shared" si="1228"/>
        <v>17</v>
      </c>
      <c r="I5432" s="3">
        <f t="shared" si="1229"/>
        <v>23</v>
      </c>
      <c r="J5432" s="3">
        <f t="shared" si="1230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231"/>
        <v>YES</v>
      </c>
      <c r="Q5432" t="str">
        <f t="shared" si="1232"/>
        <v>YES</v>
      </c>
      <c r="R5432" t="str">
        <f t="shared" si="1233"/>
        <v>NO</v>
      </c>
      <c r="T5432" t="s">
        <v>14</v>
      </c>
      <c r="U5432" t="str">
        <f t="shared" si="1220"/>
        <v>Massachusetts Ave</v>
      </c>
      <c r="V5432" t="s">
        <v>354</v>
      </c>
      <c r="W5432" t="str">
        <f t="shared" si="1221"/>
        <v>Linnaean St</v>
      </c>
      <c r="X5432" t="str">
        <f>IF(ISBLANK(S5432),"Intersection","Non-Intersection")</f>
        <v>Intersection</v>
      </c>
      <c r="Y5432" t="s">
        <v>1234</v>
      </c>
      <c r="Z5432" t="str">
        <f t="shared" si="1222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223"/>
        <v>41275</v>
      </c>
      <c r="D5433" s="4">
        <f t="shared" si="1224"/>
        <v>0.55616438356164388</v>
      </c>
      <c r="E5433" s="3">
        <f t="shared" si="1225"/>
        <v>2013</v>
      </c>
      <c r="F5433" s="3">
        <f t="shared" si="1226"/>
        <v>7</v>
      </c>
      <c r="G5433" s="3">
        <f t="shared" si="1227"/>
        <v>23</v>
      </c>
      <c r="H5433" s="3">
        <f t="shared" si="1228"/>
        <v>11</v>
      </c>
      <c r="I5433" s="3">
        <f t="shared" si="1229"/>
        <v>29</v>
      </c>
      <c r="J5433" s="3">
        <f t="shared" si="1230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231"/>
        <v>YES</v>
      </c>
      <c r="Q5433" t="str">
        <f t="shared" si="1232"/>
        <v>NO</v>
      </c>
      <c r="R5433" t="str">
        <f t="shared" si="1233"/>
        <v>NO</v>
      </c>
      <c r="T5433" t="s">
        <v>198</v>
      </c>
      <c r="U5433" t="str">
        <f t="shared" si="1220"/>
        <v>Mount Auburn St</v>
      </c>
      <c r="V5433" t="s">
        <v>2285</v>
      </c>
      <c r="W5433" t="str">
        <f t="shared" si="1221"/>
        <v>Homer Ave</v>
      </c>
      <c r="X5433" t="str">
        <f>IF(ISBLANK(S5433),"Intersection","Non-Intersection")</f>
        <v>Intersection</v>
      </c>
      <c r="Y5433" t="s">
        <v>3334</v>
      </c>
      <c r="Z5433" t="str">
        <f t="shared" si="1222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223"/>
        <v>41275</v>
      </c>
      <c r="D5434" s="4">
        <f t="shared" si="1224"/>
        <v>0.55616438356164388</v>
      </c>
      <c r="E5434" s="3">
        <f t="shared" si="1225"/>
        <v>2013</v>
      </c>
      <c r="F5434" s="3">
        <f t="shared" si="1226"/>
        <v>7</v>
      </c>
      <c r="G5434" s="3">
        <f t="shared" si="1227"/>
        <v>23</v>
      </c>
      <c r="H5434" s="3">
        <f t="shared" si="1228"/>
        <v>16</v>
      </c>
      <c r="I5434" s="3">
        <f t="shared" si="1229"/>
        <v>21</v>
      </c>
      <c r="J5434" s="3">
        <f t="shared" si="1230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231"/>
        <v>YES</v>
      </c>
      <c r="Q5434" t="str">
        <f t="shared" si="1232"/>
        <v>NO</v>
      </c>
      <c r="R5434" t="str">
        <f t="shared" si="1233"/>
        <v>NO</v>
      </c>
      <c r="T5434" t="s">
        <v>105</v>
      </c>
      <c r="U5434" t="str">
        <f t="shared" si="1220"/>
        <v>Broadway</v>
      </c>
      <c r="V5434" t="s">
        <v>3017</v>
      </c>
      <c r="W5434" t="str">
        <f t="shared" si="1221"/>
        <v>Ellery Pl</v>
      </c>
      <c r="X5434" t="str">
        <f>IF(ISBLANK(S5434),"Intersection","Non-Intersection")</f>
        <v>Intersection</v>
      </c>
      <c r="Y5434" t="s">
        <v>5315</v>
      </c>
      <c r="Z5434" t="str">
        <f t="shared" si="1222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223"/>
        <v>41275</v>
      </c>
      <c r="D5435" s="4">
        <f t="shared" si="1224"/>
        <v>0.55616438356164388</v>
      </c>
      <c r="E5435" s="3">
        <f t="shared" si="1225"/>
        <v>2013</v>
      </c>
      <c r="F5435" s="3">
        <f t="shared" si="1226"/>
        <v>7</v>
      </c>
      <c r="G5435" s="3">
        <f t="shared" si="1227"/>
        <v>23</v>
      </c>
      <c r="H5435" s="3">
        <f t="shared" si="1228"/>
        <v>18</v>
      </c>
      <c r="I5435" s="3">
        <f t="shared" si="1229"/>
        <v>52</v>
      </c>
      <c r="J5435" s="3">
        <f t="shared" si="1230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231"/>
        <v>YES</v>
      </c>
      <c r="Q5435" t="str">
        <f t="shared" si="1232"/>
        <v>NO</v>
      </c>
      <c r="R5435" t="str">
        <f t="shared" si="1233"/>
        <v>NO</v>
      </c>
      <c r="S5435">
        <v>4</v>
      </c>
      <c r="T5435" t="s">
        <v>198</v>
      </c>
      <c r="U5435" t="str">
        <f t="shared" si="1220"/>
        <v>Mount Auburn St</v>
      </c>
      <c r="W5435" t="str">
        <f t="shared" si="1221"/>
        <v/>
      </c>
      <c r="X5435" t="str">
        <f>IF(ISBLANK(S5435),"Intersection","Non-Intersection")</f>
        <v>Non-Intersection</v>
      </c>
      <c r="Y5435" t="s">
        <v>5834</v>
      </c>
      <c r="Z5435" t="str">
        <f t="shared" si="1222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223"/>
        <v>41275</v>
      </c>
      <c r="D5436" s="4">
        <f t="shared" si="1224"/>
        <v>0.55616438356164388</v>
      </c>
      <c r="E5436" s="3">
        <f t="shared" si="1225"/>
        <v>2013</v>
      </c>
      <c r="F5436" s="3">
        <f t="shared" si="1226"/>
        <v>7</v>
      </c>
      <c r="G5436" s="3">
        <f t="shared" si="1227"/>
        <v>23</v>
      </c>
      <c r="H5436" s="3">
        <f t="shared" si="1228"/>
        <v>21</v>
      </c>
      <c r="I5436" s="3">
        <f t="shared" si="1229"/>
        <v>42</v>
      </c>
      <c r="J5436" s="3">
        <f t="shared" si="1230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231"/>
        <v>YES</v>
      </c>
      <c r="Q5436" t="str">
        <f t="shared" si="1232"/>
        <v>YES</v>
      </c>
      <c r="R5436" t="str">
        <f t="shared" si="1233"/>
        <v>NO</v>
      </c>
      <c r="T5436" t="s">
        <v>14</v>
      </c>
      <c r="U5436" t="str">
        <f t="shared" si="1220"/>
        <v>Massachusetts Ave</v>
      </c>
      <c r="V5436" t="s">
        <v>805</v>
      </c>
      <c r="W5436" t="str">
        <f t="shared" si="1221"/>
        <v>Trowbridge St</v>
      </c>
      <c r="X5436" t="str">
        <f>IF(ISBLANK(S5436),"Intersection","Non-Intersection")</f>
        <v>Intersection</v>
      </c>
      <c r="Y5436" t="s">
        <v>4234</v>
      </c>
      <c r="Z5436" t="str">
        <f t="shared" si="1222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223"/>
        <v>41275</v>
      </c>
      <c r="D5437" s="4">
        <f t="shared" si="1224"/>
        <v>0.55616438356164388</v>
      </c>
      <c r="E5437" s="3">
        <f t="shared" si="1225"/>
        <v>2013</v>
      </c>
      <c r="F5437" s="3">
        <f t="shared" si="1226"/>
        <v>7</v>
      </c>
      <c r="G5437" s="3">
        <f t="shared" si="1227"/>
        <v>23</v>
      </c>
      <c r="H5437" s="3">
        <f t="shared" si="1228"/>
        <v>17</v>
      </c>
      <c r="I5437" s="3">
        <f t="shared" si="1229"/>
        <v>0</v>
      </c>
      <c r="J5437" s="3">
        <f t="shared" si="1230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231"/>
        <v>YES</v>
      </c>
      <c r="Q5437" t="str">
        <f t="shared" si="1232"/>
        <v>NO</v>
      </c>
      <c r="R5437" t="str">
        <f t="shared" si="1233"/>
        <v>NO</v>
      </c>
      <c r="S5437">
        <v>1100</v>
      </c>
      <c r="T5437" t="s">
        <v>14</v>
      </c>
      <c r="U5437" t="str">
        <f t="shared" si="1220"/>
        <v>Massachusetts Ave</v>
      </c>
      <c r="W5437" t="str">
        <f t="shared" si="1221"/>
        <v/>
      </c>
      <c r="X5437" t="str">
        <f>IF(ISBLANK(S5437),"Intersection","Non-Intersection")</f>
        <v>Non-Intersection</v>
      </c>
      <c r="Y5437" t="s">
        <v>5836</v>
      </c>
      <c r="Z5437" t="str">
        <f t="shared" si="1222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223"/>
        <v>41275</v>
      </c>
      <c r="D5438" s="4">
        <f t="shared" si="1224"/>
        <v>0.55616438356164388</v>
      </c>
      <c r="E5438" s="3">
        <f t="shared" si="1225"/>
        <v>2013</v>
      </c>
      <c r="F5438" s="3">
        <f t="shared" si="1226"/>
        <v>7</v>
      </c>
      <c r="G5438" s="3">
        <f t="shared" si="1227"/>
        <v>23</v>
      </c>
      <c r="H5438" s="3">
        <f t="shared" si="1228"/>
        <v>16</v>
      </c>
      <c r="I5438" s="3">
        <f t="shared" si="1229"/>
        <v>9</v>
      </c>
      <c r="J5438" s="3">
        <f t="shared" si="1230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231"/>
        <v>YES</v>
      </c>
      <c r="Q5438" t="str">
        <f t="shared" si="1232"/>
        <v>YES</v>
      </c>
      <c r="R5438" t="str">
        <f t="shared" si="1233"/>
        <v>NO</v>
      </c>
      <c r="S5438">
        <v>1000</v>
      </c>
      <c r="T5438" t="s">
        <v>14</v>
      </c>
      <c r="U5438" t="str">
        <f t="shared" si="1220"/>
        <v>Massachusetts Ave</v>
      </c>
      <c r="W5438" t="str">
        <f t="shared" si="1221"/>
        <v/>
      </c>
      <c r="X5438" t="str">
        <f>IF(ISBLANK(S5438),"Intersection","Non-Intersection")</f>
        <v>Non-Intersection</v>
      </c>
      <c r="Y5438" t="s">
        <v>5024</v>
      </c>
      <c r="Z5438" t="str">
        <f t="shared" si="1222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223"/>
        <v>41275</v>
      </c>
      <c r="D5439" s="4">
        <f t="shared" si="1224"/>
        <v>0.55890410958904113</v>
      </c>
      <c r="E5439" s="3">
        <f t="shared" si="1225"/>
        <v>2013</v>
      </c>
      <c r="F5439" s="3">
        <f t="shared" si="1226"/>
        <v>7</v>
      </c>
      <c r="G5439" s="3">
        <f t="shared" si="1227"/>
        <v>24</v>
      </c>
      <c r="H5439" s="3">
        <f t="shared" si="1228"/>
        <v>14</v>
      </c>
      <c r="I5439" s="3">
        <f t="shared" si="1229"/>
        <v>19</v>
      </c>
      <c r="J5439" s="3">
        <f t="shared" si="1230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231"/>
        <v>YES</v>
      </c>
      <c r="Q5439" t="str">
        <f t="shared" si="1232"/>
        <v>NO</v>
      </c>
      <c r="R5439" t="str">
        <f t="shared" si="1233"/>
        <v>NO</v>
      </c>
      <c r="T5439" t="s">
        <v>105</v>
      </c>
      <c r="U5439" t="str">
        <f t="shared" si="1220"/>
        <v>Broadway</v>
      </c>
      <c r="V5439" t="s">
        <v>101</v>
      </c>
      <c r="W5439" t="str">
        <f t="shared" si="1221"/>
        <v>Columbia St</v>
      </c>
      <c r="X5439" t="str">
        <f>IF(ISBLANK(S5439),"Intersection","Non-Intersection")</f>
        <v>Intersection</v>
      </c>
      <c r="Y5439" t="s">
        <v>1403</v>
      </c>
      <c r="Z5439" t="str">
        <f t="shared" si="1222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223"/>
        <v>41275</v>
      </c>
      <c r="D5440" s="4">
        <f t="shared" si="1224"/>
        <v>0.55890410958904113</v>
      </c>
      <c r="E5440" s="3">
        <f t="shared" si="1225"/>
        <v>2013</v>
      </c>
      <c r="F5440" s="3">
        <f t="shared" si="1226"/>
        <v>7</v>
      </c>
      <c r="G5440" s="3">
        <f t="shared" si="1227"/>
        <v>24</v>
      </c>
      <c r="H5440" s="3">
        <f t="shared" si="1228"/>
        <v>9</v>
      </c>
      <c r="I5440" s="3">
        <f t="shared" si="1229"/>
        <v>0</v>
      </c>
      <c r="J5440" s="3">
        <f t="shared" si="1230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231"/>
        <v>YES</v>
      </c>
      <c r="Q5440" t="str">
        <f t="shared" si="1232"/>
        <v>YES</v>
      </c>
      <c r="R5440" t="str">
        <f t="shared" si="1233"/>
        <v>NO</v>
      </c>
      <c r="S5440">
        <v>139</v>
      </c>
      <c r="T5440" t="s">
        <v>32</v>
      </c>
      <c r="U5440" t="str">
        <f t="shared" si="1220"/>
        <v>Main St</v>
      </c>
      <c r="W5440" t="str">
        <f t="shared" si="1221"/>
        <v/>
      </c>
      <c r="X5440" t="str">
        <f>IF(ISBLANK(S5440),"Intersection","Non-Intersection")</f>
        <v>Non-Intersection</v>
      </c>
      <c r="Y5440" t="s">
        <v>5838</v>
      </c>
      <c r="Z5440" t="str">
        <f t="shared" si="1222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223"/>
        <v>41275</v>
      </c>
      <c r="D5441" s="4">
        <f t="shared" si="1224"/>
        <v>0.55890410958904113</v>
      </c>
      <c r="E5441" s="3">
        <f t="shared" si="1225"/>
        <v>2013</v>
      </c>
      <c r="F5441" s="3">
        <f t="shared" si="1226"/>
        <v>7</v>
      </c>
      <c r="G5441" s="3">
        <f t="shared" si="1227"/>
        <v>24</v>
      </c>
      <c r="H5441" s="3">
        <f t="shared" si="1228"/>
        <v>13</v>
      </c>
      <c r="I5441" s="3">
        <f t="shared" si="1229"/>
        <v>40</v>
      </c>
      <c r="J5441" s="3">
        <f t="shared" si="1230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231"/>
        <v>YES</v>
      </c>
      <c r="Q5441" t="str">
        <f t="shared" si="1232"/>
        <v>NO</v>
      </c>
      <c r="R5441" t="str">
        <f t="shared" si="1233"/>
        <v>NO</v>
      </c>
      <c r="S5441">
        <v>100</v>
      </c>
      <c r="T5441" t="s">
        <v>28</v>
      </c>
      <c r="U5441" t="str">
        <f t="shared" si="1220"/>
        <v>Howard St</v>
      </c>
      <c r="W5441" t="str">
        <f t="shared" si="1221"/>
        <v/>
      </c>
      <c r="X5441" t="str">
        <f>IF(ISBLANK(S5441),"Intersection","Non-Intersection")</f>
        <v>Non-Intersection</v>
      </c>
      <c r="Y5441" t="s">
        <v>5840</v>
      </c>
      <c r="Z5441" t="str">
        <f t="shared" si="1222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223"/>
        <v>41275</v>
      </c>
      <c r="D5442" s="4">
        <f t="shared" si="1224"/>
        <v>0.55890410958904113</v>
      </c>
      <c r="E5442" s="3">
        <f t="shared" si="1225"/>
        <v>2013</v>
      </c>
      <c r="F5442" s="3">
        <f t="shared" si="1226"/>
        <v>7</v>
      </c>
      <c r="G5442" s="3">
        <f t="shared" si="1227"/>
        <v>24</v>
      </c>
      <c r="H5442" s="3">
        <f t="shared" si="1228"/>
        <v>15</v>
      </c>
      <c r="I5442" s="3">
        <f t="shared" si="1229"/>
        <v>59</v>
      </c>
      <c r="J5442" s="3">
        <f t="shared" si="1230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231"/>
        <v>YES</v>
      </c>
      <c r="Q5442" t="str">
        <f t="shared" si="1232"/>
        <v>NO</v>
      </c>
      <c r="R5442" t="str">
        <f t="shared" si="1233"/>
        <v>NO</v>
      </c>
      <c r="S5442">
        <v>1493</v>
      </c>
      <c r="T5442" t="s">
        <v>19</v>
      </c>
      <c r="U5442" t="str">
        <f t="shared" si="1220"/>
        <v>Cambridge St</v>
      </c>
      <c r="W5442" t="str">
        <f t="shared" si="1221"/>
        <v/>
      </c>
      <c r="X5442" t="str">
        <f>IF(ISBLANK(S5442),"Intersection","Non-Intersection")</f>
        <v>Non-Intersection</v>
      </c>
      <c r="Y5442" t="s">
        <v>1660</v>
      </c>
      <c r="Z5442" t="str">
        <f t="shared" si="1222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223"/>
        <v>41275</v>
      </c>
      <c r="D5443" s="4">
        <f t="shared" si="1224"/>
        <v>0.56164383561643838</v>
      </c>
      <c r="E5443" s="3">
        <f t="shared" si="1225"/>
        <v>2013</v>
      </c>
      <c r="F5443" s="3">
        <f t="shared" si="1226"/>
        <v>7</v>
      </c>
      <c r="G5443" s="3">
        <f t="shared" si="1227"/>
        <v>25</v>
      </c>
      <c r="H5443" s="3">
        <f t="shared" si="1228"/>
        <v>9</v>
      </c>
      <c r="I5443" s="3">
        <f t="shared" si="1229"/>
        <v>59</v>
      </c>
      <c r="J5443" s="3">
        <f t="shared" si="1230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231"/>
        <v>YES</v>
      </c>
      <c r="Q5443" t="str">
        <f t="shared" si="1232"/>
        <v>NO</v>
      </c>
      <c r="R5443" t="str">
        <f t="shared" si="1233"/>
        <v>NO</v>
      </c>
      <c r="T5443" t="s">
        <v>238</v>
      </c>
      <c r="U5443" t="str">
        <f t="shared" ref="U5443:U5506" si="1234">TRIM(PROPER(T5443))</f>
        <v>Kirkland St</v>
      </c>
      <c r="V5443" t="s">
        <v>803</v>
      </c>
      <c r="W5443" t="str">
        <f t="shared" ref="W5443:W5506" si="1235">TRIM(PROPER(V5443))</f>
        <v>Line St</v>
      </c>
      <c r="X5443" t="str">
        <f>IF(ISBLANK(S5443),"Intersection","Non-Intersection")</f>
        <v>Intersection</v>
      </c>
      <c r="Y5443" t="s">
        <v>5842</v>
      </c>
      <c r="Z5443" t="str">
        <f t="shared" ref="Z5443:Z5506" si="1236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223"/>
        <v>41275</v>
      </c>
      <c r="D5444" s="4">
        <f t="shared" si="1224"/>
        <v>0.56164383561643838</v>
      </c>
      <c r="E5444" s="3">
        <f t="shared" si="1225"/>
        <v>2013</v>
      </c>
      <c r="F5444" s="3">
        <f t="shared" si="1226"/>
        <v>7</v>
      </c>
      <c r="G5444" s="3">
        <f t="shared" si="1227"/>
        <v>25</v>
      </c>
      <c r="H5444" s="3">
        <f t="shared" si="1228"/>
        <v>12</v>
      </c>
      <c r="I5444" s="3">
        <f t="shared" si="1229"/>
        <v>0</v>
      </c>
      <c r="J5444" s="3">
        <f t="shared" si="1230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231"/>
        <v>YES</v>
      </c>
      <c r="Q5444" t="str">
        <f t="shared" si="1232"/>
        <v>NO</v>
      </c>
      <c r="R5444" t="str">
        <f t="shared" si="1233"/>
        <v>NO</v>
      </c>
      <c r="T5444" t="s">
        <v>97</v>
      </c>
      <c r="U5444" t="str">
        <f t="shared" si="1234"/>
        <v>Peabody St</v>
      </c>
      <c r="V5444" t="s">
        <v>14</v>
      </c>
      <c r="W5444" t="str">
        <f t="shared" si="1235"/>
        <v>Massachusetts Ave</v>
      </c>
      <c r="X5444" t="str">
        <f>IF(ISBLANK(S5444),"Intersection","Non-Intersection")</f>
        <v>Intersection</v>
      </c>
      <c r="Y5444" t="s">
        <v>98</v>
      </c>
      <c r="Z5444" t="str">
        <f t="shared" si="1236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223"/>
        <v>41275</v>
      </c>
      <c r="D5445" s="4">
        <f t="shared" si="1224"/>
        <v>0.56164383561643838</v>
      </c>
      <c r="E5445" s="3">
        <f t="shared" si="1225"/>
        <v>2013</v>
      </c>
      <c r="F5445" s="3">
        <f t="shared" si="1226"/>
        <v>7</v>
      </c>
      <c r="G5445" s="3">
        <f t="shared" si="1227"/>
        <v>25</v>
      </c>
      <c r="H5445" s="3">
        <f t="shared" si="1228"/>
        <v>11</v>
      </c>
      <c r="I5445" s="3">
        <f t="shared" si="1229"/>
        <v>0</v>
      </c>
      <c r="J5445" s="3">
        <f t="shared" si="1230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231"/>
        <v>YES</v>
      </c>
      <c r="Q5445" t="str">
        <f t="shared" si="1232"/>
        <v>NO</v>
      </c>
      <c r="R5445" t="str">
        <f t="shared" si="1233"/>
        <v>NO</v>
      </c>
      <c r="T5445" t="s">
        <v>1158</v>
      </c>
      <c r="U5445" t="str">
        <f t="shared" si="1234"/>
        <v>Clifton St</v>
      </c>
      <c r="V5445" t="s">
        <v>15</v>
      </c>
      <c r="W5445" t="str">
        <f t="shared" si="1235"/>
        <v>Rindge Ave</v>
      </c>
      <c r="X5445" t="str">
        <f>IF(ISBLANK(S5445),"Intersection","Non-Intersection")</f>
        <v>Intersection</v>
      </c>
      <c r="Y5445" t="s">
        <v>5844</v>
      </c>
      <c r="Z5445" t="str">
        <f t="shared" si="1236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223"/>
        <v>41275</v>
      </c>
      <c r="D5446" s="4">
        <f t="shared" si="1224"/>
        <v>0.56164383561643838</v>
      </c>
      <c r="E5446" s="3">
        <f t="shared" si="1225"/>
        <v>2013</v>
      </c>
      <c r="F5446" s="3">
        <f t="shared" si="1226"/>
        <v>7</v>
      </c>
      <c r="G5446" s="3">
        <f t="shared" si="1227"/>
        <v>25</v>
      </c>
      <c r="H5446" s="3">
        <f t="shared" si="1228"/>
        <v>15</v>
      </c>
      <c r="I5446" s="3">
        <f t="shared" si="1229"/>
        <v>10</v>
      </c>
      <c r="J5446" s="3">
        <f t="shared" si="1230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231"/>
        <v>YES</v>
      </c>
      <c r="Q5446" t="str">
        <f t="shared" si="1232"/>
        <v>NO</v>
      </c>
      <c r="R5446" t="str">
        <f t="shared" si="1233"/>
        <v>NO</v>
      </c>
      <c r="T5446" t="s">
        <v>185</v>
      </c>
      <c r="U5446" t="str">
        <f t="shared" si="1234"/>
        <v>Garden St</v>
      </c>
      <c r="V5446" t="s">
        <v>45</v>
      </c>
      <c r="W5446" t="str">
        <f t="shared" si="1235"/>
        <v>Sherman St</v>
      </c>
      <c r="X5446" t="str">
        <f>IF(ISBLANK(S5446),"Intersection","Non-Intersection")</f>
        <v>Intersection</v>
      </c>
      <c r="Y5446" t="s">
        <v>5845</v>
      </c>
      <c r="Z5446" t="str">
        <f t="shared" si="1236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223"/>
        <v>41275</v>
      </c>
      <c r="D5447" s="4">
        <f t="shared" si="1224"/>
        <v>0.56438356164383563</v>
      </c>
      <c r="E5447" s="3">
        <f t="shared" si="1225"/>
        <v>2013</v>
      </c>
      <c r="F5447" s="3">
        <f t="shared" si="1226"/>
        <v>7</v>
      </c>
      <c r="G5447" s="3">
        <f t="shared" si="1227"/>
        <v>26</v>
      </c>
      <c r="H5447" s="3">
        <f t="shared" si="1228"/>
        <v>8</v>
      </c>
      <c r="I5447" s="3">
        <f t="shared" si="1229"/>
        <v>29</v>
      </c>
      <c r="J5447" s="3">
        <f t="shared" si="1230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231"/>
        <v>YES</v>
      </c>
      <c r="Q5447" t="str">
        <f t="shared" si="1232"/>
        <v>NO</v>
      </c>
      <c r="R5447" t="str">
        <f t="shared" si="1233"/>
        <v>NO</v>
      </c>
      <c r="T5447" t="s">
        <v>315</v>
      </c>
      <c r="U5447" t="str">
        <f t="shared" si="1234"/>
        <v>Essex St</v>
      </c>
      <c r="V5447" t="s">
        <v>5846</v>
      </c>
      <c r="W5447" t="str">
        <f t="shared" si="1235"/>
        <v>Ashburton Pl</v>
      </c>
      <c r="X5447" t="str">
        <f>IF(ISBLANK(S5447),"Intersection","Non-Intersection")</f>
        <v>Intersection</v>
      </c>
      <c r="Y5447" t="s">
        <v>5847</v>
      </c>
      <c r="Z5447" t="str">
        <f t="shared" si="1236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223"/>
        <v>41275</v>
      </c>
      <c r="D5448" s="4">
        <f t="shared" si="1224"/>
        <v>0.56438356164383563</v>
      </c>
      <c r="E5448" s="3">
        <f t="shared" si="1225"/>
        <v>2013</v>
      </c>
      <c r="F5448" s="3">
        <f t="shared" si="1226"/>
        <v>7</v>
      </c>
      <c r="G5448" s="3">
        <f t="shared" si="1227"/>
        <v>26</v>
      </c>
      <c r="H5448" s="3">
        <f t="shared" si="1228"/>
        <v>16</v>
      </c>
      <c r="I5448" s="3">
        <f t="shared" si="1229"/>
        <v>32</v>
      </c>
      <c r="J5448" s="3">
        <f t="shared" si="1230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231"/>
        <v>YES</v>
      </c>
      <c r="Q5448" t="str">
        <f t="shared" si="1232"/>
        <v>NO</v>
      </c>
      <c r="R5448" t="str">
        <f t="shared" si="1233"/>
        <v>YES</v>
      </c>
      <c r="T5448" t="s">
        <v>1438</v>
      </c>
      <c r="U5448" t="str">
        <f t="shared" si="1234"/>
        <v>Dunster St</v>
      </c>
      <c r="V5448" t="s">
        <v>198</v>
      </c>
      <c r="W5448" t="str">
        <f t="shared" si="1235"/>
        <v>Mount Auburn St</v>
      </c>
      <c r="X5448" t="str">
        <f>IF(ISBLANK(S5448),"Intersection","Non-Intersection")</f>
        <v>Intersection</v>
      </c>
      <c r="Y5448" t="s">
        <v>1786</v>
      </c>
      <c r="Z5448" t="str">
        <f t="shared" si="1236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223"/>
        <v>41275</v>
      </c>
      <c r="D5449" s="4">
        <f t="shared" si="1224"/>
        <v>0.56438356164383563</v>
      </c>
      <c r="E5449" s="3">
        <f t="shared" si="1225"/>
        <v>2013</v>
      </c>
      <c r="F5449" s="3">
        <f t="shared" si="1226"/>
        <v>7</v>
      </c>
      <c r="G5449" s="3">
        <f t="shared" si="1227"/>
        <v>26</v>
      </c>
      <c r="H5449" s="3">
        <f t="shared" si="1228"/>
        <v>3</v>
      </c>
      <c r="I5449" s="3">
        <f t="shared" si="1229"/>
        <v>36</v>
      </c>
      <c r="J5449" s="3">
        <f t="shared" si="1230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231"/>
        <v>YES</v>
      </c>
      <c r="Q5449" t="str">
        <f t="shared" si="1232"/>
        <v>NO</v>
      </c>
      <c r="R5449" t="str">
        <f t="shared" si="1233"/>
        <v>NO</v>
      </c>
      <c r="S5449">
        <v>431</v>
      </c>
      <c r="T5449" t="s">
        <v>142</v>
      </c>
      <c r="U5449" t="str">
        <f t="shared" si="1234"/>
        <v>Huron Ave</v>
      </c>
      <c r="W5449" t="str">
        <f t="shared" si="1235"/>
        <v/>
      </c>
      <c r="X5449" t="str">
        <f>IF(ISBLANK(S5449),"Intersection","Non-Intersection")</f>
        <v>Non-Intersection</v>
      </c>
      <c r="Y5449" t="s">
        <v>5849</v>
      </c>
      <c r="Z5449" t="str">
        <f t="shared" si="1236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223"/>
        <v>41275</v>
      </c>
      <c r="D5450" s="4">
        <f t="shared" si="1224"/>
        <v>0.56438356164383563</v>
      </c>
      <c r="E5450" s="3">
        <f t="shared" si="1225"/>
        <v>2013</v>
      </c>
      <c r="F5450" s="3">
        <f t="shared" si="1226"/>
        <v>7</v>
      </c>
      <c r="G5450" s="3">
        <f t="shared" si="1227"/>
        <v>26</v>
      </c>
      <c r="H5450" s="3">
        <f t="shared" si="1228"/>
        <v>14</v>
      </c>
      <c r="I5450" s="3">
        <f t="shared" si="1229"/>
        <v>19</v>
      </c>
      <c r="J5450" s="3">
        <f t="shared" si="1230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231"/>
        <v>YES</v>
      </c>
      <c r="Q5450" t="str">
        <f t="shared" si="1232"/>
        <v>NO</v>
      </c>
      <c r="R5450" t="str">
        <f t="shared" si="1233"/>
        <v>NO</v>
      </c>
      <c r="T5450" t="s">
        <v>198</v>
      </c>
      <c r="U5450" t="str">
        <f t="shared" si="1234"/>
        <v>Mount Auburn St</v>
      </c>
      <c r="V5450" t="s">
        <v>229</v>
      </c>
      <c r="W5450" t="str">
        <f t="shared" si="1235"/>
        <v>Dewolfe St</v>
      </c>
      <c r="X5450" t="str">
        <f>IF(ISBLANK(S5450),"Intersection","Non-Intersection")</f>
        <v>Intersection</v>
      </c>
      <c r="Y5450" t="s">
        <v>1927</v>
      </c>
      <c r="Z5450" t="str">
        <f t="shared" si="1236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223"/>
        <v>41275</v>
      </c>
      <c r="D5451" s="4">
        <f t="shared" si="1224"/>
        <v>0.56986301369863013</v>
      </c>
      <c r="E5451" s="3">
        <f t="shared" si="1225"/>
        <v>2013</v>
      </c>
      <c r="F5451" s="3">
        <f t="shared" si="1226"/>
        <v>7</v>
      </c>
      <c r="G5451" s="3">
        <f t="shared" si="1227"/>
        <v>28</v>
      </c>
      <c r="H5451" s="3">
        <f t="shared" si="1228"/>
        <v>7</v>
      </c>
      <c r="I5451" s="3">
        <f t="shared" si="1229"/>
        <v>5</v>
      </c>
      <c r="J5451" s="3">
        <f t="shared" si="1230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231"/>
        <v>YES</v>
      </c>
      <c r="Q5451" t="str">
        <f t="shared" si="1232"/>
        <v>NO</v>
      </c>
      <c r="R5451" t="str">
        <f t="shared" si="1233"/>
        <v>YES</v>
      </c>
      <c r="T5451" t="s">
        <v>14</v>
      </c>
      <c r="U5451" t="str">
        <f t="shared" si="1234"/>
        <v>Massachusetts Ave</v>
      </c>
      <c r="V5451" t="s">
        <v>195</v>
      </c>
      <c r="W5451" t="str">
        <f t="shared" si="1235"/>
        <v>Sidney St</v>
      </c>
      <c r="X5451" t="str">
        <f>IF(ISBLANK(S5451),"Intersection","Non-Intersection")</f>
        <v>Intersection</v>
      </c>
      <c r="Y5451" t="s">
        <v>196</v>
      </c>
      <c r="Z5451" t="str">
        <f t="shared" si="1236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223"/>
        <v>41275</v>
      </c>
      <c r="D5452" s="4">
        <f t="shared" si="1224"/>
        <v>0.56986301369863013</v>
      </c>
      <c r="E5452" s="3">
        <f t="shared" si="1225"/>
        <v>2013</v>
      </c>
      <c r="F5452" s="3">
        <f t="shared" si="1226"/>
        <v>7</v>
      </c>
      <c r="G5452" s="3">
        <f t="shared" si="1227"/>
        <v>28</v>
      </c>
      <c r="H5452" s="3">
        <f t="shared" si="1228"/>
        <v>15</v>
      </c>
      <c r="I5452" s="3">
        <f t="shared" si="1229"/>
        <v>30</v>
      </c>
      <c r="J5452" s="3">
        <f t="shared" si="1230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231"/>
        <v>YES</v>
      </c>
      <c r="Q5452" t="str">
        <f t="shared" si="1232"/>
        <v>NO</v>
      </c>
      <c r="R5452" t="str">
        <f t="shared" si="1233"/>
        <v>NO</v>
      </c>
      <c r="S5452">
        <v>243</v>
      </c>
      <c r="T5452" t="s">
        <v>453</v>
      </c>
      <c r="U5452" t="str">
        <f t="shared" si="1234"/>
        <v>Brookline St</v>
      </c>
      <c r="W5452" t="str">
        <f t="shared" si="1235"/>
        <v/>
      </c>
      <c r="X5452" t="str">
        <f>IF(ISBLANK(S5452),"Intersection","Non-Intersection")</f>
        <v>Non-Intersection</v>
      </c>
      <c r="Y5452" t="s">
        <v>5851</v>
      </c>
      <c r="Z5452" t="str">
        <f t="shared" si="1236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223"/>
        <v>41275</v>
      </c>
      <c r="D5453" s="4">
        <f t="shared" si="1224"/>
        <v>0.57260273972602738</v>
      </c>
      <c r="E5453" s="3">
        <f t="shared" si="1225"/>
        <v>2013</v>
      </c>
      <c r="F5453" s="3">
        <f t="shared" si="1226"/>
        <v>7</v>
      </c>
      <c r="G5453" s="3">
        <f t="shared" si="1227"/>
        <v>29</v>
      </c>
      <c r="H5453" s="3">
        <f t="shared" si="1228"/>
        <v>11</v>
      </c>
      <c r="I5453" s="3">
        <f t="shared" si="1229"/>
        <v>29</v>
      </c>
      <c r="J5453" s="3">
        <f t="shared" si="1230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231"/>
        <v>YES</v>
      </c>
      <c r="Q5453" t="str">
        <f t="shared" si="1232"/>
        <v>NO</v>
      </c>
      <c r="R5453" t="str">
        <f t="shared" si="1233"/>
        <v>NO</v>
      </c>
      <c r="T5453" t="s">
        <v>142</v>
      </c>
      <c r="U5453" t="str">
        <f t="shared" si="1234"/>
        <v>Huron Ave</v>
      </c>
      <c r="V5453" t="s">
        <v>521</v>
      </c>
      <c r="W5453" t="str">
        <f t="shared" si="1235"/>
        <v>Lakeview Ave</v>
      </c>
      <c r="X5453" t="str">
        <f>IF(ISBLANK(S5453),"Intersection","Non-Intersection")</f>
        <v>Intersection</v>
      </c>
      <c r="Y5453" t="s">
        <v>2342</v>
      </c>
      <c r="Z5453" t="str">
        <f t="shared" si="1236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223"/>
        <v>41275</v>
      </c>
      <c r="D5454" s="4">
        <f t="shared" si="1224"/>
        <v>0.57260273972602738</v>
      </c>
      <c r="E5454" s="3">
        <f t="shared" si="1225"/>
        <v>2013</v>
      </c>
      <c r="F5454" s="3">
        <f t="shared" si="1226"/>
        <v>7</v>
      </c>
      <c r="G5454" s="3">
        <f t="shared" si="1227"/>
        <v>29</v>
      </c>
      <c r="H5454" s="3">
        <f t="shared" si="1228"/>
        <v>20</v>
      </c>
      <c r="I5454" s="3">
        <f t="shared" si="1229"/>
        <v>49</v>
      </c>
      <c r="J5454" s="3">
        <f t="shared" si="1230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231"/>
        <v>YES</v>
      </c>
      <c r="Q5454" t="str">
        <f t="shared" si="1232"/>
        <v>NO</v>
      </c>
      <c r="R5454" t="str">
        <f t="shared" si="1233"/>
        <v>NO</v>
      </c>
      <c r="T5454" t="s">
        <v>105</v>
      </c>
      <c r="U5454" t="str">
        <f t="shared" si="1234"/>
        <v>Broadway</v>
      </c>
      <c r="W5454" t="str">
        <f t="shared" si="1235"/>
        <v/>
      </c>
      <c r="X5454" t="str">
        <f>IF(ISBLANK(S5454),"Intersection","Non-Intersection")</f>
        <v>Intersection</v>
      </c>
      <c r="Y5454" t="s">
        <v>974</v>
      </c>
      <c r="Z5454" t="str">
        <f t="shared" si="1236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223"/>
        <v>41275</v>
      </c>
      <c r="D5455" s="4">
        <f t="shared" si="1224"/>
        <v>0.57260273972602738</v>
      </c>
      <c r="E5455" s="3">
        <f t="shared" si="1225"/>
        <v>2013</v>
      </c>
      <c r="F5455" s="3">
        <f t="shared" si="1226"/>
        <v>7</v>
      </c>
      <c r="G5455" s="3">
        <f t="shared" si="1227"/>
        <v>29</v>
      </c>
      <c r="H5455" s="3">
        <f t="shared" si="1228"/>
        <v>6</v>
      </c>
      <c r="I5455" s="3">
        <f t="shared" si="1229"/>
        <v>20</v>
      </c>
      <c r="J5455" s="3">
        <f t="shared" si="1230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231"/>
        <v>YES</v>
      </c>
      <c r="Q5455" t="str">
        <f t="shared" si="1232"/>
        <v>NO</v>
      </c>
      <c r="R5455" t="str">
        <f t="shared" si="1233"/>
        <v>NO</v>
      </c>
      <c r="S5455">
        <v>734</v>
      </c>
      <c r="T5455" t="s">
        <v>14</v>
      </c>
      <c r="U5455" t="str">
        <f t="shared" si="1234"/>
        <v>Massachusetts Ave</v>
      </c>
      <c r="V5455" t="s">
        <v>178</v>
      </c>
      <c r="W5455" t="str">
        <f t="shared" si="1235"/>
        <v>Pleasant St</v>
      </c>
      <c r="X5455" t="str">
        <f>IF(ISBLANK(S5455),"Intersection","Non-Intersection")</f>
        <v>Non-Intersection</v>
      </c>
      <c r="Y5455" t="s">
        <v>5853</v>
      </c>
      <c r="Z5455" t="str">
        <f t="shared" si="1236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223"/>
        <v>41275</v>
      </c>
      <c r="D5456" s="4">
        <f t="shared" si="1224"/>
        <v>0.57534246575342463</v>
      </c>
      <c r="E5456" s="3">
        <f t="shared" si="1225"/>
        <v>2013</v>
      </c>
      <c r="F5456" s="3">
        <f t="shared" si="1226"/>
        <v>7</v>
      </c>
      <c r="G5456" s="3">
        <f t="shared" si="1227"/>
        <v>30</v>
      </c>
      <c r="H5456" s="3">
        <f t="shared" si="1228"/>
        <v>19</v>
      </c>
      <c r="I5456" s="3">
        <f t="shared" si="1229"/>
        <v>30</v>
      </c>
      <c r="J5456" s="3">
        <f t="shared" si="1230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231"/>
        <v>YES</v>
      </c>
      <c r="Q5456" t="str">
        <f t="shared" si="1232"/>
        <v>NO</v>
      </c>
      <c r="R5456" t="str">
        <f t="shared" si="1233"/>
        <v>NO</v>
      </c>
      <c r="S5456">
        <v>22</v>
      </c>
      <c r="T5456" t="s">
        <v>4918</v>
      </c>
      <c r="U5456" t="str">
        <f t="shared" si="1234"/>
        <v>Holden St</v>
      </c>
      <c r="W5456" t="str">
        <f t="shared" si="1235"/>
        <v/>
      </c>
      <c r="X5456" t="str">
        <f>IF(ISBLANK(S5456),"Intersection","Non-Intersection")</f>
        <v>Non-Intersection</v>
      </c>
      <c r="Y5456" t="s">
        <v>5855</v>
      </c>
      <c r="Z5456" t="str">
        <f t="shared" si="1236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223"/>
        <v>41275</v>
      </c>
      <c r="D5457" s="4">
        <f t="shared" si="1224"/>
        <v>0.57534246575342463</v>
      </c>
      <c r="E5457" s="3">
        <f t="shared" si="1225"/>
        <v>2013</v>
      </c>
      <c r="F5457" s="3">
        <f t="shared" si="1226"/>
        <v>7</v>
      </c>
      <c r="G5457" s="3">
        <f t="shared" si="1227"/>
        <v>30</v>
      </c>
      <c r="H5457" s="3">
        <f t="shared" si="1228"/>
        <v>8</v>
      </c>
      <c r="I5457" s="3">
        <f t="shared" si="1229"/>
        <v>49</v>
      </c>
      <c r="J5457" s="3">
        <f t="shared" si="1230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231"/>
        <v>YES</v>
      </c>
      <c r="Q5457" t="str">
        <f t="shared" si="1232"/>
        <v>NO</v>
      </c>
      <c r="R5457" t="str">
        <f t="shared" si="1233"/>
        <v>NO</v>
      </c>
      <c r="T5457" t="s">
        <v>14</v>
      </c>
      <c r="U5457" t="str">
        <f t="shared" si="1234"/>
        <v>Massachusetts Ave</v>
      </c>
      <c r="V5457" t="s">
        <v>119</v>
      </c>
      <c r="W5457" t="str">
        <f t="shared" si="1235"/>
        <v>Albany St</v>
      </c>
      <c r="X5457" t="str">
        <f>IF(ISBLANK(S5457),"Intersection","Non-Intersection")</f>
        <v>Intersection</v>
      </c>
      <c r="Y5457" t="s">
        <v>247</v>
      </c>
      <c r="Z5457" t="str">
        <f t="shared" si="1236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223"/>
        <v>41275</v>
      </c>
      <c r="D5458" s="4">
        <f t="shared" si="1224"/>
        <v>0.57534246575342463</v>
      </c>
      <c r="E5458" s="3">
        <f t="shared" si="1225"/>
        <v>2013</v>
      </c>
      <c r="F5458" s="3">
        <f t="shared" si="1226"/>
        <v>7</v>
      </c>
      <c r="G5458" s="3">
        <f t="shared" si="1227"/>
        <v>30</v>
      </c>
      <c r="H5458" s="3">
        <f t="shared" si="1228"/>
        <v>17</v>
      </c>
      <c r="I5458" s="3">
        <f t="shared" si="1229"/>
        <v>23</v>
      </c>
      <c r="J5458" s="3">
        <f t="shared" si="1230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231"/>
        <v>YES</v>
      </c>
      <c r="Q5458" t="str">
        <f t="shared" si="1232"/>
        <v>YES</v>
      </c>
      <c r="R5458" t="str">
        <f t="shared" si="1233"/>
        <v>NO</v>
      </c>
      <c r="S5458">
        <v>411</v>
      </c>
      <c r="T5458" t="s">
        <v>105</v>
      </c>
      <c r="U5458" t="str">
        <f t="shared" si="1234"/>
        <v>Broadway</v>
      </c>
      <c r="V5458" t="s">
        <v>3097</v>
      </c>
      <c r="W5458" t="str">
        <f t="shared" si="1235"/>
        <v>Scouting Way</v>
      </c>
      <c r="X5458" t="str">
        <f>IF(ISBLANK(S5458),"Intersection","Non-Intersection")</f>
        <v>Non-Intersection</v>
      </c>
      <c r="Y5458" t="s">
        <v>5857</v>
      </c>
      <c r="Z5458" t="str">
        <f t="shared" si="1236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223"/>
        <v>41275</v>
      </c>
      <c r="D5459" s="4">
        <f t="shared" si="1224"/>
        <v>0.57808219178082187</v>
      </c>
      <c r="E5459" s="3">
        <f t="shared" si="1225"/>
        <v>2013</v>
      </c>
      <c r="F5459" s="3">
        <f t="shared" si="1226"/>
        <v>7</v>
      </c>
      <c r="G5459" s="3">
        <f t="shared" si="1227"/>
        <v>31</v>
      </c>
      <c r="H5459" s="3">
        <f t="shared" si="1228"/>
        <v>14</v>
      </c>
      <c r="I5459" s="3">
        <f t="shared" si="1229"/>
        <v>7</v>
      </c>
      <c r="J5459" s="3">
        <f t="shared" si="1230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231"/>
        <v>YES</v>
      </c>
      <c r="Q5459" t="str">
        <f t="shared" si="1232"/>
        <v>NO</v>
      </c>
      <c r="R5459" t="str">
        <f t="shared" si="1233"/>
        <v>NO</v>
      </c>
      <c r="S5459">
        <v>2206</v>
      </c>
      <c r="T5459" t="s">
        <v>14</v>
      </c>
      <c r="U5459" t="str">
        <f t="shared" si="1234"/>
        <v>Massachusetts Ave</v>
      </c>
      <c r="W5459" t="str">
        <f t="shared" si="1235"/>
        <v/>
      </c>
      <c r="X5459" t="str">
        <f>IF(ISBLANK(S5459),"Intersection","Non-Intersection")</f>
        <v>Non-Intersection</v>
      </c>
      <c r="Y5459" t="s">
        <v>5859</v>
      </c>
      <c r="Z5459" t="str">
        <f t="shared" si="1236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223"/>
        <v>41275</v>
      </c>
      <c r="D5460" s="4">
        <f t="shared" si="1224"/>
        <v>0.57808219178082187</v>
      </c>
      <c r="E5460" s="3">
        <f t="shared" si="1225"/>
        <v>2013</v>
      </c>
      <c r="F5460" s="3">
        <f t="shared" si="1226"/>
        <v>7</v>
      </c>
      <c r="G5460" s="3">
        <f t="shared" si="1227"/>
        <v>31</v>
      </c>
      <c r="H5460" s="3">
        <f t="shared" si="1228"/>
        <v>13</v>
      </c>
      <c r="I5460" s="3">
        <f t="shared" si="1229"/>
        <v>34</v>
      </c>
      <c r="J5460" s="3">
        <f t="shared" si="1230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231"/>
        <v>YES</v>
      </c>
      <c r="Q5460" t="str">
        <f t="shared" si="1232"/>
        <v>NO</v>
      </c>
      <c r="R5460" t="str">
        <f t="shared" si="1233"/>
        <v>NO</v>
      </c>
      <c r="S5460">
        <v>1847</v>
      </c>
      <c r="T5460" t="s">
        <v>14</v>
      </c>
      <c r="U5460" t="str">
        <f t="shared" si="1234"/>
        <v>Massachusetts Ave</v>
      </c>
      <c r="W5460" t="str">
        <f t="shared" si="1235"/>
        <v/>
      </c>
      <c r="X5460" t="str">
        <f>IF(ISBLANK(S5460),"Intersection","Non-Intersection")</f>
        <v>Non-Intersection</v>
      </c>
      <c r="Y5460" t="s">
        <v>3307</v>
      </c>
      <c r="Z5460" t="str">
        <f t="shared" si="1236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223"/>
        <v>41275</v>
      </c>
      <c r="D5461" s="4">
        <f t="shared" si="1224"/>
        <v>0.57808219178082187</v>
      </c>
      <c r="E5461" s="3">
        <f t="shared" si="1225"/>
        <v>2013</v>
      </c>
      <c r="F5461" s="3">
        <f t="shared" si="1226"/>
        <v>7</v>
      </c>
      <c r="G5461" s="3">
        <f t="shared" si="1227"/>
        <v>31</v>
      </c>
      <c r="H5461" s="3">
        <f t="shared" si="1228"/>
        <v>18</v>
      </c>
      <c r="I5461" s="3">
        <f t="shared" si="1229"/>
        <v>59</v>
      </c>
      <c r="J5461" s="3">
        <f t="shared" si="1230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231"/>
        <v>YES</v>
      </c>
      <c r="Q5461" t="str">
        <f t="shared" si="1232"/>
        <v>YES</v>
      </c>
      <c r="R5461" t="str">
        <f t="shared" si="1233"/>
        <v>NO</v>
      </c>
      <c r="T5461" t="s">
        <v>501</v>
      </c>
      <c r="U5461" t="str">
        <f t="shared" si="1234"/>
        <v>Garfield St</v>
      </c>
      <c r="V5461" t="s">
        <v>166</v>
      </c>
      <c r="W5461" t="str">
        <f t="shared" si="1235"/>
        <v>Oxford Ave</v>
      </c>
      <c r="X5461" t="str">
        <f>IF(ISBLANK(S5461),"Intersection","Non-Intersection")</f>
        <v>Intersection</v>
      </c>
      <c r="Y5461" t="s">
        <v>5860</v>
      </c>
      <c r="Z5461" t="str">
        <f t="shared" si="1236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223"/>
        <v>41275</v>
      </c>
      <c r="D5462" s="4">
        <f t="shared" si="1224"/>
        <v>0.58082191780821912</v>
      </c>
      <c r="E5462" s="3">
        <f t="shared" si="1225"/>
        <v>2013</v>
      </c>
      <c r="F5462" s="3">
        <f t="shared" si="1226"/>
        <v>8</v>
      </c>
      <c r="G5462" s="3">
        <f t="shared" si="1227"/>
        <v>1</v>
      </c>
      <c r="H5462" s="3">
        <f t="shared" si="1228"/>
        <v>1</v>
      </c>
      <c r="I5462" s="3">
        <f t="shared" si="1229"/>
        <v>30</v>
      </c>
      <c r="J5462" s="3">
        <f t="shared" si="1230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231"/>
        <v>YES</v>
      </c>
      <c r="Q5462" t="str">
        <f t="shared" si="1232"/>
        <v>NO</v>
      </c>
      <c r="R5462" t="str">
        <f t="shared" si="1233"/>
        <v>NO</v>
      </c>
      <c r="S5462">
        <v>16</v>
      </c>
      <c r="T5462" t="s">
        <v>2986</v>
      </c>
      <c r="U5462" t="str">
        <f t="shared" si="1234"/>
        <v>Seven Pines Ave</v>
      </c>
      <c r="W5462" t="str">
        <f t="shared" si="1235"/>
        <v/>
      </c>
      <c r="X5462" t="str">
        <f>IF(ISBLANK(S5462),"Intersection","Non-Intersection")</f>
        <v>Non-Intersection</v>
      </c>
      <c r="Y5462" t="s">
        <v>5862</v>
      </c>
      <c r="Z5462" t="str">
        <f t="shared" si="1236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223"/>
        <v>41275</v>
      </c>
      <c r="D5463" s="4">
        <f t="shared" si="1224"/>
        <v>0.58082191780821912</v>
      </c>
      <c r="E5463" s="3">
        <f t="shared" si="1225"/>
        <v>2013</v>
      </c>
      <c r="F5463" s="3">
        <f t="shared" si="1226"/>
        <v>8</v>
      </c>
      <c r="G5463" s="3">
        <f t="shared" si="1227"/>
        <v>1</v>
      </c>
      <c r="H5463" s="3">
        <f t="shared" si="1228"/>
        <v>2</v>
      </c>
      <c r="I5463" s="3">
        <f t="shared" si="1229"/>
        <v>29</v>
      </c>
      <c r="J5463" s="3">
        <f t="shared" si="1230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231"/>
        <v>YES</v>
      </c>
      <c r="Q5463" t="str">
        <f t="shared" si="1232"/>
        <v>NO</v>
      </c>
      <c r="R5463" t="str">
        <f t="shared" si="1233"/>
        <v>NO</v>
      </c>
      <c r="S5463">
        <v>103</v>
      </c>
      <c r="T5463" t="s">
        <v>199</v>
      </c>
      <c r="U5463" t="str">
        <f t="shared" si="1234"/>
        <v>Brattle St</v>
      </c>
      <c r="W5463" t="str">
        <f t="shared" si="1235"/>
        <v/>
      </c>
      <c r="X5463" t="str">
        <f>IF(ISBLANK(S5463),"Intersection","Non-Intersection")</f>
        <v>Non-Intersection</v>
      </c>
      <c r="Y5463" t="s">
        <v>5864</v>
      </c>
      <c r="Z5463" t="str">
        <f t="shared" si="1236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223"/>
        <v>41275</v>
      </c>
      <c r="D5464" s="4">
        <f t="shared" si="1224"/>
        <v>0.58082191780821912</v>
      </c>
      <c r="E5464" s="3">
        <f t="shared" si="1225"/>
        <v>2013</v>
      </c>
      <c r="F5464" s="3">
        <f t="shared" si="1226"/>
        <v>8</v>
      </c>
      <c r="G5464" s="3">
        <f t="shared" si="1227"/>
        <v>1</v>
      </c>
      <c r="H5464" s="3">
        <f t="shared" si="1228"/>
        <v>8</v>
      </c>
      <c r="I5464" s="3">
        <f t="shared" si="1229"/>
        <v>35</v>
      </c>
      <c r="J5464" s="3">
        <f t="shared" si="1230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231"/>
        <v>NO</v>
      </c>
      <c r="Q5464" t="str">
        <f t="shared" si="1232"/>
        <v>YES</v>
      </c>
      <c r="R5464" t="str">
        <f t="shared" si="1233"/>
        <v>NO</v>
      </c>
      <c r="T5464" t="s">
        <v>185</v>
      </c>
      <c r="U5464" t="str">
        <f t="shared" si="1234"/>
        <v>Garden St</v>
      </c>
      <c r="V5464" t="s">
        <v>988</v>
      </c>
      <c r="W5464" t="str">
        <f t="shared" si="1235"/>
        <v>Bond St</v>
      </c>
      <c r="X5464" t="str">
        <f>IF(ISBLANK(S5464),"Intersection","Non-Intersection")</f>
        <v>Intersection</v>
      </c>
      <c r="Y5464" t="s">
        <v>3716</v>
      </c>
      <c r="Z5464" t="str">
        <f t="shared" si="1236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237">EOMONTH(B5465,MONTH(B5465)*-1)+1</f>
        <v>41275</v>
      </c>
      <c r="D5465" s="4">
        <f t="shared" ref="D5465:D5525" si="1238">YEARFRAC(C5465,B5465,1)</f>
        <v>0.58082191780821912</v>
      </c>
      <c r="E5465" s="3">
        <f t="shared" ref="E5465:E5525" si="1239">YEAR(B5465)</f>
        <v>2013</v>
      </c>
      <c r="F5465" s="3">
        <f t="shared" ref="F5465:F5525" si="1240">MONTH(B5465)</f>
        <v>8</v>
      </c>
      <c r="G5465" s="3">
        <f t="shared" ref="G5465:G5525" si="1241">DAY(B5465)</f>
        <v>1</v>
      </c>
      <c r="H5465" s="3">
        <f t="shared" ref="H5465:H5525" si="1242">HOUR(B5465)</f>
        <v>10</v>
      </c>
      <c r="I5465" s="3">
        <f t="shared" ref="I5465:I5525" si="1243">MINUTE(B5465)</f>
        <v>15</v>
      </c>
      <c r="J5465" s="3">
        <f t="shared" ref="J5465:J5525" si="1244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245">IF(OR(N5465="Auto",O5465="Auto"),"YES",IF(OR(N5465="Taxi",O5465="Taxi"),"YES",IF(OR(N5465="Van",O5465="Van"),"YES",IF(OR(N5465="Truck",O5465="Truck"),"YES","NO"))))</f>
        <v>YES</v>
      </c>
      <c r="Q5465" t="str">
        <f t="shared" ref="Q5465:Q5525" si="1246">IF(OR(N5465="Bicycle",O5465="Bicycle"),"YES","NO")</f>
        <v>NO</v>
      </c>
      <c r="R5465" t="str">
        <f t="shared" ref="R5465:R5525" si="1247">IF(OR(N5465="Pedestrian",O5465="Pedestrian"),"YES","NO")</f>
        <v>NO</v>
      </c>
      <c r="S5465">
        <v>174</v>
      </c>
      <c r="T5465" t="s">
        <v>133</v>
      </c>
      <c r="U5465" t="str">
        <f t="shared" si="1234"/>
        <v>Harvard St</v>
      </c>
      <c r="W5465" t="str">
        <f t="shared" si="1235"/>
        <v/>
      </c>
      <c r="X5465" t="str">
        <f>IF(ISBLANK(S5465),"Intersection","Non-Intersection")</f>
        <v>Non-Intersection</v>
      </c>
      <c r="Y5465" t="s">
        <v>5866</v>
      </c>
      <c r="Z5465" t="str">
        <f t="shared" si="1236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237"/>
        <v>41275</v>
      </c>
      <c r="D5466" s="4">
        <f t="shared" si="1238"/>
        <v>0.58356164383561648</v>
      </c>
      <c r="E5466" s="3">
        <f t="shared" si="1239"/>
        <v>2013</v>
      </c>
      <c r="F5466" s="3">
        <f t="shared" si="1240"/>
        <v>8</v>
      </c>
      <c r="G5466" s="3">
        <f t="shared" si="1241"/>
        <v>2</v>
      </c>
      <c r="H5466" s="3">
        <f t="shared" si="1242"/>
        <v>18</v>
      </c>
      <c r="I5466" s="3">
        <f t="shared" si="1243"/>
        <v>0</v>
      </c>
      <c r="J5466" s="3">
        <f t="shared" si="1244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245"/>
        <v>YES</v>
      </c>
      <c r="Q5466" t="str">
        <f t="shared" si="1246"/>
        <v>NO</v>
      </c>
      <c r="R5466" t="str">
        <f t="shared" si="1247"/>
        <v>NO</v>
      </c>
      <c r="S5466">
        <v>33</v>
      </c>
      <c r="T5466" t="s">
        <v>208</v>
      </c>
      <c r="U5466" t="str">
        <f t="shared" si="1234"/>
        <v>Sparks St</v>
      </c>
      <c r="W5466" t="str">
        <f t="shared" si="1235"/>
        <v/>
      </c>
      <c r="X5466" t="str">
        <f>IF(ISBLANK(S5466),"Intersection","Non-Intersection")</f>
        <v>Non-Intersection</v>
      </c>
      <c r="Y5466" t="s">
        <v>5869</v>
      </c>
      <c r="Z5466" t="str">
        <f t="shared" si="1236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237"/>
        <v>41275</v>
      </c>
      <c r="D5467" s="4">
        <f t="shared" si="1238"/>
        <v>0.58356164383561648</v>
      </c>
      <c r="E5467" s="3">
        <f t="shared" si="1239"/>
        <v>2013</v>
      </c>
      <c r="F5467" s="3">
        <f t="shared" si="1240"/>
        <v>8</v>
      </c>
      <c r="G5467" s="3">
        <f t="shared" si="1241"/>
        <v>2</v>
      </c>
      <c r="H5467" s="3">
        <f t="shared" si="1242"/>
        <v>7</v>
      </c>
      <c r="I5467" s="3">
        <f t="shared" si="1243"/>
        <v>44</v>
      </c>
      <c r="J5467" s="3">
        <f t="shared" si="1244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245"/>
        <v>YES</v>
      </c>
      <c r="Q5467" t="str">
        <f t="shared" si="1246"/>
        <v>NO</v>
      </c>
      <c r="R5467" t="str">
        <f t="shared" si="1247"/>
        <v>NO</v>
      </c>
      <c r="S5467">
        <v>2550</v>
      </c>
      <c r="T5467" t="s">
        <v>14</v>
      </c>
      <c r="U5467" t="str">
        <f t="shared" si="1234"/>
        <v>Massachusetts Ave</v>
      </c>
      <c r="V5467" t="s">
        <v>1095</v>
      </c>
      <c r="W5467" t="str">
        <f t="shared" si="1235"/>
        <v>Churchill Ave</v>
      </c>
      <c r="X5467" t="str">
        <f>IF(ISBLANK(S5467),"Intersection","Non-Intersection")</f>
        <v>Non-Intersection</v>
      </c>
      <c r="Y5467" t="s">
        <v>5871</v>
      </c>
      <c r="Z5467" t="str">
        <f t="shared" si="1236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237"/>
        <v>41275</v>
      </c>
      <c r="D5468" s="4">
        <f t="shared" si="1238"/>
        <v>0.58356164383561648</v>
      </c>
      <c r="E5468" s="3">
        <f t="shared" si="1239"/>
        <v>2013</v>
      </c>
      <c r="F5468" s="3">
        <f t="shared" si="1240"/>
        <v>8</v>
      </c>
      <c r="G5468" s="3">
        <f t="shared" si="1241"/>
        <v>2</v>
      </c>
      <c r="H5468" s="3">
        <f t="shared" si="1242"/>
        <v>8</v>
      </c>
      <c r="I5468" s="3">
        <f t="shared" si="1243"/>
        <v>29</v>
      </c>
      <c r="J5468" s="3">
        <f t="shared" si="1244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245"/>
        <v>YES</v>
      </c>
      <c r="Q5468" t="str">
        <f t="shared" si="1246"/>
        <v>NO</v>
      </c>
      <c r="R5468" t="str">
        <f t="shared" si="1247"/>
        <v>NO</v>
      </c>
      <c r="T5468" t="s">
        <v>14</v>
      </c>
      <c r="U5468" t="str">
        <f t="shared" si="1234"/>
        <v>Massachusetts Ave</v>
      </c>
      <c r="V5468" t="s">
        <v>745</v>
      </c>
      <c r="W5468" t="str">
        <f t="shared" si="1235"/>
        <v>Norfolk St</v>
      </c>
      <c r="X5468" t="str">
        <f>IF(ISBLANK(S5468),"Intersection","Non-Intersection")</f>
        <v>Intersection</v>
      </c>
      <c r="Y5468" t="s">
        <v>873</v>
      </c>
      <c r="Z5468" t="str">
        <f t="shared" si="1236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237"/>
        <v>41275</v>
      </c>
      <c r="D5469" s="4">
        <f t="shared" si="1238"/>
        <v>0.58356164383561648</v>
      </c>
      <c r="E5469" s="3">
        <f t="shared" si="1239"/>
        <v>2013</v>
      </c>
      <c r="F5469" s="3">
        <f t="shared" si="1240"/>
        <v>8</v>
      </c>
      <c r="G5469" s="3">
        <f t="shared" si="1241"/>
        <v>2</v>
      </c>
      <c r="H5469" s="3">
        <f t="shared" si="1242"/>
        <v>10</v>
      </c>
      <c r="I5469" s="3">
        <f t="shared" si="1243"/>
        <v>43</v>
      </c>
      <c r="J5469" s="3">
        <f t="shared" si="1244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245"/>
        <v>YES</v>
      </c>
      <c r="Q5469" t="str">
        <f t="shared" si="1246"/>
        <v>YES</v>
      </c>
      <c r="R5469" t="str">
        <f t="shared" si="1247"/>
        <v>NO</v>
      </c>
      <c r="S5469">
        <v>2240</v>
      </c>
      <c r="T5469" t="s">
        <v>14</v>
      </c>
      <c r="U5469" t="str">
        <f t="shared" si="1234"/>
        <v>Massachusetts Ave</v>
      </c>
      <c r="W5469" t="str">
        <f t="shared" si="1235"/>
        <v/>
      </c>
      <c r="X5469" t="str">
        <f>IF(ISBLANK(S5469),"Intersection","Non-Intersection")</f>
        <v>Non-Intersection</v>
      </c>
      <c r="Y5469" t="s">
        <v>5204</v>
      </c>
      <c r="Z5469" t="str">
        <f t="shared" si="1236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237"/>
        <v>41275</v>
      </c>
      <c r="D5470" s="4">
        <f t="shared" si="1238"/>
        <v>0.58356164383561648</v>
      </c>
      <c r="E5470" s="3">
        <f t="shared" si="1239"/>
        <v>2013</v>
      </c>
      <c r="F5470" s="3">
        <f t="shared" si="1240"/>
        <v>8</v>
      </c>
      <c r="G5470" s="3">
        <f t="shared" si="1241"/>
        <v>2</v>
      </c>
      <c r="H5470" s="3">
        <f t="shared" si="1242"/>
        <v>11</v>
      </c>
      <c r="I5470" s="3">
        <f t="shared" si="1243"/>
        <v>6</v>
      </c>
      <c r="J5470" s="3">
        <f t="shared" si="1244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245"/>
        <v>YES</v>
      </c>
      <c r="Q5470" t="str">
        <f t="shared" si="1246"/>
        <v>NO</v>
      </c>
      <c r="R5470" t="str">
        <f t="shared" si="1247"/>
        <v>NO</v>
      </c>
      <c r="S5470">
        <v>21</v>
      </c>
      <c r="T5470" t="s">
        <v>2012</v>
      </c>
      <c r="U5470" t="str">
        <f t="shared" si="1234"/>
        <v>Mellen St</v>
      </c>
      <c r="W5470" t="str">
        <f t="shared" si="1235"/>
        <v/>
      </c>
      <c r="X5470" t="str">
        <f>IF(ISBLANK(S5470),"Intersection","Non-Intersection")</f>
        <v>Non-Intersection</v>
      </c>
      <c r="Y5470" t="s">
        <v>5872</v>
      </c>
      <c r="Z5470" t="str">
        <f t="shared" si="1236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237"/>
        <v>41275</v>
      </c>
      <c r="D5471" s="4">
        <f t="shared" si="1238"/>
        <v>0.58356164383561648</v>
      </c>
      <c r="E5471" s="3">
        <f t="shared" si="1239"/>
        <v>2013</v>
      </c>
      <c r="F5471" s="3">
        <f t="shared" si="1240"/>
        <v>8</v>
      </c>
      <c r="G5471" s="3">
        <f t="shared" si="1241"/>
        <v>2</v>
      </c>
      <c r="H5471" s="3">
        <f t="shared" si="1242"/>
        <v>12</v>
      </c>
      <c r="I5471" s="3">
        <f t="shared" si="1243"/>
        <v>5</v>
      </c>
      <c r="J5471" s="3">
        <f t="shared" si="1244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245"/>
        <v>YES</v>
      </c>
      <c r="Q5471" t="str">
        <f t="shared" si="1246"/>
        <v>NO</v>
      </c>
      <c r="R5471" t="str">
        <f t="shared" si="1247"/>
        <v>NO</v>
      </c>
      <c r="S5471">
        <v>748</v>
      </c>
      <c r="T5471" t="s">
        <v>203</v>
      </c>
      <c r="U5471" t="str">
        <f t="shared" si="1234"/>
        <v>Memorial Dr</v>
      </c>
      <c r="W5471" t="str">
        <f t="shared" si="1235"/>
        <v/>
      </c>
      <c r="X5471" t="str">
        <f>IF(ISBLANK(S5471),"Intersection","Non-Intersection")</f>
        <v>Non-Intersection</v>
      </c>
      <c r="Y5471" t="s">
        <v>1731</v>
      </c>
      <c r="Z5471" t="str">
        <f t="shared" si="1236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237"/>
        <v>41275</v>
      </c>
      <c r="D5472" s="4">
        <f t="shared" si="1238"/>
        <v>0.58356164383561648</v>
      </c>
      <c r="E5472" s="3">
        <f t="shared" si="1239"/>
        <v>2013</v>
      </c>
      <c r="F5472" s="3">
        <f t="shared" si="1240"/>
        <v>8</v>
      </c>
      <c r="G5472" s="3">
        <f t="shared" si="1241"/>
        <v>2</v>
      </c>
      <c r="H5472" s="3">
        <f t="shared" si="1242"/>
        <v>15</v>
      </c>
      <c r="I5472" s="3">
        <f t="shared" si="1243"/>
        <v>14</v>
      </c>
      <c r="J5472" s="3">
        <f t="shared" si="1244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245"/>
        <v>YES</v>
      </c>
      <c r="Q5472" t="str">
        <f t="shared" si="1246"/>
        <v>NO</v>
      </c>
      <c r="R5472" t="str">
        <f t="shared" si="1247"/>
        <v>NO</v>
      </c>
      <c r="S5472">
        <v>402</v>
      </c>
      <c r="T5472" t="s">
        <v>15</v>
      </c>
      <c r="U5472" t="str">
        <f t="shared" si="1234"/>
        <v>Rindge Ave</v>
      </c>
      <c r="W5472" t="str">
        <f t="shared" si="1235"/>
        <v/>
      </c>
      <c r="X5472" t="str">
        <f>IF(ISBLANK(S5472),"Intersection","Non-Intersection")</f>
        <v>Non-Intersection</v>
      </c>
      <c r="Y5472" t="s">
        <v>1135</v>
      </c>
      <c r="Z5472" t="str">
        <f t="shared" si="1236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237"/>
        <v>41275</v>
      </c>
      <c r="D5473" s="4">
        <f t="shared" si="1238"/>
        <v>0.58356164383561648</v>
      </c>
      <c r="E5473" s="3">
        <f t="shared" si="1239"/>
        <v>2013</v>
      </c>
      <c r="F5473" s="3">
        <f t="shared" si="1240"/>
        <v>8</v>
      </c>
      <c r="G5473" s="3">
        <f t="shared" si="1241"/>
        <v>2</v>
      </c>
      <c r="H5473" s="3">
        <f t="shared" si="1242"/>
        <v>17</v>
      </c>
      <c r="I5473" s="3">
        <f t="shared" si="1243"/>
        <v>58</v>
      </c>
      <c r="J5473" s="3">
        <f t="shared" si="1244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245"/>
        <v>YES</v>
      </c>
      <c r="Q5473" t="str">
        <f t="shared" si="1246"/>
        <v>NO</v>
      </c>
      <c r="R5473" t="str">
        <f t="shared" si="1247"/>
        <v>NO</v>
      </c>
      <c r="S5473">
        <v>1562</v>
      </c>
      <c r="T5473" t="s">
        <v>14</v>
      </c>
      <c r="U5473" t="str">
        <f t="shared" si="1234"/>
        <v>Massachusetts Ave</v>
      </c>
      <c r="W5473" t="str">
        <f t="shared" si="1235"/>
        <v/>
      </c>
      <c r="X5473" t="str">
        <f>IF(ISBLANK(S5473),"Intersection","Non-Intersection")</f>
        <v>Non-Intersection</v>
      </c>
      <c r="Y5473" t="s">
        <v>5874</v>
      </c>
      <c r="Z5473" t="str">
        <f t="shared" si="1236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237"/>
        <v>41275</v>
      </c>
      <c r="D5474" s="4">
        <f t="shared" si="1238"/>
        <v>0.58356164383561648</v>
      </c>
      <c r="E5474" s="3">
        <f t="shared" si="1239"/>
        <v>2013</v>
      </c>
      <c r="F5474" s="3">
        <f t="shared" si="1240"/>
        <v>8</v>
      </c>
      <c r="G5474" s="3">
        <f t="shared" si="1241"/>
        <v>2</v>
      </c>
      <c r="H5474" s="3">
        <f t="shared" si="1242"/>
        <v>21</v>
      </c>
      <c r="I5474" s="3">
        <f t="shared" si="1243"/>
        <v>40</v>
      </c>
      <c r="J5474" s="3">
        <f t="shared" si="1244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245"/>
        <v>YES</v>
      </c>
      <c r="Q5474" t="str">
        <f t="shared" si="1246"/>
        <v>NO</v>
      </c>
      <c r="R5474" t="str">
        <f t="shared" si="1247"/>
        <v>NO</v>
      </c>
      <c r="S5474">
        <v>18</v>
      </c>
      <c r="T5474" t="s">
        <v>5875</v>
      </c>
      <c r="U5474" t="str">
        <f t="shared" si="1234"/>
        <v>Hardwick St</v>
      </c>
      <c r="W5474" t="str">
        <f t="shared" si="1235"/>
        <v/>
      </c>
      <c r="X5474" t="str">
        <f>IF(ISBLANK(S5474),"Intersection","Non-Intersection")</f>
        <v>Non-Intersection</v>
      </c>
      <c r="Y5474" t="s">
        <v>5876</v>
      </c>
      <c r="Z5474" t="str">
        <f t="shared" si="1236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237"/>
        <v>41275</v>
      </c>
      <c r="D5475" s="4">
        <f t="shared" si="1238"/>
        <v>0.58356164383561648</v>
      </c>
      <c r="E5475" s="3">
        <f t="shared" si="1239"/>
        <v>2013</v>
      </c>
      <c r="F5475" s="3">
        <f t="shared" si="1240"/>
        <v>8</v>
      </c>
      <c r="G5475" s="3">
        <f t="shared" si="1241"/>
        <v>2</v>
      </c>
      <c r="H5475" s="3">
        <f t="shared" si="1242"/>
        <v>21</v>
      </c>
      <c r="I5475" s="3">
        <f t="shared" si="1243"/>
        <v>49</v>
      </c>
      <c r="J5475" s="3">
        <f t="shared" si="1244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245"/>
        <v>YES</v>
      </c>
      <c r="Q5475" t="str">
        <f t="shared" si="1246"/>
        <v>NO</v>
      </c>
      <c r="R5475" t="str">
        <f t="shared" si="1247"/>
        <v>NO</v>
      </c>
      <c r="T5475" t="s">
        <v>1502</v>
      </c>
      <c r="U5475" t="str">
        <f t="shared" si="1234"/>
        <v>Gore St</v>
      </c>
      <c r="V5475" t="s">
        <v>260</v>
      </c>
      <c r="W5475" t="str">
        <f t="shared" si="1235"/>
        <v>Third St</v>
      </c>
      <c r="X5475" t="str">
        <f>IF(ISBLANK(S5475),"Intersection","Non-Intersection")</f>
        <v>Intersection</v>
      </c>
      <c r="Y5475" t="s">
        <v>2873</v>
      </c>
      <c r="Z5475" t="str">
        <f t="shared" si="1236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237"/>
        <v>41275</v>
      </c>
      <c r="D5476" s="4">
        <f t="shared" si="1238"/>
        <v>0.58630136986301373</v>
      </c>
      <c r="E5476" s="3">
        <f t="shared" si="1239"/>
        <v>2013</v>
      </c>
      <c r="F5476" s="3">
        <f t="shared" si="1240"/>
        <v>8</v>
      </c>
      <c r="G5476" s="3">
        <f t="shared" si="1241"/>
        <v>3</v>
      </c>
      <c r="H5476" s="3">
        <f t="shared" si="1242"/>
        <v>11</v>
      </c>
      <c r="I5476" s="3">
        <f t="shared" si="1243"/>
        <v>48</v>
      </c>
      <c r="J5476" s="3">
        <f t="shared" si="1244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245"/>
        <v>YES</v>
      </c>
      <c r="Q5476" t="str">
        <f t="shared" si="1246"/>
        <v>YES</v>
      </c>
      <c r="R5476" t="str">
        <f t="shared" si="1247"/>
        <v>NO</v>
      </c>
      <c r="T5476" t="s">
        <v>238</v>
      </c>
      <c r="U5476" t="str">
        <f t="shared" si="1234"/>
        <v>Kirkland St</v>
      </c>
      <c r="V5476" t="s">
        <v>166</v>
      </c>
      <c r="W5476" t="str">
        <f t="shared" si="1235"/>
        <v>Oxford Ave</v>
      </c>
      <c r="X5476" t="str">
        <f>IF(ISBLANK(S5476),"Intersection","Non-Intersection")</f>
        <v>Intersection</v>
      </c>
      <c r="Y5476" t="s">
        <v>4457</v>
      </c>
      <c r="Z5476" t="str">
        <f t="shared" si="1236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237"/>
        <v>41275</v>
      </c>
      <c r="D5477" s="4">
        <f t="shared" si="1238"/>
        <v>0.58630136986301373</v>
      </c>
      <c r="E5477" s="3">
        <f t="shared" si="1239"/>
        <v>2013</v>
      </c>
      <c r="F5477" s="3">
        <f t="shared" si="1240"/>
        <v>8</v>
      </c>
      <c r="G5477" s="3">
        <f t="shared" si="1241"/>
        <v>3</v>
      </c>
      <c r="H5477" s="3">
        <f t="shared" si="1242"/>
        <v>15</v>
      </c>
      <c r="I5477" s="3">
        <f t="shared" si="1243"/>
        <v>0</v>
      </c>
      <c r="J5477" s="3">
        <f t="shared" si="1244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245"/>
        <v>YES</v>
      </c>
      <c r="Q5477" t="str">
        <f t="shared" si="1246"/>
        <v>NO</v>
      </c>
      <c r="R5477" t="str">
        <f t="shared" si="1247"/>
        <v>NO</v>
      </c>
      <c r="S5477">
        <v>133</v>
      </c>
      <c r="T5477" t="s">
        <v>2484</v>
      </c>
      <c r="U5477" t="str">
        <f t="shared" si="1234"/>
        <v>Amory Pl</v>
      </c>
      <c r="W5477" t="str">
        <f t="shared" si="1235"/>
        <v/>
      </c>
      <c r="X5477" t="str">
        <f>IF(ISBLANK(S5477),"Intersection","Non-Intersection")</f>
        <v>Non-Intersection</v>
      </c>
      <c r="Y5477" t="s">
        <v>5878</v>
      </c>
      <c r="Z5477" t="str">
        <f t="shared" si="1236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237"/>
        <v>41275</v>
      </c>
      <c r="D5478" s="4">
        <f t="shared" si="1238"/>
        <v>0.58630136986301373</v>
      </c>
      <c r="E5478" s="3">
        <f t="shared" si="1239"/>
        <v>2013</v>
      </c>
      <c r="F5478" s="3">
        <f t="shared" si="1240"/>
        <v>8</v>
      </c>
      <c r="G5478" s="3">
        <f t="shared" si="1241"/>
        <v>3</v>
      </c>
      <c r="H5478" s="3">
        <f t="shared" si="1242"/>
        <v>14</v>
      </c>
      <c r="I5478" s="3">
        <f t="shared" si="1243"/>
        <v>35</v>
      </c>
      <c r="J5478" s="3">
        <f t="shared" si="1244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245"/>
        <v>YES</v>
      </c>
      <c r="Q5478" t="str">
        <f t="shared" si="1246"/>
        <v>NO</v>
      </c>
      <c r="R5478" t="str">
        <f t="shared" si="1247"/>
        <v>NO</v>
      </c>
      <c r="S5478">
        <v>86</v>
      </c>
      <c r="T5478" t="s">
        <v>745</v>
      </c>
      <c r="U5478" t="str">
        <f t="shared" si="1234"/>
        <v>Norfolk St</v>
      </c>
      <c r="W5478" t="str">
        <f t="shared" si="1235"/>
        <v/>
      </c>
      <c r="X5478" t="str">
        <f>IF(ISBLANK(S5478),"Intersection","Non-Intersection")</f>
        <v>Non-Intersection</v>
      </c>
      <c r="Y5478" t="s">
        <v>5880</v>
      </c>
      <c r="Z5478" t="str">
        <f t="shared" si="1236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237"/>
        <v>41275</v>
      </c>
      <c r="D5479" s="4">
        <f t="shared" si="1238"/>
        <v>0.58630136986301373</v>
      </c>
      <c r="E5479" s="3">
        <f t="shared" si="1239"/>
        <v>2013</v>
      </c>
      <c r="F5479" s="3">
        <f t="shared" si="1240"/>
        <v>8</v>
      </c>
      <c r="G5479" s="3">
        <f t="shared" si="1241"/>
        <v>3</v>
      </c>
      <c r="H5479" s="3">
        <f t="shared" si="1242"/>
        <v>17</v>
      </c>
      <c r="I5479" s="3">
        <f t="shared" si="1243"/>
        <v>32</v>
      </c>
      <c r="J5479" s="3">
        <f t="shared" si="1244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245"/>
        <v>YES</v>
      </c>
      <c r="Q5479" t="str">
        <f t="shared" si="1246"/>
        <v>NO</v>
      </c>
      <c r="R5479" t="str">
        <f t="shared" si="1247"/>
        <v>YES</v>
      </c>
      <c r="T5479" t="s">
        <v>3893</v>
      </c>
      <c r="U5479" t="str">
        <f t="shared" si="1234"/>
        <v>North Point Blvd</v>
      </c>
      <c r="W5479" t="str">
        <f t="shared" si="1235"/>
        <v/>
      </c>
      <c r="X5479" t="str">
        <f>IF(ISBLANK(S5479),"Intersection","Non-Intersection")</f>
        <v>Intersection</v>
      </c>
      <c r="Y5479" t="s">
        <v>5882</v>
      </c>
      <c r="Z5479" t="str">
        <f t="shared" si="1236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237"/>
        <v>41275</v>
      </c>
      <c r="D5480" s="4">
        <f t="shared" si="1238"/>
        <v>0.59178082191780823</v>
      </c>
      <c r="E5480" s="3">
        <f t="shared" si="1239"/>
        <v>2013</v>
      </c>
      <c r="F5480" s="3">
        <f t="shared" si="1240"/>
        <v>8</v>
      </c>
      <c r="G5480" s="3">
        <f t="shared" si="1241"/>
        <v>5</v>
      </c>
      <c r="H5480" s="3">
        <f t="shared" si="1242"/>
        <v>20</v>
      </c>
      <c r="I5480" s="3">
        <f t="shared" si="1243"/>
        <v>15</v>
      </c>
      <c r="J5480" s="3">
        <f t="shared" si="1244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245"/>
        <v>YES</v>
      </c>
      <c r="Q5480" t="str">
        <f t="shared" si="1246"/>
        <v>YES</v>
      </c>
      <c r="R5480" t="str">
        <f t="shared" si="1247"/>
        <v>NO</v>
      </c>
      <c r="T5480" t="s">
        <v>19</v>
      </c>
      <c r="U5480" t="str">
        <f t="shared" si="1234"/>
        <v>Cambridge St</v>
      </c>
      <c r="V5480" t="s">
        <v>74</v>
      </c>
      <c r="W5480" t="str">
        <f t="shared" si="1235"/>
        <v>Hampshire St</v>
      </c>
      <c r="X5480" t="str">
        <f>IF(ISBLANK(S5480),"Intersection","Non-Intersection")</f>
        <v>Intersection</v>
      </c>
      <c r="Y5480" t="s">
        <v>111</v>
      </c>
      <c r="Z5480" t="str">
        <f t="shared" si="1236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237"/>
        <v>41275</v>
      </c>
      <c r="D5481" s="4">
        <f t="shared" si="1238"/>
        <v>0.59178082191780823</v>
      </c>
      <c r="E5481" s="3">
        <f t="shared" si="1239"/>
        <v>2013</v>
      </c>
      <c r="F5481" s="3">
        <f t="shared" si="1240"/>
        <v>8</v>
      </c>
      <c r="G5481" s="3">
        <f t="shared" si="1241"/>
        <v>5</v>
      </c>
      <c r="H5481" s="3">
        <f t="shared" si="1242"/>
        <v>12</v>
      </c>
      <c r="I5481" s="3">
        <f t="shared" si="1243"/>
        <v>46</v>
      </c>
      <c r="J5481" s="3">
        <f t="shared" si="1244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245"/>
        <v>YES</v>
      </c>
      <c r="Q5481" t="str">
        <f t="shared" si="1246"/>
        <v>NO</v>
      </c>
      <c r="R5481" t="str">
        <f t="shared" si="1247"/>
        <v>NO</v>
      </c>
      <c r="T5481" t="s">
        <v>14</v>
      </c>
      <c r="U5481" t="str">
        <f t="shared" si="1234"/>
        <v>Massachusetts Ave</v>
      </c>
      <c r="V5481" t="s">
        <v>487</v>
      </c>
      <c r="W5481" t="str">
        <f t="shared" si="1235"/>
        <v>Beech St</v>
      </c>
      <c r="X5481" t="str">
        <f>IF(ISBLANK(S5481),"Intersection","Non-Intersection")</f>
        <v>Intersection</v>
      </c>
      <c r="Y5481" t="s">
        <v>787</v>
      </c>
      <c r="Z5481" t="str">
        <f t="shared" si="1236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237"/>
        <v>41275</v>
      </c>
      <c r="D5482" s="4">
        <f t="shared" si="1238"/>
        <v>0.59178082191780823</v>
      </c>
      <c r="E5482" s="3">
        <f t="shared" si="1239"/>
        <v>2013</v>
      </c>
      <c r="F5482" s="3">
        <f t="shared" si="1240"/>
        <v>8</v>
      </c>
      <c r="G5482" s="3">
        <f t="shared" si="1241"/>
        <v>5</v>
      </c>
      <c r="H5482" s="3">
        <f t="shared" si="1242"/>
        <v>6</v>
      </c>
      <c r="I5482" s="3">
        <f t="shared" si="1243"/>
        <v>55</v>
      </c>
      <c r="J5482" s="3">
        <f t="shared" si="1244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245"/>
        <v>YES</v>
      </c>
      <c r="Q5482" t="str">
        <f t="shared" si="1246"/>
        <v>NO</v>
      </c>
      <c r="R5482" t="str">
        <f t="shared" si="1247"/>
        <v>NO</v>
      </c>
      <c r="T5482" t="s">
        <v>453</v>
      </c>
      <c r="U5482" t="str">
        <f t="shared" si="1234"/>
        <v>Brookline St</v>
      </c>
      <c r="V5482" t="s">
        <v>835</v>
      </c>
      <c r="W5482" t="str">
        <f t="shared" si="1235"/>
        <v>Erie St</v>
      </c>
      <c r="X5482" t="str">
        <f>IF(ISBLANK(S5482),"Intersection","Non-Intersection")</f>
        <v>Intersection</v>
      </c>
      <c r="Y5482" t="s">
        <v>5322</v>
      </c>
      <c r="Z5482" t="str">
        <f t="shared" si="1236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237"/>
        <v>41275</v>
      </c>
      <c r="D5483" s="4">
        <f t="shared" si="1238"/>
        <v>0.59178082191780823</v>
      </c>
      <c r="E5483" s="3">
        <f t="shared" si="1239"/>
        <v>2013</v>
      </c>
      <c r="F5483" s="3">
        <f t="shared" si="1240"/>
        <v>8</v>
      </c>
      <c r="G5483" s="3">
        <f t="shared" si="1241"/>
        <v>5</v>
      </c>
      <c r="H5483" s="3">
        <f t="shared" si="1242"/>
        <v>8</v>
      </c>
      <c r="I5483" s="3">
        <f t="shared" si="1243"/>
        <v>29</v>
      </c>
      <c r="J5483" s="3">
        <f t="shared" si="1244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245"/>
        <v>YES</v>
      </c>
      <c r="Q5483" t="str">
        <f t="shared" si="1246"/>
        <v>NO</v>
      </c>
      <c r="R5483" t="str">
        <f t="shared" si="1247"/>
        <v>NO</v>
      </c>
      <c r="T5483" t="s">
        <v>1145</v>
      </c>
      <c r="U5483" t="str">
        <f t="shared" si="1234"/>
        <v>Pemberton St</v>
      </c>
      <c r="V5483" t="s">
        <v>4506</v>
      </c>
      <c r="W5483" t="str">
        <f t="shared" si="1235"/>
        <v>Haskell St</v>
      </c>
      <c r="X5483" t="str">
        <f>IF(ISBLANK(S5483),"Intersection","Non-Intersection")</f>
        <v>Intersection</v>
      </c>
      <c r="Y5483" t="s">
        <v>5883</v>
      </c>
      <c r="Z5483" t="str">
        <f t="shared" si="1236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237"/>
        <v>41275</v>
      </c>
      <c r="D5484" s="4">
        <f t="shared" si="1238"/>
        <v>0.59178082191780823</v>
      </c>
      <c r="E5484" s="3">
        <f t="shared" si="1239"/>
        <v>2013</v>
      </c>
      <c r="F5484" s="3">
        <f t="shared" si="1240"/>
        <v>8</v>
      </c>
      <c r="G5484" s="3">
        <f t="shared" si="1241"/>
        <v>5</v>
      </c>
      <c r="H5484" s="3">
        <f t="shared" si="1242"/>
        <v>17</v>
      </c>
      <c r="I5484" s="3">
        <f t="shared" si="1243"/>
        <v>10</v>
      </c>
      <c r="J5484" s="3">
        <f t="shared" si="1244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245"/>
        <v>YES</v>
      </c>
      <c r="Q5484" t="str">
        <f t="shared" si="1246"/>
        <v>NO</v>
      </c>
      <c r="R5484" t="str">
        <f t="shared" si="1247"/>
        <v>NO</v>
      </c>
      <c r="S5484">
        <v>58</v>
      </c>
      <c r="T5484" t="s">
        <v>326</v>
      </c>
      <c r="U5484" t="str">
        <f t="shared" si="1234"/>
        <v>Jfk St</v>
      </c>
      <c r="V5484" t="s">
        <v>325</v>
      </c>
      <c r="W5484" t="str">
        <f t="shared" si="1235"/>
        <v>Eliot St</v>
      </c>
      <c r="X5484" t="str">
        <f>IF(ISBLANK(S5484),"Intersection","Non-Intersection")</f>
        <v>Non-Intersection</v>
      </c>
      <c r="Y5484" t="s">
        <v>5885</v>
      </c>
      <c r="Z5484" t="str">
        <f t="shared" si="1236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237"/>
        <v>41275</v>
      </c>
      <c r="D5485" s="4">
        <f t="shared" si="1238"/>
        <v>0.59452054794520548</v>
      </c>
      <c r="E5485" s="3">
        <f t="shared" si="1239"/>
        <v>2013</v>
      </c>
      <c r="F5485" s="3">
        <f t="shared" si="1240"/>
        <v>8</v>
      </c>
      <c r="G5485" s="3">
        <f t="shared" si="1241"/>
        <v>6</v>
      </c>
      <c r="H5485" s="3">
        <f t="shared" si="1242"/>
        <v>6</v>
      </c>
      <c r="I5485" s="3">
        <f t="shared" si="1243"/>
        <v>0</v>
      </c>
      <c r="J5485" s="3">
        <f t="shared" si="1244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245"/>
        <v>YES</v>
      </c>
      <c r="Q5485" t="str">
        <f t="shared" si="1246"/>
        <v>NO</v>
      </c>
      <c r="R5485" t="str">
        <f t="shared" si="1247"/>
        <v>NO</v>
      </c>
      <c r="S5485">
        <v>19</v>
      </c>
      <c r="T5485" t="s">
        <v>362</v>
      </c>
      <c r="U5485" t="str">
        <f t="shared" si="1234"/>
        <v>Hollis St</v>
      </c>
      <c r="W5485" t="str">
        <f t="shared" si="1235"/>
        <v/>
      </c>
      <c r="X5485" t="str">
        <f>IF(ISBLANK(S5485),"Intersection","Non-Intersection")</f>
        <v>Non-Intersection</v>
      </c>
      <c r="Y5485" t="s">
        <v>5887</v>
      </c>
      <c r="Z5485" t="str">
        <f t="shared" si="1236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237"/>
        <v>41275</v>
      </c>
      <c r="D5486" s="4">
        <f t="shared" si="1238"/>
        <v>0.59452054794520548</v>
      </c>
      <c r="E5486" s="3">
        <f t="shared" si="1239"/>
        <v>2013</v>
      </c>
      <c r="F5486" s="3">
        <f t="shared" si="1240"/>
        <v>8</v>
      </c>
      <c r="G5486" s="3">
        <f t="shared" si="1241"/>
        <v>6</v>
      </c>
      <c r="H5486" s="3">
        <f t="shared" si="1242"/>
        <v>21</v>
      </c>
      <c r="I5486" s="3">
        <f t="shared" si="1243"/>
        <v>20</v>
      </c>
      <c r="J5486" s="3">
        <f t="shared" si="1244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245"/>
        <v>YES</v>
      </c>
      <c r="Q5486" t="str">
        <f t="shared" si="1246"/>
        <v>NO</v>
      </c>
      <c r="R5486" t="str">
        <f t="shared" si="1247"/>
        <v>NO</v>
      </c>
      <c r="S5486">
        <v>1945</v>
      </c>
      <c r="T5486" t="s">
        <v>14</v>
      </c>
      <c r="U5486" t="str">
        <f t="shared" si="1234"/>
        <v>Massachusetts Ave</v>
      </c>
      <c r="W5486" t="str">
        <f t="shared" si="1235"/>
        <v/>
      </c>
      <c r="X5486" t="str">
        <f>IF(ISBLANK(S5486),"Intersection","Non-Intersection")</f>
        <v>Non-Intersection</v>
      </c>
      <c r="Y5486" t="s">
        <v>1205</v>
      </c>
      <c r="Z5486" t="str">
        <f t="shared" si="1236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237"/>
        <v>41275</v>
      </c>
      <c r="D5487" s="4">
        <f t="shared" si="1238"/>
        <v>0.59452054794520548</v>
      </c>
      <c r="E5487" s="3">
        <f t="shared" si="1239"/>
        <v>2013</v>
      </c>
      <c r="F5487" s="3">
        <f t="shared" si="1240"/>
        <v>8</v>
      </c>
      <c r="G5487" s="3">
        <f t="shared" si="1241"/>
        <v>6</v>
      </c>
      <c r="H5487" s="3">
        <f t="shared" si="1242"/>
        <v>17</v>
      </c>
      <c r="I5487" s="3">
        <f t="shared" si="1243"/>
        <v>39</v>
      </c>
      <c r="J5487" s="3">
        <f t="shared" si="1244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245"/>
        <v>YES</v>
      </c>
      <c r="Q5487" t="str">
        <f t="shared" si="1246"/>
        <v>NO</v>
      </c>
      <c r="R5487" t="str">
        <f t="shared" si="1247"/>
        <v>NO</v>
      </c>
      <c r="T5487" t="s">
        <v>27</v>
      </c>
      <c r="U5487" t="str">
        <f t="shared" si="1234"/>
        <v>Western Ave</v>
      </c>
      <c r="V5487" t="s">
        <v>3498</v>
      </c>
      <c r="W5487" t="str">
        <f t="shared" si="1235"/>
        <v>Gilmore St</v>
      </c>
      <c r="X5487" t="str">
        <f>IF(ISBLANK(S5487),"Intersection","Non-Intersection")</f>
        <v>Intersection</v>
      </c>
      <c r="Y5487" t="s">
        <v>5889</v>
      </c>
      <c r="Z5487" t="str">
        <f t="shared" si="1236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237"/>
        <v>41275</v>
      </c>
      <c r="D5488" s="4">
        <f t="shared" si="1238"/>
        <v>0.59452054794520548</v>
      </c>
      <c r="E5488" s="3">
        <f t="shared" si="1239"/>
        <v>2013</v>
      </c>
      <c r="F5488" s="3">
        <f t="shared" si="1240"/>
        <v>8</v>
      </c>
      <c r="G5488" s="3">
        <f t="shared" si="1241"/>
        <v>6</v>
      </c>
      <c r="H5488" s="3">
        <f t="shared" si="1242"/>
        <v>17</v>
      </c>
      <c r="I5488" s="3">
        <f t="shared" si="1243"/>
        <v>39</v>
      </c>
      <c r="J5488" s="3">
        <f t="shared" si="1244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245"/>
        <v>YES</v>
      </c>
      <c r="Q5488" t="str">
        <f t="shared" si="1246"/>
        <v>NO</v>
      </c>
      <c r="R5488" t="str">
        <f t="shared" si="1247"/>
        <v>NO</v>
      </c>
      <c r="T5488" t="s">
        <v>27</v>
      </c>
      <c r="U5488" t="str">
        <f t="shared" si="1234"/>
        <v>Western Ave</v>
      </c>
      <c r="V5488" t="s">
        <v>3498</v>
      </c>
      <c r="W5488" t="str">
        <f t="shared" si="1235"/>
        <v>Gilmore St</v>
      </c>
      <c r="X5488" t="str">
        <f>IF(ISBLANK(S5488),"Intersection","Non-Intersection")</f>
        <v>Intersection</v>
      </c>
      <c r="Y5488" t="s">
        <v>5889</v>
      </c>
      <c r="Z5488" t="str">
        <f t="shared" si="1236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237"/>
        <v>41275</v>
      </c>
      <c r="D5489" s="4">
        <f t="shared" si="1238"/>
        <v>0.59726027397260273</v>
      </c>
      <c r="E5489" s="3">
        <f t="shared" si="1239"/>
        <v>2013</v>
      </c>
      <c r="F5489" s="3">
        <f t="shared" si="1240"/>
        <v>8</v>
      </c>
      <c r="G5489" s="3">
        <f t="shared" si="1241"/>
        <v>7</v>
      </c>
      <c r="H5489" s="3">
        <f t="shared" si="1242"/>
        <v>8</v>
      </c>
      <c r="I5489" s="3">
        <f t="shared" si="1243"/>
        <v>45</v>
      </c>
      <c r="J5489" s="3">
        <f t="shared" si="1244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245"/>
        <v>YES</v>
      </c>
      <c r="Q5489" t="str">
        <f t="shared" si="1246"/>
        <v>NO</v>
      </c>
      <c r="R5489" t="str">
        <f t="shared" si="1247"/>
        <v>NO</v>
      </c>
      <c r="T5489" t="s">
        <v>209</v>
      </c>
      <c r="U5489" t="str">
        <f t="shared" si="1234"/>
        <v>Binney St</v>
      </c>
      <c r="V5489" t="s">
        <v>61</v>
      </c>
      <c r="W5489" t="str">
        <f t="shared" si="1235"/>
        <v>First St</v>
      </c>
      <c r="X5489" t="str">
        <f>IF(ISBLANK(S5489),"Intersection","Non-Intersection")</f>
        <v>Intersection</v>
      </c>
      <c r="Y5489" t="s">
        <v>579</v>
      </c>
      <c r="Z5489" t="str">
        <f t="shared" si="1236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237"/>
        <v>41275</v>
      </c>
      <c r="D5490" s="4">
        <f t="shared" si="1238"/>
        <v>0.59726027397260273</v>
      </c>
      <c r="E5490" s="3">
        <f t="shared" si="1239"/>
        <v>2013</v>
      </c>
      <c r="F5490" s="3">
        <f t="shared" si="1240"/>
        <v>8</v>
      </c>
      <c r="G5490" s="3">
        <f t="shared" si="1241"/>
        <v>7</v>
      </c>
      <c r="H5490" s="3">
        <f t="shared" si="1242"/>
        <v>9</v>
      </c>
      <c r="I5490" s="3">
        <f t="shared" si="1243"/>
        <v>30</v>
      </c>
      <c r="J5490" s="3">
        <f t="shared" si="1244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245"/>
        <v>YES</v>
      </c>
      <c r="Q5490" t="str">
        <f t="shared" si="1246"/>
        <v>NO</v>
      </c>
      <c r="R5490" t="str">
        <f t="shared" si="1247"/>
        <v>NO</v>
      </c>
      <c r="T5490" t="s">
        <v>41</v>
      </c>
      <c r="U5490" t="str">
        <f t="shared" si="1234"/>
        <v>River St</v>
      </c>
      <c r="V5490" t="s">
        <v>203</v>
      </c>
      <c r="W5490" t="str">
        <f t="shared" si="1235"/>
        <v>Memorial Dr</v>
      </c>
      <c r="X5490" t="str">
        <f>IF(ISBLANK(S5490),"Intersection","Non-Intersection")</f>
        <v>Intersection</v>
      </c>
      <c r="Y5490" t="s">
        <v>3110</v>
      </c>
      <c r="Z5490" t="str">
        <f t="shared" si="1236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237"/>
        <v>41275</v>
      </c>
      <c r="D5491" s="4">
        <f t="shared" si="1238"/>
        <v>0.59726027397260273</v>
      </c>
      <c r="E5491" s="3">
        <f t="shared" si="1239"/>
        <v>2013</v>
      </c>
      <c r="F5491" s="3">
        <f t="shared" si="1240"/>
        <v>8</v>
      </c>
      <c r="G5491" s="3">
        <f t="shared" si="1241"/>
        <v>7</v>
      </c>
      <c r="H5491" s="3">
        <f t="shared" si="1242"/>
        <v>15</v>
      </c>
      <c r="I5491" s="3">
        <f t="shared" si="1243"/>
        <v>45</v>
      </c>
      <c r="J5491" s="3">
        <f t="shared" si="1244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245"/>
        <v>YES</v>
      </c>
      <c r="Q5491" t="str">
        <f t="shared" si="1246"/>
        <v>NO</v>
      </c>
      <c r="R5491" t="str">
        <f t="shared" si="1247"/>
        <v>YES</v>
      </c>
      <c r="T5491" t="s">
        <v>19</v>
      </c>
      <c r="U5491" t="str">
        <f t="shared" si="1234"/>
        <v>Cambridge St</v>
      </c>
      <c r="V5491" t="s">
        <v>189</v>
      </c>
      <c r="W5491" t="str">
        <f t="shared" si="1235"/>
        <v>Windsor St</v>
      </c>
      <c r="X5491" t="str">
        <f>IF(ISBLANK(S5491),"Intersection","Non-Intersection")</f>
        <v>Intersection</v>
      </c>
      <c r="Y5491" t="s">
        <v>244</v>
      </c>
      <c r="Z5491" t="str">
        <f t="shared" si="1236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237"/>
        <v>41275</v>
      </c>
      <c r="D5492" s="4">
        <f t="shared" si="1238"/>
        <v>0.59726027397260273</v>
      </c>
      <c r="E5492" s="3">
        <f t="shared" si="1239"/>
        <v>2013</v>
      </c>
      <c r="F5492" s="3">
        <f t="shared" si="1240"/>
        <v>8</v>
      </c>
      <c r="G5492" s="3">
        <f t="shared" si="1241"/>
        <v>7</v>
      </c>
      <c r="H5492" s="3">
        <f t="shared" si="1242"/>
        <v>18</v>
      </c>
      <c r="I5492" s="3">
        <f t="shared" si="1243"/>
        <v>4</v>
      </c>
      <c r="J5492" s="3">
        <f t="shared" si="1244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245"/>
        <v>YES</v>
      </c>
      <c r="Q5492" t="str">
        <f t="shared" si="1246"/>
        <v>NO</v>
      </c>
      <c r="R5492" t="str">
        <f t="shared" si="1247"/>
        <v>NO</v>
      </c>
      <c r="S5492">
        <v>1255</v>
      </c>
      <c r="T5492" t="s">
        <v>19</v>
      </c>
      <c r="U5492" t="str">
        <f t="shared" si="1234"/>
        <v>Cambridge St</v>
      </c>
      <c r="W5492" t="str">
        <f t="shared" si="1235"/>
        <v/>
      </c>
      <c r="X5492" t="str">
        <f>IF(ISBLANK(S5492),"Intersection","Non-Intersection")</f>
        <v>Non-Intersection</v>
      </c>
      <c r="Y5492" t="s">
        <v>5890</v>
      </c>
      <c r="Z5492" t="str">
        <f t="shared" si="1236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237"/>
        <v>41275</v>
      </c>
      <c r="D5493" s="4">
        <f t="shared" si="1238"/>
        <v>0.59726027397260273</v>
      </c>
      <c r="E5493" s="3">
        <f t="shared" si="1239"/>
        <v>2013</v>
      </c>
      <c r="F5493" s="3">
        <f t="shared" si="1240"/>
        <v>8</v>
      </c>
      <c r="G5493" s="3">
        <f t="shared" si="1241"/>
        <v>7</v>
      </c>
      <c r="H5493" s="3">
        <f t="shared" si="1242"/>
        <v>15</v>
      </c>
      <c r="I5493" s="3">
        <f t="shared" si="1243"/>
        <v>59</v>
      </c>
      <c r="J5493" s="3">
        <f t="shared" si="1244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245"/>
        <v>YES</v>
      </c>
      <c r="Q5493" t="str">
        <f t="shared" si="1246"/>
        <v>NO</v>
      </c>
      <c r="R5493" t="str">
        <f t="shared" si="1247"/>
        <v>NO</v>
      </c>
      <c r="T5493" t="s">
        <v>2754</v>
      </c>
      <c r="U5493" t="str">
        <f t="shared" si="1234"/>
        <v>Fawcett St</v>
      </c>
      <c r="W5493" t="str">
        <f t="shared" si="1235"/>
        <v/>
      </c>
      <c r="X5493" t="str">
        <f>IF(ISBLANK(S5493),"Intersection","Non-Intersection")</f>
        <v>Intersection</v>
      </c>
      <c r="Y5493" t="s">
        <v>5892</v>
      </c>
      <c r="Z5493" t="str">
        <f t="shared" si="1236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237"/>
        <v>41275</v>
      </c>
      <c r="D5494" s="4">
        <f t="shared" si="1238"/>
        <v>0.6</v>
      </c>
      <c r="E5494" s="3">
        <f t="shared" si="1239"/>
        <v>2013</v>
      </c>
      <c r="F5494" s="3">
        <f t="shared" si="1240"/>
        <v>8</v>
      </c>
      <c r="G5494" s="3">
        <f t="shared" si="1241"/>
        <v>8</v>
      </c>
      <c r="H5494" s="3">
        <f t="shared" si="1242"/>
        <v>0</v>
      </c>
      <c r="I5494" s="3">
        <f t="shared" si="1243"/>
        <v>59</v>
      </c>
      <c r="J5494" s="3">
        <f t="shared" si="1244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245"/>
        <v>YES</v>
      </c>
      <c r="Q5494" t="str">
        <f t="shared" si="1246"/>
        <v>NO</v>
      </c>
      <c r="R5494" t="str">
        <f t="shared" si="1247"/>
        <v>NO</v>
      </c>
      <c r="T5494" t="s">
        <v>32</v>
      </c>
      <c r="U5494" t="str">
        <f t="shared" si="1234"/>
        <v>Main St</v>
      </c>
      <c r="V5494" t="s">
        <v>189</v>
      </c>
      <c r="W5494" t="str">
        <f t="shared" si="1235"/>
        <v>Windsor St</v>
      </c>
      <c r="X5494" t="str">
        <f>IF(ISBLANK(S5494),"Intersection","Non-Intersection")</f>
        <v>Intersection</v>
      </c>
      <c r="Y5494" t="s">
        <v>1737</v>
      </c>
      <c r="Z5494" t="str">
        <f t="shared" si="1236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237"/>
        <v>41275</v>
      </c>
      <c r="D5495" s="4">
        <f t="shared" si="1238"/>
        <v>0.6</v>
      </c>
      <c r="E5495" s="3">
        <f t="shared" si="1239"/>
        <v>2013</v>
      </c>
      <c r="F5495" s="3">
        <f t="shared" si="1240"/>
        <v>8</v>
      </c>
      <c r="G5495" s="3">
        <f t="shared" si="1241"/>
        <v>8</v>
      </c>
      <c r="H5495" s="3">
        <f t="shared" si="1242"/>
        <v>9</v>
      </c>
      <c r="I5495" s="3">
        <f t="shared" si="1243"/>
        <v>10</v>
      </c>
      <c r="J5495" s="3">
        <f t="shared" si="1244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245"/>
        <v>YES</v>
      </c>
      <c r="Q5495" t="str">
        <f t="shared" si="1246"/>
        <v>NO</v>
      </c>
      <c r="R5495" t="str">
        <f t="shared" si="1247"/>
        <v>NO</v>
      </c>
      <c r="T5495" t="s">
        <v>1062</v>
      </c>
      <c r="U5495" t="str">
        <f t="shared" si="1234"/>
        <v>Cambridgeside Pl</v>
      </c>
      <c r="V5495" t="s">
        <v>2580</v>
      </c>
      <c r="W5495" t="str">
        <f t="shared" si="1235"/>
        <v>Land Blvd</v>
      </c>
      <c r="X5495" t="str">
        <f>IF(ISBLANK(S5495),"Intersection","Non-Intersection")</f>
        <v>Intersection</v>
      </c>
      <c r="Y5495" t="s">
        <v>3092</v>
      </c>
      <c r="Z5495" t="str">
        <f t="shared" si="1236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237"/>
        <v>41275</v>
      </c>
      <c r="D5496" s="4">
        <f t="shared" si="1238"/>
        <v>0.6</v>
      </c>
      <c r="E5496" s="3">
        <f t="shared" si="1239"/>
        <v>2013</v>
      </c>
      <c r="F5496" s="3">
        <f t="shared" si="1240"/>
        <v>8</v>
      </c>
      <c r="G5496" s="3">
        <f t="shared" si="1241"/>
        <v>8</v>
      </c>
      <c r="H5496" s="3">
        <f t="shared" si="1242"/>
        <v>12</v>
      </c>
      <c r="I5496" s="3">
        <f t="shared" si="1243"/>
        <v>14</v>
      </c>
      <c r="J5496" s="3">
        <f t="shared" si="1244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245"/>
        <v>YES</v>
      </c>
      <c r="Q5496" t="str">
        <f t="shared" si="1246"/>
        <v>NO</v>
      </c>
      <c r="R5496" t="str">
        <f t="shared" si="1247"/>
        <v>NO</v>
      </c>
      <c r="S5496">
        <v>17</v>
      </c>
      <c r="T5496" t="s">
        <v>14</v>
      </c>
      <c r="U5496" t="str">
        <f t="shared" si="1234"/>
        <v>Massachusetts Ave</v>
      </c>
      <c r="W5496" t="str">
        <f t="shared" si="1235"/>
        <v/>
      </c>
      <c r="X5496" t="str">
        <f>IF(ISBLANK(S5496),"Intersection","Non-Intersection")</f>
        <v>Non-Intersection</v>
      </c>
      <c r="Y5496" t="s">
        <v>5893</v>
      </c>
      <c r="Z5496" t="str">
        <f t="shared" si="1236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237"/>
        <v>41275</v>
      </c>
      <c r="D5497" s="4">
        <f t="shared" si="1238"/>
        <v>0.6</v>
      </c>
      <c r="E5497" s="3">
        <f t="shared" si="1239"/>
        <v>2013</v>
      </c>
      <c r="F5497" s="3">
        <f t="shared" si="1240"/>
        <v>8</v>
      </c>
      <c r="G5497" s="3">
        <f t="shared" si="1241"/>
        <v>8</v>
      </c>
      <c r="H5497" s="3">
        <f t="shared" si="1242"/>
        <v>18</v>
      </c>
      <c r="I5497" s="3">
        <f t="shared" si="1243"/>
        <v>39</v>
      </c>
      <c r="J5497" s="3">
        <f t="shared" si="1244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245"/>
        <v>YES</v>
      </c>
      <c r="Q5497" t="str">
        <f t="shared" si="1246"/>
        <v>YES</v>
      </c>
      <c r="R5497" t="str">
        <f t="shared" si="1247"/>
        <v>NO</v>
      </c>
      <c r="T5497" t="s">
        <v>105</v>
      </c>
      <c r="U5497" t="str">
        <f t="shared" si="1234"/>
        <v>Broadway</v>
      </c>
      <c r="V5497" t="s">
        <v>4905</v>
      </c>
      <c r="W5497" t="str">
        <f t="shared" si="1235"/>
        <v>Trowbridge Pl</v>
      </c>
      <c r="X5497" t="str">
        <f>IF(ISBLANK(S5497),"Intersection","Non-Intersection")</f>
        <v>Intersection</v>
      </c>
      <c r="Y5497" t="s">
        <v>5895</v>
      </c>
      <c r="Z5497" t="str">
        <f t="shared" si="1236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237"/>
        <v>41275</v>
      </c>
      <c r="D5498" s="4">
        <f t="shared" si="1238"/>
        <v>0.6</v>
      </c>
      <c r="E5498" s="3">
        <f t="shared" si="1239"/>
        <v>2013</v>
      </c>
      <c r="F5498" s="3">
        <f t="shared" si="1240"/>
        <v>8</v>
      </c>
      <c r="G5498" s="3">
        <f t="shared" si="1241"/>
        <v>8</v>
      </c>
      <c r="H5498" s="3">
        <f t="shared" si="1242"/>
        <v>20</v>
      </c>
      <c r="I5498" s="3">
        <f t="shared" si="1243"/>
        <v>29</v>
      </c>
      <c r="J5498" s="3">
        <f t="shared" si="1244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245"/>
        <v>YES</v>
      </c>
      <c r="Q5498" t="str">
        <f t="shared" si="1246"/>
        <v>NO</v>
      </c>
      <c r="R5498" t="str">
        <f t="shared" si="1247"/>
        <v>NO</v>
      </c>
      <c r="T5498" t="s">
        <v>146</v>
      </c>
      <c r="U5498" t="str">
        <f t="shared" si="1234"/>
        <v>Spring St</v>
      </c>
      <c r="V5498" t="s">
        <v>993</v>
      </c>
      <c r="W5498" t="str">
        <f t="shared" si="1235"/>
        <v>Fifth St</v>
      </c>
      <c r="X5498" t="str">
        <f>IF(ISBLANK(S5498),"Intersection","Non-Intersection")</f>
        <v>Intersection</v>
      </c>
      <c r="Y5498" t="s">
        <v>5896</v>
      </c>
      <c r="Z5498" t="str">
        <f t="shared" si="1236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237"/>
        <v>41275</v>
      </c>
      <c r="D5499" s="4">
        <f t="shared" si="1238"/>
        <v>0.6</v>
      </c>
      <c r="E5499" s="3">
        <f t="shared" si="1239"/>
        <v>2013</v>
      </c>
      <c r="F5499" s="3">
        <f t="shared" si="1240"/>
        <v>8</v>
      </c>
      <c r="G5499" s="3">
        <f t="shared" si="1241"/>
        <v>8</v>
      </c>
      <c r="H5499" s="3">
        <f t="shared" si="1242"/>
        <v>5</v>
      </c>
      <c r="I5499" s="3">
        <f t="shared" si="1243"/>
        <v>0</v>
      </c>
      <c r="J5499" s="3">
        <f t="shared" si="1244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245"/>
        <v>YES</v>
      </c>
      <c r="Q5499" t="str">
        <f t="shared" si="1246"/>
        <v>NO</v>
      </c>
      <c r="R5499" t="str">
        <f t="shared" si="1247"/>
        <v>NO</v>
      </c>
      <c r="S5499">
        <v>51</v>
      </c>
      <c r="T5499" t="s">
        <v>1158</v>
      </c>
      <c r="U5499" t="str">
        <f t="shared" si="1234"/>
        <v>Clifton St</v>
      </c>
      <c r="W5499" t="str">
        <f t="shared" si="1235"/>
        <v/>
      </c>
      <c r="X5499" t="str">
        <f>IF(ISBLANK(S5499),"Intersection","Non-Intersection")</f>
        <v>Non-Intersection</v>
      </c>
      <c r="Y5499" t="s">
        <v>5898</v>
      </c>
      <c r="Z5499" t="str">
        <f t="shared" si="1236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237"/>
        <v>41275</v>
      </c>
      <c r="D5500" s="4">
        <f t="shared" si="1238"/>
        <v>0.6</v>
      </c>
      <c r="E5500" s="3">
        <f t="shared" si="1239"/>
        <v>2013</v>
      </c>
      <c r="F5500" s="3">
        <f t="shared" si="1240"/>
        <v>8</v>
      </c>
      <c r="G5500" s="3">
        <f t="shared" si="1241"/>
        <v>8</v>
      </c>
      <c r="H5500" s="3">
        <f t="shared" si="1242"/>
        <v>15</v>
      </c>
      <c r="I5500" s="3">
        <f t="shared" si="1243"/>
        <v>59</v>
      </c>
      <c r="J5500" s="3">
        <f t="shared" si="1244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245"/>
        <v>YES</v>
      </c>
      <c r="Q5500" t="str">
        <f t="shared" si="1246"/>
        <v>NO</v>
      </c>
      <c r="R5500" t="str">
        <f t="shared" si="1247"/>
        <v>NO</v>
      </c>
      <c r="T5500" t="s">
        <v>198</v>
      </c>
      <c r="U5500" t="str">
        <f t="shared" si="1234"/>
        <v>Mount Auburn St</v>
      </c>
      <c r="W5500" t="str">
        <f t="shared" si="1235"/>
        <v/>
      </c>
      <c r="X5500" t="str">
        <f>IF(ISBLANK(S5500),"Intersection","Non-Intersection")</f>
        <v>Intersection</v>
      </c>
      <c r="Y5500" t="s">
        <v>441</v>
      </c>
      <c r="Z5500" t="str">
        <f t="shared" si="1236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237"/>
        <v>41275</v>
      </c>
      <c r="D5501" s="4">
        <f t="shared" si="1238"/>
        <v>0.6</v>
      </c>
      <c r="E5501" s="3">
        <f t="shared" si="1239"/>
        <v>2013</v>
      </c>
      <c r="F5501" s="3">
        <f t="shared" si="1240"/>
        <v>8</v>
      </c>
      <c r="G5501" s="3">
        <f t="shared" si="1241"/>
        <v>8</v>
      </c>
      <c r="H5501" s="3">
        <f t="shared" si="1242"/>
        <v>16</v>
      </c>
      <c r="I5501" s="3">
        <f t="shared" si="1243"/>
        <v>30</v>
      </c>
      <c r="J5501" s="3">
        <f t="shared" si="1244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245"/>
        <v>YES</v>
      </c>
      <c r="Q5501" t="str">
        <f t="shared" si="1246"/>
        <v>NO</v>
      </c>
      <c r="R5501" t="str">
        <f t="shared" si="1247"/>
        <v>NO</v>
      </c>
      <c r="T5501" t="s">
        <v>1958</v>
      </c>
      <c r="U5501" t="str">
        <f t="shared" si="1234"/>
        <v>Porter Cir</v>
      </c>
      <c r="W5501" t="str">
        <f t="shared" si="1235"/>
        <v/>
      </c>
      <c r="X5501" t="str">
        <f>IF(ISBLANK(S5501),"Intersection","Non-Intersection")</f>
        <v>Intersection</v>
      </c>
      <c r="Y5501" t="s">
        <v>5110</v>
      </c>
      <c r="Z5501" t="str">
        <f t="shared" si="1236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237"/>
        <v>41275</v>
      </c>
      <c r="D5502" s="4">
        <f t="shared" si="1238"/>
        <v>0.60273972602739723</v>
      </c>
      <c r="E5502" s="3">
        <f t="shared" si="1239"/>
        <v>2013</v>
      </c>
      <c r="F5502" s="3">
        <f t="shared" si="1240"/>
        <v>8</v>
      </c>
      <c r="G5502" s="3">
        <f t="shared" si="1241"/>
        <v>9</v>
      </c>
      <c r="H5502" s="3">
        <f t="shared" si="1242"/>
        <v>2</v>
      </c>
      <c r="I5502" s="3">
        <f t="shared" si="1243"/>
        <v>46</v>
      </c>
      <c r="J5502" s="3">
        <f t="shared" si="1244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245"/>
        <v>YES</v>
      </c>
      <c r="Q5502" t="str">
        <f t="shared" si="1246"/>
        <v>NO</v>
      </c>
      <c r="R5502" t="str">
        <f t="shared" si="1247"/>
        <v>NO</v>
      </c>
      <c r="T5502" t="s">
        <v>14</v>
      </c>
      <c r="U5502" t="str">
        <f t="shared" si="1234"/>
        <v>Massachusetts Ave</v>
      </c>
      <c r="V5502" t="s">
        <v>302</v>
      </c>
      <c r="W5502" t="str">
        <f t="shared" si="1235"/>
        <v>Waterhouse St</v>
      </c>
      <c r="X5502" t="str">
        <f>IF(ISBLANK(S5502),"Intersection","Non-Intersection")</f>
        <v>Intersection</v>
      </c>
      <c r="Y5502" t="s">
        <v>303</v>
      </c>
      <c r="Z5502" t="str">
        <f t="shared" si="1236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237"/>
        <v>41275</v>
      </c>
      <c r="D5503" s="4">
        <f t="shared" si="1238"/>
        <v>0.60273972602739723</v>
      </c>
      <c r="E5503" s="3">
        <f t="shared" si="1239"/>
        <v>2013</v>
      </c>
      <c r="F5503" s="3">
        <f t="shared" si="1240"/>
        <v>8</v>
      </c>
      <c r="G5503" s="3">
        <f t="shared" si="1241"/>
        <v>9</v>
      </c>
      <c r="H5503" s="3">
        <f t="shared" si="1242"/>
        <v>11</v>
      </c>
      <c r="I5503" s="3">
        <f t="shared" si="1243"/>
        <v>0</v>
      </c>
      <c r="J5503" s="3">
        <f t="shared" si="1244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245"/>
        <v>YES</v>
      </c>
      <c r="Q5503" t="str">
        <f t="shared" si="1246"/>
        <v>NO</v>
      </c>
      <c r="R5503" t="str">
        <f t="shared" si="1247"/>
        <v>NO</v>
      </c>
      <c r="S5503">
        <v>385</v>
      </c>
      <c r="T5503" t="s">
        <v>101</v>
      </c>
      <c r="U5503" t="str">
        <f t="shared" si="1234"/>
        <v>Columbia St</v>
      </c>
      <c r="W5503" t="str">
        <f t="shared" si="1235"/>
        <v/>
      </c>
      <c r="X5503" t="str">
        <f>IF(ISBLANK(S5503),"Intersection","Non-Intersection")</f>
        <v>Non-Intersection</v>
      </c>
      <c r="Y5503" t="s">
        <v>5900</v>
      </c>
      <c r="Z5503" t="str">
        <f t="shared" si="1236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237"/>
        <v>41275</v>
      </c>
      <c r="D5504" s="4">
        <f t="shared" si="1238"/>
        <v>0.60547945205479448</v>
      </c>
      <c r="E5504" s="3">
        <f t="shared" si="1239"/>
        <v>2013</v>
      </c>
      <c r="F5504" s="3">
        <f t="shared" si="1240"/>
        <v>8</v>
      </c>
      <c r="G5504" s="3">
        <f t="shared" si="1241"/>
        <v>10</v>
      </c>
      <c r="H5504" s="3">
        <f t="shared" si="1242"/>
        <v>14</v>
      </c>
      <c r="I5504" s="3">
        <f t="shared" si="1243"/>
        <v>4</v>
      </c>
      <c r="J5504" s="3">
        <f t="shared" si="1244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245"/>
        <v>YES</v>
      </c>
      <c r="Q5504" t="str">
        <f t="shared" si="1246"/>
        <v>NO</v>
      </c>
      <c r="R5504" t="str">
        <f t="shared" si="1247"/>
        <v>NO</v>
      </c>
      <c r="S5504">
        <v>24</v>
      </c>
      <c r="T5504" t="s">
        <v>186</v>
      </c>
      <c r="U5504" t="str">
        <f t="shared" si="1234"/>
        <v>Concord Ave</v>
      </c>
      <c r="W5504" t="str">
        <f t="shared" si="1235"/>
        <v/>
      </c>
      <c r="X5504" t="str">
        <f>IF(ISBLANK(S5504),"Intersection","Non-Intersection")</f>
        <v>Non-Intersection</v>
      </c>
      <c r="Y5504" t="s">
        <v>5902</v>
      </c>
      <c r="Z5504" t="str">
        <f t="shared" si="1236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237"/>
        <v>41275</v>
      </c>
      <c r="D5505" s="4">
        <f t="shared" si="1238"/>
        <v>0.60547945205479448</v>
      </c>
      <c r="E5505" s="3">
        <f t="shared" si="1239"/>
        <v>2013</v>
      </c>
      <c r="F5505" s="3">
        <f t="shared" si="1240"/>
        <v>8</v>
      </c>
      <c r="G5505" s="3">
        <f t="shared" si="1241"/>
        <v>10</v>
      </c>
      <c r="H5505" s="3">
        <f t="shared" si="1242"/>
        <v>2</v>
      </c>
      <c r="I5505" s="3">
        <f t="shared" si="1243"/>
        <v>29</v>
      </c>
      <c r="J5505" s="3">
        <f t="shared" si="1244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245"/>
        <v>YES</v>
      </c>
      <c r="Q5505" t="str">
        <f t="shared" si="1246"/>
        <v>NO</v>
      </c>
      <c r="R5505" t="str">
        <f t="shared" si="1247"/>
        <v>NO</v>
      </c>
      <c r="S5505">
        <v>12</v>
      </c>
      <c r="T5505" t="s">
        <v>5904</v>
      </c>
      <c r="U5505" t="str">
        <f t="shared" si="1234"/>
        <v>Van Norden St</v>
      </c>
      <c r="W5505" t="str">
        <f t="shared" si="1235"/>
        <v/>
      </c>
      <c r="X5505" t="str">
        <f>IF(ISBLANK(S5505),"Intersection","Non-Intersection")</f>
        <v>Non-Intersection</v>
      </c>
      <c r="Y5505" t="s">
        <v>5905</v>
      </c>
      <c r="Z5505" t="str">
        <f t="shared" si="1236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237"/>
        <v>41275</v>
      </c>
      <c r="D5506" s="4">
        <f t="shared" si="1238"/>
        <v>0.60547945205479448</v>
      </c>
      <c r="E5506" s="3">
        <f t="shared" si="1239"/>
        <v>2013</v>
      </c>
      <c r="F5506" s="3">
        <f t="shared" si="1240"/>
        <v>8</v>
      </c>
      <c r="G5506" s="3">
        <f t="shared" si="1241"/>
        <v>10</v>
      </c>
      <c r="H5506" s="3">
        <f t="shared" si="1242"/>
        <v>13</v>
      </c>
      <c r="I5506" s="3">
        <f t="shared" si="1243"/>
        <v>22</v>
      </c>
      <c r="J5506" s="3">
        <f t="shared" si="1244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245"/>
        <v>YES</v>
      </c>
      <c r="Q5506" t="str">
        <f t="shared" si="1246"/>
        <v>NO</v>
      </c>
      <c r="R5506" t="str">
        <f t="shared" si="1247"/>
        <v>NO</v>
      </c>
      <c r="T5506" t="s">
        <v>178</v>
      </c>
      <c r="U5506" t="str">
        <f t="shared" si="1234"/>
        <v>Pleasant St</v>
      </c>
      <c r="V5506" t="s">
        <v>14</v>
      </c>
      <c r="W5506" t="str">
        <f t="shared" si="1235"/>
        <v>Massachusetts Ave</v>
      </c>
      <c r="X5506" t="str">
        <f>IF(ISBLANK(S5506),"Intersection","Non-Intersection")</f>
        <v>Intersection</v>
      </c>
      <c r="Y5506" t="s">
        <v>5907</v>
      </c>
      <c r="Z5506" t="str">
        <f t="shared" si="1236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237"/>
        <v>41275</v>
      </c>
      <c r="D5507" s="4">
        <f t="shared" si="1238"/>
        <v>0.60547945205479448</v>
      </c>
      <c r="E5507" s="3">
        <f t="shared" si="1239"/>
        <v>2013</v>
      </c>
      <c r="F5507" s="3">
        <f t="shared" si="1240"/>
        <v>8</v>
      </c>
      <c r="G5507" s="3">
        <f t="shared" si="1241"/>
        <v>10</v>
      </c>
      <c r="H5507" s="3">
        <f t="shared" si="1242"/>
        <v>12</v>
      </c>
      <c r="I5507" s="3">
        <f t="shared" si="1243"/>
        <v>34</v>
      </c>
      <c r="J5507" s="3">
        <f t="shared" si="1244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245"/>
        <v>YES</v>
      </c>
      <c r="Q5507" t="str">
        <f t="shared" si="1246"/>
        <v>NO</v>
      </c>
      <c r="R5507" t="str">
        <f t="shared" si="1247"/>
        <v>NO</v>
      </c>
      <c r="S5507">
        <v>14</v>
      </c>
      <c r="T5507" t="s">
        <v>1823</v>
      </c>
      <c r="U5507" t="str">
        <f t="shared" ref="U5507:U5570" si="1248">TRIM(PROPER(T5507))</f>
        <v>Walden Square Rd</v>
      </c>
      <c r="W5507" t="str">
        <f t="shared" ref="W5507:W5570" si="1249">TRIM(PROPER(V5507))</f>
        <v/>
      </c>
      <c r="X5507" t="str">
        <f>IF(ISBLANK(S5507),"Intersection","Non-Intersection")</f>
        <v>Non-Intersection</v>
      </c>
      <c r="Y5507" t="s">
        <v>5908</v>
      </c>
      <c r="Z5507" t="str">
        <f t="shared" ref="Z5507:Z5570" si="1250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237"/>
        <v>41275</v>
      </c>
      <c r="D5508" s="4">
        <f t="shared" si="1238"/>
        <v>0.60821917808219184</v>
      </c>
      <c r="E5508" s="3">
        <f t="shared" si="1239"/>
        <v>2013</v>
      </c>
      <c r="F5508" s="3">
        <f t="shared" si="1240"/>
        <v>8</v>
      </c>
      <c r="G5508" s="3">
        <f t="shared" si="1241"/>
        <v>11</v>
      </c>
      <c r="H5508" s="3">
        <f t="shared" si="1242"/>
        <v>2</v>
      </c>
      <c r="I5508" s="3">
        <f t="shared" si="1243"/>
        <v>17</v>
      </c>
      <c r="J5508" s="3">
        <f t="shared" si="1244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245"/>
        <v>YES</v>
      </c>
      <c r="Q5508" t="str">
        <f t="shared" si="1246"/>
        <v>NO</v>
      </c>
      <c r="R5508" t="str">
        <f t="shared" si="1247"/>
        <v>NO</v>
      </c>
      <c r="S5508">
        <v>445</v>
      </c>
      <c r="T5508" t="s">
        <v>14</v>
      </c>
      <c r="U5508" t="str">
        <f t="shared" si="1248"/>
        <v>Massachusetts Ave</v>
      </c>
      <c r="W5508" t="str">
        <f t="shared" si="1249"/>
        <v/>
      </c>
      <c r="X5508" t="str">
        <f>IF(ISBLANK(S5508),"Intersection","Non-Intersection")</f>
        <v>Non-Intersection</v>
      </c>
      <c r="Y5508" t="s">
        <v>794</v>
      </c>
      <c r="Z5508" t="str">
        <f t="shared" si="1250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237"/>
        <v>41275</v>
      </c>
      <c r="D5509" s="4">
        <f t="shared" si="1238"/>
        <v>0.60821917808219184</v>
      </c>
      <c r="E5509" s="3">
        <f t="shared" si="1239"/>
        <v>2013</v>
      </c>
      <c r="F5509" s="3">
        <f t="shared" si="1240"/>
        <v>8</v>
      </c>
      <c r="G5509" s="3">
        <f t="shared" si="1241"/>
        <v>11</v>
      </c>
      <c r="H5509" s="3">
        <f t="shared" si="1242"/>
        <v>17</v>
      </c>
      <c r="I5509" s="3">
        <f t="shared" si="1243"/>
        <v>12</v>
      </c>
      <c r="J5509" s="3">
        <f t="shared" si="1244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245"/>
        <v>YES</v>
      </c>
      <c r="Q5509" t="str">
        <f t="shared" si="1246"/>
        <v>NO</v>
      </c>
      <c r="R5509" t="str">
        <f t="shared" si="1247"/>
        <v>NO</v>
      </c>
      <c r="S5509">
        <v>1039</v>
      </c>
      <c r="T5509" t="s">
        <v>14</v>
      </c>
      <c r="U5509" t="str">
        <f t="shared" si="1248"/>
        <v>Massachusetts Ave</v>
      </c>
      <c r="V5509" t="s">
        <v>805</v>
      </c>
      <c r="W5509" t="str">
        <f t="shared" si="1249"/>
        <v>Trowbridge St</v>
      </c>
      <c r="X5509" t="str">
        <f>IF(ISBLANK(S5509),"Intersection","Non-Intersection")</f>
        <v>Non-Intersection</v>
      </c>
      <c r="Y5509" t="s">
        <v>3649</v>
      </c>
      <c r="Z5509" t="str">
        <f t="shared" si="1250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237"/>
        <v>41275</v>
      </c>
      <c r="D5510" s="4">
        <f t="shared" si="1238"/>
        <v>0.61095890410958908</v>
      </c>
      <c r="E5510" s="3">
        <f t="shared" si="1239"/>
        <v>2013</v>
      </c>
      <c r="F5510" s="3">
        <f t="shared" si="1240"/>
        <v>8</v>
      </c>
      <c r="G5510" s="3">
        <f t="shared" si="1241"/>
        <v>12</v>
      </c>
      <c r="H5510" s="3">
        <f t="shared" si="1242"/>
        <v>20</v>
      </c>
      <c r="I5510" s="3">
        <f t="shared" si="1243"/>
        <v>29</v>
      </c>
      <c r="J5510" s="3">
        <f t="shared" si="1244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245"/>
        <v>YES</v>
      </c>
      <c r="Q5510" t="str">
        <f t="shared" si="1246"/>
        <v>NO</v>
      </c>
      <c r="R5510" t="str">
        <f t="shared" si="1247"/>
        <v>NO</v>
      </c>
      <c r="T5510" t="s">
        <v>185</v>
      </c>
      <c r="U5510" t="str">
        <f t="shared" si="1248"/>
        <v>Garden St</v>
      </c>
      <c r="V5510" t="s">
        <v>296</v>
      </c>
      <c r="W5510" t="str">
        <f t="shared" si="1249"/>
        <v>Mason St</v>
      </c>
      <c r="X5510" t="str">
        <f>IF(ISBLANK(S5510),"Intersection","Non-Intersection")</f>
        <v>Intersection</v>
      </c>
      <c r="Y5510" t="s">
        <v>594</v>
      </c>
      <c r="Z5510" t="str">
        <f t="shared" si="1250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237"/>
        <v>41275</v>
      </c>
      <c r="D5511" s="4">
        <f t="shared" si="1238"/>
        <v>0.61095890410958908</v>
      </c>
      <c r="E5511" s="3">
        <f t="shared" si="1239"/>
        <v>2013</v>
      </c>
      <c r="F5511" s="3">
        <f t="shared" si="1240"/>
        <v>8</v>
      </c>
      <c r="G5511" s="3">
        <f t="shared" si="1241"/>
        <v>12</v>
      </c>
      <c r="H5511" s="3">
        <f t="shared" si="1242"/>
        <v>14</v>
      </c>
      <c r="I5511" s="3">
        <f t="shared" si="1243"/>
        <v>29</v>
      </c>
      <c r="J5511" s="3">
        <f t="shared" si="1244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245"/>
        <v>YES</v>
      </c>
      <c r="Q5511" t="str">
        <f t="shared" si="1246"/>
        <v>NO</v>
      </c>
      <c r="R5511" t="str">
        <f t="shared" si="1247"/>
        <v>NO</v>
      </c>
      <c r="T5511" t="s">
        <v>1114</v>
      </c>
      <c r="U5511" t="str">
        <f t="shared" si="1248"/>
        <v>Market St</v>
      </c>
      <c r="V5511" t="s">
        <v>189</v>
      </c>
      <c r="W5511" t="str">
        <f t="shared" si="1249"/>
        <v>Windsor St</v>
      </c>
      <c r="X5511" t="str">
        <f>IF(ISBLANK(S5511),"Intersection","Non-Intersection")</f>
        <v>Intersection</v>
      </c>
      <c r="Y5511" t="s">
        <v>4006</v>
      </c>
      <c r="Z5511" t="str">
        <f t="shared" si="1250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237"/>
        <v>41275</v>
      </c>
      <c r="D5512" s="4">
        <f t="shared" si="1238"/>
        <v>0.61095890410958908</v>
      </c>
      <c r="E5512" s="3">
        <f t="shared" si="1239"/>
        <v>2013</v>
      </c>
      <c r="F5512" s="3">
        <f t="shared" si="1240"/>
        <v>8</v>
      </c>
      <c r="G5512" s="3">
        <f t="shared" si="1241"/>
        <v>12</v>
      </c>
      <c r="H5512" s="3">
        <f t="shared" si="1242"/>
        <v>11</v>
      </c>
      <c r="I5512" s="3">
        <f t="shared" si="1243"/>
        <v>6</v>
      </c>
      <c r="J5512" s="3">
        <f t="shared" si="1244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245"/>
        <v>YES</v>
      </c>
      <c r="Q5512" t="str">
        <f t="shared" si="1246"/>
        <v>NO</v>
      </c>
      <c r="R5512" t="str">
        <f t="shared" si="1247"/>
        <v>NO</v>
      </c>
      <c r="S5512">
        <v>9</v>
      </c>
      <c r="T5512" t="s">
        <v>5910</v>
      </c>
      <c r="U5512" t="str">
        <f t="shared" si="1248"/>
        <v>Brookford St</v>
      </c>
      <c r="W5512" t="str">
        <f t="shared" si="1249"/>
        <v/>
      </c>
      <c r="X5512" t="str">
        <f>IF(ISBLANK(S5512),"Intersection","Non-Intersection")</f>
        <v>Non-Intersection</v>
      </c>
      <c r="Y5512" t="s">
        <v>5911</v>
      </c>
      <c r="Z5512" t="str">
        <f t="shared" si="1250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237"/>
        <v>41275</v>
      </c>
      <c r="D5513" s="4">
        <f t="shared" si="1238"/>
        <v>0.61369863013698633</v>
      </c>
      <c r="E5513" s="3">
        <f t="shared" si="1239"/>
        <v>2013</v>
      </c>
      <c r="F5513" s="3">
        <f t="shared" si="1240"/>
        <v>8</v>
      </c>
      <c r="G5513" s="3">
        <f t="shared" si="1241"/>
        <v>13</v>
      </c>
      <c r="H5513" s="3">
        <f t="shared" si="1242"/>
        <v>12</v>
      </c>
      <c r="I5513" s="3">
        <f t="shared" si="1243"/>
        <v>59</v>
      </c>
      <c r="J5513" s="3">
        <f t="shared" si="1244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245"/>
        <v>YES</v>
      </c>
      <c r="Q5513" t="str">
        <f t="shared" si="1246"/>
        <v>NO</v>
      </c>
      <c r="R5513" t="str">
        <f t="shared" si="1247"/>
        <v>NO</v>
      </c>
      <c r="T5513" t="s">
        <v>198</v>
      </c>
      <c r="U5513" t="str">
        <f t="shared" si="1248"/>
        <v>Mount Auburn St</v>
      </c>
      <c r="V5513" t="s">
        <v>1177</v>
      </c>
      <c r="W5513" t="str">
        <f t="shared" si="1249"/>
        <v>Plympton St</v>
      </c>
      <c r="X5513" t="str">
        <f>IF(ISBLANK(S5513),"Intersection","Non-Intersection")</f>
        <v>Intersection</v>
      </c>
      <c r="Y5513" t="s">
        <v>3194</v>
      </c>
      <c r="Z5513" t="str">
        <f t="shared" si="1250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237"/>
        <v>41275</v>
      </c>
      <c r="D5514" s="4">
        <f t="shared" si="1238"/>
        <v>0.61369863013698633</v>
      </c>
      <c r="E5514" s="3">
        <f t="shared" si="1239"/>
        <v>2013</v>
      </c>
      <c r="F5514" s="3">
        <f t="shared" si="1240"/>
        <v>8</v>
      </c>
      <c r="G5514" s="3">
        <f t="shared" si="1241"/>
        <v>13</v>
      </c>
      <c r="H5514" s="3">
        <f t="shared" si="1242"/>
        <v>14</v>
      </c>
      <c r="I5514" s="3">
        <f t="shared" si="1243"/>
        <v>4</v>
      </c>
      <c r="J5514" s="3">
        <f t="shared" si="1244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245"/>
        <v>YES</v>
      </c>
      <c r="Q5514" t="str">
        <f t="shared" si="1246"/>
        <v>NO</v>
      </c>
      <c r="R5514" t="str">
        <f t="shared" si="1247"/>
        <v>NO</v>
      </c>
      <c r="S5514">
        <v>20</v>
      </c>
      <c r="T5514" t="s">
        <v>45</v>
      </c>
      <c r="U5514" t="str">
        <f t="shared" si="1248"/>
        <v>Sherman St</v>
      </c>
      <c r="W5514" t="str">
        <f t="shared" si="1249"/>
        <v/>
      </c>
      <c r="X5514" t="str">
        <f>IF(ISBLANK(S5514),"Intersection","Non-Intersection")</f>
        <v>Non-Intersection</v>
      </c>
      <c r="Y5514" t="s">
        <v>5913</v>
      </c>
      <c r="Z5514" t="str">
        <f t="shared" si="1250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237"/>
        <v>41275</v>
      </c>
      <c r="D5515" s="4">
        <f t="shared" si="1238"/>
        <v>0.61369863013698633</v>
      </c>
      <c r="E5515" s="3">
        <f t="shared" si="1239"/>
        <v>2013</v>
      </c>
      <c r="F5515" s="3">
        <f t="shared" si="1240"/>
        <v>8</v>
      </c>
      <c r="G5515" s="3">
        <f t="shared" si="1241"/>
        <v>13</v>
      </c>
      <c r="H5515" s="3">
        <f t="shared" si="1242"/>
        <v>19</v>
      </c>
      <c r="I5515" s="3">
        <f t="shared" si="1243"/>
        <v>30</v>
      </c>
      <c r="J5515" s="3">
        <f t="shared" si="1244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245"/>
        <v>YES</v>
      </c>
      <c r="Q5515" t="str">
        <f t="shared" si="1246"/>
        <v>NO</v>
      </c>
      <c r="R5515" t="str">
        <f t="shared" si="1247"/>
        <v>NO</v>
      </c>
      <c r="S5515">
        <v>205</v>
      </c>
      <c r="T5515" t="s">
        <v>198</v>
      </c>
      <c r="U5515" t="str">
        <f t="shared" si="1248"/>
        <v>Mount Auburn St</v>
      </c>
      <c r="W5515" t="str">
        <f t="shared" si="1249"/>
        <v/>
      </c>
      <c r="X5515" t="str">
        <f>IF(ISBLANK(S5515),"Intersection","Non-Intersection")</f>
        <v>Non-Intersection</v>
      </c>
      <c r="Y5515" t="s">
        <v>5915</v>
      </c>
      <c r="Z5515" t="str">
        <f t="shared" si="1250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237"/>
        <v>41275</v>
      </c>
      <c r="D5516" s="4">
        <f t="shared" si="1238"/>
        <v>0.61369863013698633</v>
      </c>
      <c r="E5516" s="3">
        <f t="shared" si="1239"/>
        <v>2013</v>
      </c>
      <c r="F5516" s="3">
        <f t="shared" si="1240"/>
        <v>8</v>
      </c>
      <c r="G5516" s="3">
        <f t="shared" si="1241"/>
        <v>13</v>
      </c>
      <c r="H5516" s="3">
        <f t="shared" si="1242"/>
        <v>22</v>
      </c>
      <c r="I5516" s="3">
        <f t="shared" si="1243"/>
        <v>48</v>
      </c>
      <c r="J5516" s="3">
        <f t="shared" si="1244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245"/>
        <v>YES</v>
      </c>
      <c r="Q5516" t="str">
        <f t="shared" si="1246"/>
        <v>NO</v>
      </c>
      <c r="R5516" t="str">
        <f t="shared" si="1247"/>
        <v>NO</v>
      </c>
      <c r="T5516" t="s">
        <v>108</v>
      </c>
      <c r="U5516" t="str">
        <f t="shared" si="1248"/>
        <v>Franklin St</v>
      </c>
      <c r="V5516" t="s">
        <v>42</v>
      </c>
      <c r="W5516" t="str">
        <f t="shared" si="1249"/>
        <v>Putnam Ave</v>
      </c>
      <c r="X5516" t="str">
        <f>IF(ISBLANK(S5516),"Intersection","Non-Intersection")</f>
        <v>Intersection</v>
      </c>
      <c r="Y5516" t="s">
        <v>5734</v>
      </c>
      <c r="Z5516" t="str">
        <f t="shared" si="1250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237"/>
        <v>41275</v>
      </c>
      <c r="D5517" s="4">
        <f t="shared" si="1238"/>
        <v>0.61643835616438358</v>
      </c>
      <c r="E5517" s="3">
        <f t="shared" si="1239"/>
        <v>2013</v>
      </c>
      <c r="F5517" s="3">
        <f t="shared" si="1240"/>
        <v>8</v>
      </c>
      <c r="G5517" s="3">
        <f t="shared" si="1241"/>
        <v>14</v>
      </c>
      <c r="H5517" s="3">
        <f t="shared" si="1242"/>
        <v>8</v>
      </c>
      <c r="I5517" s="3">
        <f t="shared" si="1243"/>
        <v>29</v>
      </c>
      <c r="J5517" s="3">
        <f t="shared" si="1244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245"/>
        <v>YES</v>
      </c>
      <c r="Q5517" t="str">
        <f t="shared" si="1246"/>
        <v>YES</v>
      </c>
      <c r="R5517" t="str">
        <f t="shared" si="1247"/>
        <v>NO</v>
      </c>
      <c r="T5517" t="s">
        <v>14</v>
      </c>
      <c r="U5517" t="str">
        <f t="shared" si="1248"/>
        <v>Massachusetts Ave</v>
      </c>
      <c r="V5517" t="s">
        <v>1426</v>
      </c>
      <c r="W5517" t="str">
        <f t="shared" si="1249"/>
        <v>Rice St</v>
      </c>
      <c r="X5517" t="str">
        <f>IF(ISBLANK(S5517),"Intersection","Non-Intersection")</f>
        <v>Intersection</v>
      </c>
      <c r="Y5517" t="s">
        <v>2369</v>
      </c>
      <c r="Z5517" t="str">
        <f t="shared" si="1250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237"/>
        <v>41275</v>
      </c>
      <c r="D5518" s="4">
        <f t="shared" si="1238"/>
        <v>0.61643835616438358</v>
      </c>
      <c r="E5518" s="3">
        <f t="shared" si="1239"/>
        <v>2013</v>
      </c>
      <c r="F5518" s="3">
        <f t="shared" si="1240"/>
        <v>8</v>
      </c>
      <c r="G5518" s="3">
        <f t="shared" si="1241"/>
        <v>14</v>
      </c>
      <c r="H5518" s="3">
        <f t="shared" si="1242"/>
        <v>9</v>
      </c>
      <c r="I5518" s="3">
        <f t="shared" si="1243"/>
        <v>0</v>
      </c>
      <c r="J5518" s="3">
        <f t="shared" si="1244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245"/>
        <v>YES</v>
      </c>
      <c r="Q5518" t="str">
        <f t="shared" si="1246"/>
        <v>NO</v>
      </c>
      <c r="R5518" t="str">
        <f t="shared" si="1247"/>
        <v>NO</v>
      </c>
      <c r="S5518">
        <v>94</v>
      </c>
      <c r="T5518" t="s">
        <v>737</v>
      </c>
      <c r="U5518" t="str">
        <f t="shared" si="1248"/>
        <v>Willow St</v>
      </c>
      <c r="W5518" t="str">
        <f t="shared" si="1249"/>
        <v/>
      </c>
      <c r="X5518" t="str">
        <f>IF(ISBLANK(S5518),"Intersection","Non-Intersection")</f>
        <v>Non-Intersection</v>
      </c>
      <c r="Y5518" t="s">
        <v>5917</v>
      </c>
      <c r="Z5518" t="str">
        <f t="shared" si="1250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237"/>
        <v>41275</v>
      </c>
      <c r="D5519" s="4">
        <f t="shared" si="1238"/>
        <v>0.61643835616438358</v>
      </c>
      <c r="E5519" s="3">
        <f t="shared" si="1239"/>
        <v>2013</v>
      </c>
      <c r="F5519" s="3">
        <f t="shared" si="1240"/>
        <v>8</v>
      </c>
      <c r="G5519" s="3">
        <f t="shared" si="1241"/>
        <v>14</v>
      </c>
      <c r="H5519" s="3">
        <f t="shared" si="1242"/>
        <v>13</v>
      </c>
      <c r="I5519" s="3">
        <f t="shared" si="1243"/>
        <v>12</v>
      </c>
      <c r="J5519" s="3">
        <f t="shared" si="1244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245"/>
        <v>YES</v>
      </c>
      <c r="Q5519" t="str">
        <f t="shared" si="1246"/>
        <v>YES</v>
      </c>
      <c r="R5519" t="str">
        <f t="shared" si="1247"/>
        <v>NO</v>
      </c>
      <c r="S5519">
        <v>193</v>
      </c>
      <c r="T5519" t="s">
        <v>74</v>
      </c>
      <c r="U5519" t="str">
        <f t="shared" si="1248"/>
        <v>Hampshire St</v>
      </c>
      <c r="W5519" t="str">
        <f t="shared" si="1249"/>
        <v/>
      </c>
      <c r="X5519" t="str">
        <f>IF(ISBLANK(S5519),"Intersection","Non-Intersection")</f>
        <v>Non-Intersection</v>
      </c>
      <c r="Y5519" t="s">
        <v>3023</v>
      </c>
      <c r="Z5519" t="str">
        <f t="shared" si="1250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237"/>
        <v>41275</v>
      </c>
      <c r="D5520" s="4">
        <f t="shared" si="1238"/>
        <v>0.61643835616438358</v>
      </c>
      <c r="E5520" s="3">
        <f t="shared" si="1239"/>
        <v>2013</v>
      </c>
      <c r="F5520" s="3">
        <f t="shared" si="1240"/>
        <v>8</v>
      </c>
      <c r="G5520" s="3">
        <f t="shared" si="1241"/>
        <v>14</v>
      </c>
      <c r="H5520" s="3">
        <f t="shared" si="1242"/>
        <v>13</v>
      </c>
      <c r="I5520" s="3">
        <f t="shared" si="1243"/>
        <v>34</v>
      </c>
      <c r="J5520" s="3">
        <f t="shared" si="1244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245"/>
        <v>YES</v>
      </c>
      <c r="Q5520" t="str">
        <f t="shared" si="1246"/>
        <v>YES</v>
      </c>
      <c r="R5520" t="str">
        <f t="shared" si="1247"/>
        <v>NO</v>
      </c>
      <c r="S5520">
        <v>440</v>
      </c>
      <c r="T5520" t="s">
        <v>14</v>
      </c>
      <c r="U5520" t="str">
        <f t="shared" si="1248"/>
        <v>Massachusetts Ave</v>
      </c>
      <c r="W5520" t="str">
        <f t="shared" si="1249"/>
        <v/>
      </c>
      <c r="X5520" t="str">
        <f>IF(ISBLANK(S5520),"Intersection","Non-Intersection")</f>
        <v>Non-Intersection</v>
      </c>
      <c r="Y5520" t="s">
        <v>3130</v>
      </c>
      <c r="Z5520" t="str">
        <f t="shared" si="1250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237"/>
        <v>41275</v>
      </c>
      <c r="D5521" s="4">
        <f t="shared" si="1238"/>
        <v>0.61643835616438358</v>
      </c>
      <c r="E5521" s="3">
        <f t="shared" si="1239"/>
        <v>2013</v>
      </c>
      <c r="F5521" s="3">
        <f t="shared" si="1240"/>
        <v>8</v>
      </c>
      <c r="G5521" s="3">
        <f t="shared" si="1241"/>
        <v>14</v>
      </c>
      <c r="H5521" s="3">
        <f t="shared" si="1242"/>
        <v>16</v>
      </c>
      <c r="I5521" s="3">
        <f t="shared" si="1243"/>
        <v>5</v>
      </c>
      <c r="J5521" s="3">
        <f t="shared" si="1244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245"/>
        <v>YES</v>
      </c>
      <c r="Q5521" t="str">
        <f t="shared" si="1246"/>
        <v>YES</v>
      </c>
      <c r="R5521" t="str">
        <f t="shared" si="1247"/>
        <v>NO</v>
      </c>
      <c r="T5521" t="s">
        <v>198</v>
      </c>
      <c r="U5521" t="str">
        <f t="shared" si="1248"/>
        <v>Mount Auburn St</v>
      </c>
      <c r="V5521" t="s">
        <v>4941</v>
      </c>
      <c r="W5521" t="str">
        <f t="shared" si="1249"/>
        <v>Gerry St</v>
      </c>
      <c r="X5521" t="str">
        <f>IF(ISBLANK(S5521),"Intersection","Non-Intersection")</f>
        <v>Intersection</v>
      </c>
      <c r="Y5521" t="s">
        <v>5919</v>
      </c>
      <c r="Z5521" t="str">
        <f t="shared" si="1250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237"/>
        <v>41275</v>
      </c>
      <c r="D5522" s="4">
        <f t="shared" si="1238"/>
        <v>0.61643835616438358</v>
      </c>
      <c r="E5522" s="3">
        <f t="shared" si="1239"/>
        <v>2013</v>
      </c>
      <c r="F5522" s="3">
        <f t="shared" si="1240"/>
        <v>8</v>
      </c>
      <c r="G5522" s="3">
        <f t="shared" si="1241"/>
        <v>14</v>
      </c>
      <c r="H5522" s="3">
        <f t="shared" si="1242"/>
        <v>14</v>
      </c>
      <c r="I5522" s="3">
        <f t="shared" si="1243"/>
        <v>25</v>
      </c>
      <c r="J5522" s="3">
        <f t="shared" si="1244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245"/>
        <v>YES</v>
      </c>
      <c r="Q5522" t="str">
        <f t="shared" si="1246"/>
        <v>NO</v>
      </c>
      <c r="R5522" t="str">
        <f t="shared" si="1247"/>
        <v>NO</v>
      </c>
      <c r="S5522">
        <v>35</v>
      </c>
      <c r="T5522" t="s">
        <v>268</v>
      </c>
      <c r="U5522" t="str">
        <f t="shared" si="1248"/>
        <v>White St</v>
      </c>
      <c r="W5522" t="str">
        <f t="shared" si="1249"/>
        <v/>
      </c>
      <c r="X5522" t="str">
        <f>IF(ISBLANK(S5522),"Intersection","Non-Intersection")</f>
        <v>Non-Intersection</v>
      </c>
      <c r="Y5522" t="s">
        <v>933</v>
      </c>
      <c r="Z5522" t="str">
        <f t="shared" si="1250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237"/>
        <v>41275</v>
      </c>
      <c r="D5523" s="4">
        <f t="shared" si="1238"/>
        <v>0.61917808219178083</v>
      </c>
      <c r="E5523" s="3">
        <f t="shared" si="1239"/>
        <v>2013</v>
      </c>
      <c r="F5523" s="3">
        <f t="shared" si="1240"/>
        <v>8</v>
      </c>
      <c r="G5523" s="3">
        <f t="shared" si="1241"/>
        <v>15</v>
      </c>
      <c r="H5523" s="3">
        <f t="shared" si="1242"/>
        <v>15</v>
      </c>
      <c r="I5523" s="3">
        <f t="shared" si="1243"/>
        <v>40</v>
      </c>
      <c r="J5523" s="3">
        <f t="shared" si="1244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245"/>
        <v>YES</v>
      </c>
      <c r="Q5523" t="str">
        <f t="shared" si="1246"/>
        <v>NO</v>
      </c>
      <c r="R5523" t="str">
        <f t="shared" si="1247"/>
        <v>NO</v>
      </c>
      <c r="S5523">
        <v>36</v>
      </c>
      <c r="T5523" t="s">
        <v>3698</v>
      </c>
      <c r="U5523" t="str">
        <f t="shared" si="1248"/>
        <v>Lopez Ave</v>
      </c>
      <c r="W5523" t="str">
        <f t="shared" si="1249"/>
        <v/>
      </c>
      <c r="X5523" t="str">
        <f>IF(ISBLANK(S5523),"Intersection","Non-Intersection")</f>
        <v>Non-Intersection</v>
      </c>
      <c r="Y5523" t="s">
        <v>5921</v>
      </c>
      <c r="Z5523" t="str">
        <f t="shared" si="1250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237"/>
        <v>41275</v>
      </c>
      <c r="D5524" s="4">
        <f t="shared" si="1238"/>
        <v>0.61917808219178083</v>
      </c>
      <c r="E5524" s="3">
        <f t="shared" si="1239"/>
        <v>2013</v>
      </c>
      <c r="F5524" s="3">
        <f t="shared" si="1240"/>
        <v>8</v>
      </c>
      <c r="G5524" s="3">
        <f t="shared" si="1241"/>
        <v>15</v>
      </c>
      <c r="H5524" s="3">
        <f t="shared" si="1242"/>
        <v>17</v>
      </c>
      <c r="I5524" s="3">
        <f t="shared" si="1243"/>
        <v>0</v>
      </c>
      <c r="J5524" s="3">
        <f t="shared" si="1244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245"/>
        <v>YES</v>
      </c>
      <c r="Q5524" t="str">
        <f t="shared" si="1246"/>
        <v>NO</v>
      </c>
      <c r="R5524" t="str">
        <f t="shared" si="1247"/>
        <v>NO</v>
      </c>
      <c r="T5524" t="s">
        <v>19</v>
      </c>
      <c r="U5524" t="str">
        <f t="shared" si="1248"/>
        <v>Cambridge St</v>
      </c>
      <c r="V5524" t="s">
        <v>2580</v>
      </c>
      <c r="W5524" t="str">
        <f t="shared" si="1249"/>
        <v>Land Blvd</v>
      </c>
      <c r="X5524" t="str">
        <f>IF(ISBLANK(S5524),"Intersection","Non-Intersection")</f>
        <v>Intersection</v>
      </c>
      <c r="Y5524" t="s">
        <v>5923</v>
      </c>
      <c r="Z5524" t="str">
        <f t="shared" si="1250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237"/>
        <v>41275</v>
      </c>
      <c r="D5525" s="4">
        <f t="shared" si="1238"/>
        <v>0.61917808219178083</v>
      </c>
      <c r="E5525" s="3">
        <f t="shared" si="1239"/>
        <v>2013</v>
      </c>
      <c r="F5525" s="3">
        <f t="shared" si="1240"/>
        <v>8</v>
      </c>
      <c r="G5525" s="3">
        <f t="shared" si="1241"/>
        <v>15</v>
      </c>
      <c r="H5525" s="3">
        <f t="shared" si="1242"/>
        <v>17</v>
      </c>
      <c r="I5525" s="3">
        <f t="shared" si="1243"/>
        <v>39</v>
      </c>
      <c r="J5525" s="3">
        <f t="shared" si="1244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245"/>
        <v>YES</v>
      </c>
      <c r="Q5525" t="str">
        <f t="shared" si="1246"/>
        <v>NO</v>
      </c>
      <c r="R5525" t="str">
        <f t="shared" si="1247"/>
        <v>NO</v>
      </c>
      <c r="T5525" t="s">
        <v>14</v>
      </c>
      <c r="U5525" t="str">
        <f t="shared" si="1248"/>
        <v>Massachusetts Ave</v>
      </c>
      <c r="V5525" t="s">
        <v>3004</v>
      </c>
      <c r="W5525" t="str">
        <f t="shared" si="1249"/>
        <v>Chester St</v>
      </c>
      <c r="X5525" t="str">
        <f>IF(ISBLANK(S5525),"Intersection","Non-Intersection")</f>
        <v>Intersection</v>
      </c>
      <c r="Y5525" t="s">
        <v>3423</v>
      </c>
      <c r="Z5525" t="str">
        <f t="shared" si="1250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251">EOMONTH(B5526,MONTH(B5526)*-1)+1</f>
        <v>41275</v>
      </c>
      <c r="D5526" s="4">
        <f t="shared" ref="D5526:D5588" si="1252">YEARFRAC(C5526,B5526,1)</f>
        <v>0.62191780821917808</v>
      </c>
      <c r="E5526" s="3">
        <f t="shared" ref="E5526:E5588" si="1253">YEAR(B5526)</f>
        <v>2013</v>
      </c>
      <c r="F5526" s="3">
        <f t="shared" ref="F5526:F5588" si="1254">MONTH(B5526)</f>
        <v>8</v>
      </c>
      <c r="G5526" s="3">
        <f t="shared" ref="G5526:G5588" si="1255">DAY(B5526)</f>
        <v>16</v>
      </c>
      <c r="H5526" s="3">
        <f t="shared" ref="H5526:H5588" si="1256">HOUR(B5526)</f>
        <v>6</v>
      </c>
      <c r="I5526" s="3">
        <f t="shared" ref="I5526:I5588" si="1257">MINUTE(B5526)</f>
        <v>42</v>
      </c>
      <c r="J5526" s="3">
        <f t="shared" ref="J5526:J5588" si="1258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259">IF(OR(N5526="Auto",O5526="Auto"),"YES",IF(OR(N5526="Taxi",O5526="Taxi"),"YES",IF(OR(N5526="Van",O5526="Van"),"YES",IF(OR(N5526="Truck",O5526="Truck"),"YES","NO"))))</f>
        <v>YES</v>
      </c>
      <c r="Q5526" t="str">
        <f t="shared" ref="Q5526:Q5588" si="1260">IF(OR(N5526="Bicycle",O5526="Bicycle"),"YES","NO")</f>
        <v>YES</v>
      </c>
      <c r="R5526" t="str">
        <f t="shared" ref="R5526:R5588" si="1261">IF(OR(N5526="Pedestrian",O5526="Pedestrian"),"YES","NO")</f>
        <v>NO</v>
      </c>
      <c r="T5526" t="s">
        <v>198</v>
      </c>
      <c r="U5526" t="str">
        <f t="shared" si="1248"/>
        <v>Mount Auburn St</v>
      </c>
      <c r="V5526" t="s">
        <v>2285</v>
      </c>
      <c r="W5526" t="str">
        <f t="shared" si="1249"/>
        <v>Homer Ave</v>
      </c>
      <c r="X5526" t="str">
        <f>IF(ISBLANK(S5526),"Intersection","Non-Intersection")</f>
        <v>Intersection</v>
      </c>
      <c r="Y5526" t="s">
        <v>3334</v>
      </c>
      <c r="Z5526" t="str">
        <f t="shared" si="1250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251"/>
        <v>41275</v>
      </c>
      <c r="D5527" s="4">
        <f t="shared" si="1252"/>
        <v>0.62191780821917808</v>
      </c>
      <c r="E5527" s="3">
        <f t="shared" si="1253"/>
        <v>2013</v>
      </c>
      <c r="F5527" s="3">
        <f t="shared" si="1254"/>
        <v>8</v>
      </c>
      <c r="G5527" s="3">
        <f t="shared" si="1255"/>
        <v>16</v>
      </c>
      <c r="H5527" s="3">
        <f t="shared" si="1256"/>
        <v>11</v>
      </c>
      <c r="I5527" s="3">
        <f t="shared" si="1257"/>
        <v>28</v>
      </c>
      <c r="J5527" s="3">
        <f t="shared" si="1258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259"/>
        <v>YES</v>
      </c>
      <c r="Q5527" t="str">
        <f t="shared" si="1260"/>
        <v>NO</v>
      </c>
      <c r="R5527" t="str">
        <f t="shared" si="1261"/>
        <v>NO</v>
      </c>
      <c r="T5527" t="s">
        <v>379</v>
      </c>
      <c r="U5527" t="str">
        <f t="shared" si="1248"/>
        <v>Second St</v>
      </c>
      <c r="V5527" t="s">
        <v>209</v>
      </c>
      <c r="W5527" t="str">
        <f t="shared" si="1249"/>
        <v>Binney St</v>
      </c>
      <c r="X5527" t="str">
        <f>IF(ISBLANK(S5527),"Intersection","Non-Intersection")</f>
        <v>Intersection</v>
      </c>
      <c r="Y5527" t="s">
        <v>4027</v>
      </c>
      <c r="Z5527" t="str">
        <f t="shared" si="1250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251"/>
        <v>41275</v>
      </c>
      <c r="D5528" s="4">
        <f t="shared" si="1252"/>
        <v>0.62191780821917808</v>
      </c>
      <c r="E5528" s="3">
        <f t="shared" si="1253"/>
        <v>2013</v>
      </c>
      <c r="F5528" s="3">
        <f t="shared" si="1254"/>
        <v>8</v>
      </c>
      <c r="G5528" s="3">
        <f t="shared" si="1255"/>
        <v>16</v>
      </c>
      <c r="H5528" s="3">
        <f t="shared" si="1256"/>
        <v>14</v>
      </c>
      <c r="I5528" s="3">
        <f t="shared" si="1257"/>
        <v>28</v>
      </c>
      <c r="J5528" s="3">
        <f t="shared" si="1258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259"/>
        <v>YES</v>
      </c>
      <c r="Q5528" t="str">
        <f t="shared" si="1260"/>
        <v>NO</v>
      </c>
      <c r="R5528" t="str">
        <f t="shared" si="1261"/>
        <v>NO</v>
      </c>
      <c r="T5528" t="s">
        <v>42</v>
      </c>
      <c r="U5528" t="str">
        <f t="shared" si="1248"/>
        <v>Putnam Ave</v>
      </c>
      <c r="V5528" t="s">
        <v>41</v>
      </c>
      <c r="W5528" t="str">
        <f t="shared" si="1249"/>
        <v>River St</v>
      </c>
      <c r="X5528" t="str">
        <f>IF(ISBLANK(S5528),"Intersection","Non-Intersection")</f>
        <v>Intersection</v>
      </c>
      <c r="Y5528" t="s">
        <v>2398</v>
      </c>
      <c r="Z5528" t="str">
        <f t="shared" si="1250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251"/>
        <v>41275</v>
      </c>
      <c r="D5529" s="4">
        <f t="shared" si="1252"/>
        <v>0.62191780821917808</v>
      </c>
      <c r="E5529" s="3">
        <f t="shared" si="1253"/>
        <v>2013</v>
      </c>
      <c r="F5529" s="3">
        <f t="shared" si="1254"/>
        <v>8</v>
      </c>
      <c r="G5529" s="3">
        <f t="shared" si="1255"/>
        <v>16</v>
      </c>
      <c r="H5529" s="3">
        <f t="shared" si="1256"/>
        <v>18</v>
      </c>
      <c r="I5529" s="3">
        <f t="shared" si="1257"/>
        <v>10</v>
      </c>
      <c r="J5529" s="3">
        <f t="shared" si="1258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259"/>
        <v>YES</v>
      </c>
      <c r="Q5529" t="str">
        <f t="shared" si="1260"/>
        <v>NO</v>
      </c>
      <c r="R5529" t="str">
        <f t="shared" si="1261"/>
        <v>NO</v>
      </c>
      <c r="T5529" t="s">
        <v>105</v>
      </c>
      <c r="U5529" t="str">
        <f t="shared" si="1248"/>
        <v>Broadway</v>
      </c>
      <c r="V5529" t="s">
        <v>260</v>
      </c>
      <c r="W5529" t="str">
        <f t="shared" si="1249"/>
        <v>Third St</v>
      </c>
      <c r="X5529" t="str">
        <f>IF(ISBLANK(S5529),"Intersection","Non-Intersection")</f>
        <v>Intersection</v>
      </c>
      <c r="Y5529" t="s">
        <v>2506</v>
      </c>
      <c r="Z5529" t="str">
        <f t="shared" si="1250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251"/>
        <v>41275</v>
      </c>
      <c r="D5530" s="4">
        <f t="shared" si="1252"/>
        <v>0.62191780821917808</v>
      </c>
      <c r="E5530" s="3">
        <f t="shared" si="1253"/>
        <v>2013</v>
      </c>
      <c r="F5530" s="3">
        <f t="shared" si="1254"/>
        <v>8</v>
      </c>
      <c r="G5530" s="3">
        <f t="shared" si="1255"/>
        <v>16</v>
      </c>
      <c r="H5530" s="3">
        <f t="shared" si="1256"/>
        <v>15</v>
      </c>
      <c r="I5530" s="3">
        <f t="shared" si="1257"/>
        <v>55</v>
      </c>
      <c r="J5530" s="3">
        <f t="shared" si="1258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259"/>
        <v>YES</v>
      </c>
      <c r="Q5530" t="str">
        <f t="shared" si="1260"/>
        <v>NO</v>
      </c>
      <c r="R5530" t="str">
        <f t="shared" si="1261"/>
        <v>NO</v>
      </c>
      <c r="S5530">
        <v>325</v>
      </c>
      <c r="T5530" t="s">
        <v>27</v>
      </c>
      <c r="U5530" t="str">
        <f t="shared" si="1248"/>
        <v>Western Ave</v>
      </c>
      <c r="W5530" t="str">
        <f t="shared" si="1249"/>
        <v/>
      </c>
      <c r="X5530" t="str">
        <f>IF(ISBLANK(S5530),"Intersection","Non-Intersection")</f>
        <v>Non-Intersection</v>
      </c>
      <c r="Y5530" t="s">
        <v>5925</v>
      </c>
      <c r="Z5530" t="str">
        <f t="shared" si="1250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251"/>
        <v>41275</v>
      </c>
      <c r="D5531" s="4">
        <f t="shared" si="1252"/>
        <v>0.62465753424657533</v>
      </c>
      <c r="E5531" s="3">
        <f t="shared" si="1253"/>
        <v>2013</v>
      </c>
      <c r="F5531" s="3">
        <f t="shared" si="1254"/>
        <v>8</v>
      </c>
      <c r="G5531" s="3">
        <f t="shared" si="1255"/>
        <v>17</v>
      </c>
      <c r="H5531" s="3">
        <f t="shared" si="1256"/>
        <v>9</v>
      </c>
      <c r="I5531" s="3">
        <f t="shared" si="1257"/>
        <v>4</v>
      </c>
      <c r="J5531" s="3">
        <f t="shared" si="1258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259"/>
        <v>YES</v>
      </c>
      <c r="Q5531" t="str">
        <f t="shared" si="1260"/>
        <v>NO</v>
      </c>
      <c r="R5531" t="str">
        <f t="shared" si="1261"/>
        <v>NO</v>
      </c>
      <c r="T5531" t="s">
        <v>104</v>
      </c>
      <c r="U5531" t="str">
        <f t="shared" si="1248"/>
        <v>Inman St</v>
      </c>
      <c r="V5531" t="s">
        <v>14</v>
      </c>
      <c r="W5531" t="str">
        <f t="shared" si="1249"/>
        <v>Massachusetts Ave</v>
      </c>
      <c r="X5531" t="str">
        <f>IF(ISBLANK(S5531),"Intersection","Non-Intersection")</f>
        <v>Intersection</v>
      </c>
      <c r="Y5531" t="s">
        <v>434</v>
      </c>
      <c r="Z5531" t="str">
        <f t="shared" si="1250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251"/>
        <v>41275</v>
      </c>
      <c r="D5532" s="4">
        <f t="shared" si="1252"/>
        <v>0.62465753424657533</v>
      </c>
      <c r="E5532" s="3">
        <f t="shared" si="1253"/>
        <v>2013</v>
      </c>
      <c r="F5532" s="3">
        <f t="shared" si="1254"/>
        <v>8</v>
      </c>
      <c r="G5532" s="3">
        <f t="shared" si="1255"/>
        <v>17</v>
      </c>
      <c r="H5532" s="3">
        <f t="shared" si="1256"/>
        <v>9</v>
      </c>
      <c r="I5532" s="3">
        <f t="shared" si="1257"/>
        <v>23</v>
      </c>
      <c r="J5532" s="3">
        <f t="shared" si="1258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259"/>
        <v>YES</v>
      </c>
      <c r="Q5532" t="str">
        <f t="shared" si="1260"/>
        <v>YES</v>
      </c>
      <c r="R5532" t="str">
        <f t="shared" si="1261"/>
        <v>NO</v>
      </c>
      <c r="T5532" t="s">
        <v>14</v>
      </c>
      <c r="U5532" t="str">
        <f t="shared" si="1248"/>
        <v>Massachusetts Ave</v>
      </c>
      <c r="V5532" t="s">
        <v>977</v>
      </c>
      <c r="W5532" t="str">
        <f t="shared" si="1249"/>
        <v>Russell St</v>
      </c>
      <c r="X5532" t="str">
        <f>IF(ISBLANK(S5532),"Intersection","Non-Intersection")</f>
        <v>Intersection</v>
      </c>
      <c r="Y5532" t="s">
        <v>978</v>
      </c>
      <c r="Z5532" t="str">
        <f t="shared" si="1250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251"/>
        <v>41275</v>
      </c>
      <c r="D5533" s="4">
        <f t="shared" si="1252"/>
        <v>0.62465753424657533</v>
      </c>
      <c r="E5533" s="3">
        <f t="shared" si="1253"/>
        <v>2013</v>
      </c>
      <c r="F5533" s="3">
        <f t="shared" si="1254"/>
        <v>8</v>
      </c>
      <c r="G5533" s="3">
        <f t="shared" si="1255"/>
        <v>17</v>
      </c>
      <c r="H5533" s="3">
        <f t="shared" si="1256"/>
        <v>10</v>
      </c>
      <c r="I5533" s="3">
        <f t="shared" si="1257"/>
        <v>9</v>
      </c>
      <c r="J5533" s="3">
        <f t="shared" si="1258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259"/>
        <v>YES</v>
      </c>
      <c r="Q5533" t="str">
        <f t="shared" si="1260"/>
        <v>NO</v>
      </c>
      <c r="R5533" t="str">
        <f t="shared" si="1261"/>
        <v>YES</v>
      </c>
      <c r="S5533">
        <v>625</v>
      </c>
      <c r="T5533" t="s">
        <v>14</v>
      </c>
      <c r="U5533" t="str">
        <f t="shared" si="1248"/>
        <v>Massachusetts Ave</v>
      </c>
      <c r="W5533" t="str">
        <f t="shared" si="1249"/>
        <v/>
      </c>
      <c r="X5533" t="str">
        <f>IF(ISBLANK(S5533),"Intersection","Non-Intersection")</f>
        <v>Non-Intersection</v>
      </c>
      <c r="Y5533" t="s">
        <v>1528</v>
      </c>
      <c r="Z5533" t="str">
        <f t="shared" si="1250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251"/>
        <v>41275</v>
      </c>
      <c r="D5534" s="4">
        <f t="shared" si="1252"/>
        <v>0.62739726027397258</v>
      </c>
      <c r="E5534" s="3">
        <f t="shared" si="1253"/>
        <v>2013</v>
      </c>
      <c r="F5534" s="3">
        <f t="shared" si="1254"/>
        <v>8</v>
      </c>
      <c r="G5534" s="3">
        <f t="shared" si="1255"/>
        <v>18</v>
      </c>
      <c r="H5534" s="3">
        <f t="shared" si="1256"/>
        <v>17</v>
      </c>
      <c r="I5534" s="3">
        <f t="shared" si="1257"/>
        <v>41</v>
      </c>
      <c r="J5534" s="3">
        <f t="shared" si="1258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259"/>
        <v>YES</v>
      </c>
      <c r="Q5534" t="str">
        <f t="shared" si="1260"/>
        <v>NO</v>
      </c>
      <c r="R5534" t="str">
        <f t="shared" si="1261"/>
        <v>NO</v>
      </c>
      <c r="S5534">
        <v>152</v>
      </c>
      <c r="T5534" t="s">
        <v>1145</v>
      </c>
      <c r="U5534" t="str">
        <f t="shared" si="1248"/>
        <v>Pemberton St</v>
      </c>
      <c r="W5534" t="str">
        <f t="shared" si="1249"/>
        <v/>
      </c>
      <c r="X5534" t="str">
        <f>IF(ISBLANK(S5534),"Intersection","Non-Intersection")</f>
        <v>Non-Intersection</v>
      </c>
      <c r="Y5534" t="s">
        <v>5927</v>
      </c>
      <c r="Z5534" t="str">
        <f t="shared" si="1250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251"/>
        <v>41275</v>
      </c>
      <c r="D5535" s="4">
        <f t="shared" si="1252"/>
        <v>0.63013698630136983</v>
      </c>
      <c r="E5535" s="3">
        <f t="shared" si="1253"/>
        <v>2013</v>
      </c>
      <c r="F5535" s="3">
        <f t="shared" si="1254"/>
        <v>8</v>
      </c>
      <c r="G5535" s="3">
        <f t="shared" si="1255"/>
        <v>19</v>
      </c>
      <c r="H5535" s="3">
        <f t="shared" si="1256"/>
        <v>12</v>
      </c>
      <c r="I5535" s="3">
        <f t="shared" si="1257"/>
        <v>13</v>
      </c>
      <c r="J5535" s="3">
        <f t="shared" si="1258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259"/>
        <v>YES</v>
      </c>
      <c r="Q5535" t="str">
        <f t="shared" si="1260"/>
        <v>NO</v>
      </c>
      <c r="R5535" t="str">
        <f t="shared" si="1261"/>
        <v>NO</v>
      </c>
      <c r="S5535">
        <v>743</v>
      </c>
      <c r="T5535" t="s">
        <v>14</v>
      </c>
      <c r="U5535" t="str">
        <f t="shared" si="1248"/>
        <v>Massachusetts Ave</v>
      </c>
      <c r="W5535" t="str">
        <f t="shared" si="1249"/>
        <v/>
      </c>
      <c r="X5535" t="str">
        <f>IF(ISBLANK(S5535),"Intersection","Non-Intersection")</f>
        <v>Non-Intersection</v>
      </c>
      <c r="Y5535" t="s">
        <v>3080</v>
      </c>
      <c r="Z5535" t="str">
        <f t="shared" si="1250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251"/>
        <v>41275</v>
      </c>
      <c r="D5536" s="4">
        <f t="shared" si="1252"/>
        <v>0.63013698630136983</v>
      </c>
      <c r="E5536" s="3">
        <f t="shared" si="1253"/>
        <v>2013</v>
      </c>
      <c r="F5536" s="3">
        <f t="shared" si="1254"/>
        <v>8</v>
      </c>
      <c r="G5536" s="3">
        <f t="shared" si="1255"/>
        <v>19</v>
      </c>
      <c r="H5536" s="3">
        <f t="shared" si="1256"/>
        <v>19</v>
      </c>
      <c r="I5536" s="3">
        <f t="shared" si="1257"/>
        <v>15</v>
      </c>
      <c r="J5536" s="3">
        <f t="shared" si="1258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259"/>
        <v>YES</v>
      </c>
      <c r="Q5536" t="str">
        <f t="shared" si="1260"/>
        <v>NO</v>
      </c>
      <c r="R5536" t="str">
        <f t="shared" si="1261"/>
        <v>NO</v>
      </c>
      <c r="S5536">
        <v>248</v>
      </c>
      <c r="T5536" t="s">
        <v>186</v>
      </c>
      <c r="U5536" t="str">
        <f t="shared" si="1248"/>
        <v>Concord Ave</v>
      </c>
      <c r="W5536" t="str">
        <f t="shared" si="1249"/>
        <v/>
      </c>
      <c r="X5536" t="str">
        <f>IF(ISBLANK(S5536),"Intersection","Non-Intersection")</f>
        <v>Non-Intersection</v>
      </c>
      <c r="Y5536" t="s">
        <v>5929</v>
      </c>
      <c r="Z5536" t="str">
        <f t="shared" si="1250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251"/>
        <v>41275</v>
      </c>
      <c r="D5537" s="4">
        <f t="shared" si="1252"/>
        <v>0.63013698630136983</v>
      </c>
      <c r="E5537" s="3">
        <f t="shared" si="1253"/>
        <v>2013</v>
      </c>
      <c r="F5537" s="3">
        <f t="shared" si="1254"/>
        <v>8</v>
      </c>
      <c r="G5537" s="3">
        <f t="shared" si="1255"/>
        <v>19</v>
      </c>
      <c r="H5537" s="3">
        <f t="shared" si="1256"/>
        <v>16</v>
      </c>
      <c r="I5537" s="3">
        <f t="shared" si="1257"/>
        <v>59</v>
      </c>
      <c r="J5537" s="3">
        <f t="shared" si="1258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259"/>
        <v>YES</v>
      </c>
      <c r="Q5537" t="str">
        <f t="shared" si="1260"/>
        <v>NO</v>
      </c>
      <c r="R5537" t="str">
        <f t="shared" si="1261"/>
        <v>NO</v>
      </c>
      <c r="T5537" t="s">
        <v>50</v>
      </c>
      <c r="U5537" t="str">
        <f t="shared" si="1248"/>
        <v>Belmont St</v>
      </c>
      <c r="V5537" t="s">
        <v>899</v>
      </c>
      <c r="W5537" t="str">
        <f t="shared" si="1249"/>
        <v>Cushing St</v>
      </c>
      <c r="X5537" t="str">
        <f>IF(ISBLANK(S5537),"Intersection","Non-Intersection")</f>
        <v>Intersection</v>
      </c>
      <c r="Y5537" t="s">
        <v>900</v>
      </c>
      <c r="Z5537" t="str">
        <f t="shared" si="1250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251"/>
        <v>41275</v>
      </c>
      <c r="D5538" s="4">
        <f t="shared" si="1252"/>
        <v>0.63287671232876708</v>
      </c>
      <c r="E5538" s="3">
        <f t="shared" si="1253"/>
        <v>2013</v>
      </c>
      <c r="F5538" s="3">
        <f t="shared" si="1254"/>
        <v>8</v>
      </c>
      <c r="G5538" s="3">
        <f t="shared" si="1255"/>
        <v>20</v>
      </c>
      <c r="H5538" s="3">
        <f t="shared" si="1256"/>
        <v>10</v>
      </c>
      <c r="I5538" s="3">
        <f t="shared" si="1257"/>
        <v>14</v>
      </c>
      <c r="J5538" s="3">
        <f t="shared" si="1258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259"/>
        <v>YES</v>
      </c>
      <c r="Q5538" t="str">
        <f t="shared" si="1260"/>
        <v>NO</v>
      </c>
      <c r="R5538" t="str">
        <f t="shared" si="1261"/>
        <v>NO</v>
      </c>
      <c r="T5538" t="s">
        <v>3339</v>
      </c>
      <c r="U5538" t="str">
        <f t="shared" si="1248"/>
        <v>Field St</v>
      </c>
      <c r="V5538" t="s">
        <v>1065</v>
      </c>
      <c r="W5538" t="str">
        <f t="shared" si="1249"/>
        <v>Fern St</v>
      </c>
      <c r="X5538" t="str">
        <f>IF(ISBLANK(S5538),"Intersection","Non-Intersection")</f>
        <v>Intersection</v>
      </c>
      <c r="Y5538" t="s">
        <v>3340</v>
      </c>
      <c r="Z5538" t="str">
        <f t="shared" si="1250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251"/>
        <v>41275</v>
      </c>
      <c r="D5539" s="4">
        <f t="shared" si="1252"/>
        <v>0.63287671232876708</v>
      </c>
      <c r="E5539" s="3">
        <f t="shared" si="1253"/>
        <v>2013</v>
      </c>
      <c r="F5539" s="3">
        <f t="shared" si="1254"/>
        <v>8</v>
      </c>
      <c r="G5539" s="3">
        <f t="shared" si="1255"/>
        <v>20</v>
      </c>
      <c r="H5539" s="3">
        <f t="shared" si="1256"/>
        <v>13</v>
      </c>
      <c r="I5539" s="3">
        <f t="shared" si="1257"/>
        <v>9</v>
      </c>
      <c r="J5539" s="3">
        <f t="shared" si="1258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259"/>
        <v>YES</v>
      </c>
      <c r="Q5539" t="str">
        <f t="shared" si="1260"/>
        <v>NO</v>
      </c>
      <c r="R5539" t="str">
        <f t="shared" si="1261"/>
        <v>NO</v>
      </c>
      <c r="S5539">
        <v>84</v>
      </c>
      <c r="T5539" t="s">
        <v>14</v>
      </c>
      <c r="U5539" t="str">
        <f t="shared" si="1248"/>
        <v>Massachusetts Ave</v>
      </c>
      <c r="W5539" t="str">
        <f t="shared" si="1249"/>
        <v/>
      </c>
      <c r="X5539" t="str">
        <f>IF(ISBLANK(S5539),"Intersection","Non-Intersection")</f>
        <v>Non-Intersection</v>
      </c>
      <c r="Y5539" t="s">
        <v>888</v>
      </c>
      <c r="Z5539" t="str">
        <f t="shared" si="1250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251"/>
        <v>41275</v>
      </c>
      <c r="D5540" s="4">
        <f t="shared" si="1252"/>
        <v>0.63287671232876708</v>
      </c>
      <c r="E5540" s="3">
        <f t="shared" si="1253"/>
        <v>2013</v>
      </c>
      <c r="F5540" s="3">
        <f t="shared" si="1254"/>
        <v>8</v>
      </c>
      <c r="G5540" s="3">
        <f t="shared" si="1255"/>
        <v>20</v>
      </c>
      <c r="H5540" s="3">
        <f t="shared" si="1256"/>
        <v>13</v>
      </c>
      <c r="I5540" s="3">
        <f t="shared" si="1257"/>
        <v>18</v>
      </c>
      <c r="J5540" s="3">
        <f t="shared" si="1258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259"/>
        <v>YES</v>
      </c>
      <c r="Q5540" t="str">
        <f t="shared" si="1260"/>
        <v>NO</v>
      </c>
      <c r="R5540" t="str">
        <f t="shared" si="1261"/>
        <v>NO</v>
      </c>
      <c r="S5540">
        <v>1815</v>
      </c>
      <c r="T5540" t="s">
        <v>14</v>
      </c>
      <c r="U5540" t="str">
        <f t="shared" si="1248"/>
        <v>Massachusetts Ave</v>
      </c>
      <c r="W5540" t="str">
        <f t="shared" si="1249"/>
        <v/>
      </c>
      <c r="X5540" t="str">
        <f>IF(ISBLANK(S5540),"Intersection","Non-Intersection")</f>
        <v>Non-Intersection</v>
      </c>
      <c r="Y5540" t="s">
        <v>2783</v>
      </c>
      <c r="Z5540" t="str">
        <f t="shared" si="1250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251"/>
        <v>41275</v>
      </c>
      <c r="D5541" s="4">
        <f t="shared" si="1252"/>
        <v>0.63561643835616444</v>
      </c>
      <c r="E5541" s="3">
        <f t="shared" si="1253"/>
        <v>2013</v>
      </c>
      <c r="F5541" s="3">
        <f t="shared" si="1254"/>
        <v>8</v>
      </c>
      <c r="G5541" s="3">
        <f t="shared" si="1255"/>
        <v>21</v>
      </c>
      <c r="H5541" s="3">
        <f t="shared" si="1256"/>
        <v>9</v>
      </c>
      <c r="I5541" s="3">
        <f t="shared" si="1257"/>
        <v>49</v>
      </c>
      <c r="J5541" s="3">
        <f t="shared" si="1258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259"/>
        <v>YES</v>
      </c>
      <c r="Q5541" t="str">
        <f t="shared" si="1260"/>
        <v>YES</v>
      </c>
      <c r="R5541" t="str">
        <f t="shared" si="1261"/>
        <v>NO</v>
      </c>
      <c r="T5541" t="s">
        <v>133</v>
      </c>
      <c r="U5541" t="str">
        <f t="shared" si="1248"/>
        <v>Harvard St</v>
      </c>
      <c r="V5541" t="s">
        <v>805</v>
      </c>
      <c r="W5541" t="str">
        <f t="shared" si="1249"/>
        <v>Trowbridge St</v>
      </c>
      <c r="X5541" t="str">
        <f>IF(ISBLANK(S5541),"Intersection","Non-Intersection")</f>
        <v>Intersection</v>
      </c>
      <c r="Y5541" t="s">
        <v>2175</v>
      </c>
      <c r="Z5541" t="str">
        <f t="shared" si="1250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251"/>
        <v>41275</v>
      </c>
      <c r="D5542" s="4">
        <f t="shared" si="1252"/>
        <v>0.63561643835616444</v>
      </c>
      <c r="E5542" s="3">
        <f t="shared" si="1253"/>
        <v>2013</v>
      </c>
      <c r="F5542" s="3">
        <f t="shared" si="1254"/>
        <v>8</v>
      </c>
      <c r="G5542" s="3">
        <f t="shared" si="1255"/>
        <v>21</v>
      </c>
      <c r="H5542" s="3">
        <f t="shared" si="1256"/>
        <v>8</v>
      </c>
      <c r="I5542" s="3">
        <f t="shared" si="1257"/>
        <v>29</v>
      </c>
      <c r="J5542" s="3">
        <f t="shared" si="1258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259"/>
        <v>YES</v>
      </c>
      <c r="Q5542" t="str">
        <f t="shared" si="1260"/>
        <v>NO</v>
      </c>
      <c r="R5542" t="str">
        <f t="shared" si="1261"/>
        <v>NO</v>
      </c>
      <c r="S5542">
        <v>10</v>
      </c>
      <c r="T5542" t="s">
        <v>1520</v>
      </c>
      <c r="U5542" t="str">
        <f t="shared" si="1248"/>
        <v>Fayette St</v>
      </c>
      <c r="W5542" t="str">
        <f t="shared" si="1249"/>
        <v/>
      </c>
      <c r="X5542" t="str">
        <f>IF(ISBLANK(S5542),"Intersection","Non-Intersection")</f>
        <v>Non-Intersection</v>
      </c>
      <c r="Y5542" t="s">
        <v>5931</v>
      </c>
      <c r="Z5542" t="str">
        <f t="shared" si="1250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251"/>
        <v>41275</v>
      </c>
      <c r="D5543" s="4">
        <f t="shared" si="1252"/>
        <v>0.63561643835616444</v>
      </c>
      <c r="E5543" s="3">
        <f t="shared" si="1253"/>
        <v>2013</v>
      </c>
      <c r="F5543" s="3">
        <f t="shared" si="1254"/>
        <v>8</v>
      </c>
      <c r="G5543" s="3">
        <f t="shared" si="1255"/>
        <v>21</v>
      </c>
      <c r="H5543" s="3">
        <f t="shared" si="1256"/>
        <v>9</v>
      </c>
      <c r="I5543" s="3">
        <f t="shared" si="1257"/>
        <v>46</v>
      </c>
      <c r="J5543" s="3">
        <f t="shared" si="1258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259"/>
        <v>YES</v>
      </c>
      <c r="Q5543" t="str">
        <f t="shared" si="1260"/>
        <v>YES</v>
      </c>
      <c r="R5543" t="str">
        <f t="shared" si="1261"/>
        <v>NO</v>
      </c>
      <c r="T5543" t="s">
        <v>14</v>
      </c>
      <c r="U5543" t="str">
        <f t="shared" si="1248"/>
        <v>Massachusetts Ave</v>
      </c>
      <c r="V5543" t="s">
        <v>195</v>
      </c>
      <c r="W5543" t="str">
        <f t="shared" si="1249"/>
        <v>Sidney St</v>
      </c>
      <c r="X5543" t="str">
        <f>IF(ISBLANK(S5543),"Intersection","Non-Intersection")</f>
        <v>Intersection</v>
      </c>
      <c r="Y5543" t="s">
        <v>196</v>
      </c>
      <c r="Z5543" t="str">
        <f t="shared" si="1250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251"/>
        <v>41275</v>
      </c>
      <c r="D5544" s="4">
        <f t="shared" si="1252"/>
        <v>0.63561643835616444</v>
      </c>
      <c r="E5544" s="3">
        <f t="shared" si="1253"/>
        <v>2013</v>
      </c>
      <c r="F5544" s="3">
        <f t="shared" si="1254"/>
        <v>8</v>
      </c>
      <c r="G5544" s="3">
        <f t="shared" si="1255"/>
        <v>21</v>
      </c>
      <c r="H5544" s="3">
        <f t="shared" si="1256"/>
        <v>14</v>
      </c>
      <c r="I5544" s="3">
        <f t="shared" si="1257"/>
        <v>15</v>
      </c>
      <c r="J5544" s="3">
        <f t="shared" si="1258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259"/>
        <v>YES</v>
      </c>
      <c r="Q5544" t="str">
        <f t="shared" si="1260"/>
        <v>NO</v>
      </c>
      <c r="R5544" t="str">
        <f t="shared" si="1261"/>
        <v>NO</v>
      </c>
      <c r="T5544" t="s">
        <v>195</v>
      </c>
      <c r="U5544" t="str">
        <f t="shared" si="1248"/>
        <v>Sidney St</v>
      </c>
      <c r="V5544" t="s">
        <v>69</v>
      </c>
      <c r="W5544" t="str">
        <f t="shared" si="1249"/>
        <v>Henry St</v>
      </c>
      <c r="X5544" t="str">
        <f>IF(ISBLANK(S5544),"Intersection","Non-Intersection")</f>
        <v>Intersection</v>
      </c>
      <c r="Y5544" t="s">
        <v>1874</v>
      </c>
      <c r="Z5544" t="str">
        <f t="shared" si="1250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251"/>
        <v>41275</v>
      </c>
      <c r="D5545" s="4">
        <f t="shared" si="1252"/>
        <v>0.63561643835616444</v>
      </c>
      <c r="E5545" s="3">
        <f t="shared" si="1253"/>
        <v>2013</v>
      </c>
      <c r="F5545" s="3">
        <f t="shared" si="1254"/>
        <v>8</v>
      </c>
      <c r="G5545" s="3">
        <f t="shared" si="1255"/>
        <v>21</v>
      </c>
      <c r="H5545" s="3">
        <f t="shared" si="1256"/>
        <v>11</v>
      </c>
      <c r="I5545" s="3">
        <f t="shared" si="1257"/>
        <v>0</v>
      </c>
      <c r="J5545" s="3">
        <f t="shared" si="1258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259"/>
        <v>YES</v>
      </c>
      <c r="Q5545" t="str">
        <f t="shared" si="1260"/>
        <v>NO</v>
      </c>
      <c r="R5545" t="str">
        <f t="shared" si="1261"/>
        <v>NO</v>
      </c>
      <c r="S5545">
        <v>640</v>
      </c>
      <c r="T5545" t="s">
        <v>186</v>
      </c>
      <c r="U5545" t="str">
        <f t="shared" si="1248"/>
        <v>Concord Ave</v>
      </c>
      <c r="W5545" t="str">
        <f t="shared" si="1249"/>
        <v/>
      </c>
      <c r="X5545" t="str">
        <f>IF(ISBLANK(S5545),"Intersection","Non-Intersection")</f>
        <v>Non-Intersection</v>
      </c>
      <c r="Y5545" t="s">
        <v>3838</v>
      </c>
      <c r="Z5545" t="str">
        <f t="shared" si="1250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251"/>
        <v>41275</v>
      </c>
      <c r="D5546" s="4">
        <f t="shared" si="1252"/>
        <v>0.63561643835616444</v>
      </c>
      <c r="E5546" s="3">
        <f t="shared" si="1253"/>
        <v>2013</v>
      </c>
      <c r="F5546" s="3">
        <f t="shared" si="1254"/>
        <v>8</v>
      </c>
      <c r="G5546" s="3">
        <f t="shared" si="1255"/>
        <v>21</v>
      </c>
      <c r="H5546" s="3">
        <f t="shared" si="1256"/>
        <v>8</v>
      </c>
      <c r="I5546" s="3">
        <f t="shared" si="1257"/>
        <v>0</v>
      </c>
      <c r="J5546" s="3">
        <f t="shared" si="1258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259"/>
        <v>YES</v>
      </c>
      <c r="Q5546" t="str">
        <f t="shared" si="1260"/>
        <v>NO</v>
      </c>
      <c r="R5546" t="str">
        <f t="shared" si="1261"/>
        <v>NO</v>
      </c>
      <c r="S5546" t="s">
        <v>5933</v>
      </c>
      <c r="T5546" t="s">
        <v>1752</v>
      </c>
      <c r="U5546" t="str">
        <f t="shared" si="1248"/>
        <v>Cambridgepark Dr</v>
      </c>
      <c r="W5546" t="str">
        <f t="shared" si="1249"/>
        <v/>
      </c>
      <c r="X5546" t="str">
        <f>IF(ISBLANK(S5546),"Intersection","Non-Intersection")</f>
        <v>Non-Intersection</v>
      </c>
      <c r="Y5546" t="s">
        <v>5934</v>
      </c>
      <c r="Z5546" t="str">
        <f t="shared" si="1250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251"/>
        <v>41275</v>
      </c>
      <c r="D5547" s="4">
        <f t="shared" si="1252"/>
        <v>0.63835616438356169</v>
      </c>
      <c r="E5547" s="3">
        <f t="shared" si="1253"/>
        <v>2013</v>
      </c>
      <c r="F5547" s="3">
        <f t="shared" si="1254"/>
        <v>8</v>
      </c>
      <c r="G5547" s="3">
        <f t="shared" si="1255"/>
        <v>22</v>
      </c>
      <c r="H5547" s="3">
        <f t="shared" si="1256"/>
        <v>9</v>
      </c>
      <c r="I5547" s="3">
        <f t="shared" si="1257"/>
        <v>0</v>
      </c>
      <c r="J5547" s="3">
        <f t="shared" si="1258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259"/>
        <v>YES</v>
      </c>
      <c r="Q5547" t="str">
        <f t="shared" si="1260"/>
        <v>NO</v>
      </c>
      <c r="R5547" t="str">
        <f t="shared" si="1261"/>
        <v>NO</v>
      </c>
      <c r="T5547" t="s">
        <v>380</v>
      </c>
      <c r="U5547" t="str">
        <f t="shared" si="1248"/>
        <v>Charles St</v>
      </c>
      <c r="V5547" t="s">
        <v>147</v>
      </c>
      <c r="W5547" t="str">
        <f t="shared" si="1249"/>
        <v>Sixth St</v>
      </c>
      <c r="X5547" t="str">
        <f>IF(ISBLANK(S5547),"Intersection","Non-Intersection")</f>
        <v>Intersection</v>
      </c>
      <c r="Y5547" t="s">
        <v>5936</v>
      </c>
      <c r="Z5547" t="str">
        <f t="shared" si="1250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251"/>
        <v>41275</v>
      </c>
      <c r="D5548" s="4">
        <f t="shared" si="1252"/>
        <v>0.63835616438356169</v>
      </c>
      <c r="E5548" s="3">
        <f t="shared" si="1253"/>
        <v>2013</v>
      </c>
      <c r="F5548" s="3">
        <f t="shared" si="1254"/>
        <v>8</v>
      </c>
      <c r="G5548" s="3">
        <f t="shared" si="1255"/>
        <v>22</v>
      </c>
      <c r="H5548" s="3">
        <f t="shared" si="1256"/>
        <v>11</v>
      </c>
      <c r="I5548" s="3">
        <f t="shared" si="1257"/>
        <v>29</v>
      </c>
      <c r="J5548" s="3">
        <f t="shared" si="1258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259"/>
        <v>YES</v>
      </c>
      <c r="Q5548" t="str">
        <f t="shared" si="1260"/>
        <v>NO</v>
      </c>
      <c r="R5548" t="str">
        <f t="shared" si="1261"/>
        <v>NO</v>
      </c>
      <c r="T5548" t="s">
        <v>192</v>
      </c>
      <c r="U5548" t="str">
        <f t="shared" si="1248"/>
        <v>Hancock St</v>
      </c>
      <c r="V5548" t="s">
        <v>14</v>
      </c>
      <c r="W5548" t="str">
        <f t="shared" si="1249"/>
        <v>Massachusetts Ave</v>
      </c>
      <c r="X5548" t="str">
        <f>IF(ISBLANK(S5548),"Intersection","Non-Intersection")</f>
        <v>Intersection</v>
      </c>
      <c r="Y5548" t="s">
        <v>5937</v>
      </c>
      <c r="Z5548" t="str">
        <f t="shared" si="1250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251"/>
        <v>41275</v>
      </c>
      <c r="D5549" s="4">
        <f t="shared" si="1252"/>
        <v>0.63835616438356169</v>
      </c>
      <c r="E5549" s="3">
        <f t="shared" si="1253"/>
        <v>2013</v>
      </c>
      <c r="F5549" s="3">
        <f t="shared" si="1254"/>
        <v>8</v>
      </c>
      <c r="G5549" s="3">
        <f t="shared" si="1255"/>
        <v>22</v>
      </c>
      <c r="H5549" s="3">
        <f t="shared" si="1256"/>
        <v>18</v>
      </c>
      <c r="I5549" s="3">
        <f t="shared" si="1257"/>
        <v>23</v>
      </c>
      <c r="J5549" s="3">
        <f t="shared" si="1258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259"/>
        <v>YES</v>
      </c>
      <c r="Q5549" t="str">
        <f t="shared" si="1260"/>
        <v>NO</v>
      </c>
      <c r="R5549" t="str">
        <f t="shared" si="1261"/>
        <v>YES</v>
      </c>
      <c r="T5549" t="s">
        <v>14</v>
      </c>
      <c r="U5549" t="str">
        <f t="shared" si="1248"/>
        <v>Massachusetts Ave</v>
      </c>
      <c r="V5549" t="s">
        <v>340</v>
      </c>
      <c r="W5549" t="str">
        <f t="shared" si="1249"/>
        <v>Davenport St</v>
      </c>
      <c r="X5549" t="str">
        <f>IF(ISBLANK(S5549),"Intersection","Non-Intersection")</f>
        <v>Intersection</v>
      </c>
      <c r="Y5549" t="s">
        <v>1394</v>
      </c>
      <c r="Z5549" t="str">
        <f t="shared" si="1250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251"/>
        <v>41275</v>
      </c>
      <c r="D5550" s="4">
        <f t="shared" si="1252"/>
        <v>0.63835616438356169</v>
      </c>
      <c r="E5550" s="3">
        <f t="shared" si="1253"/>
        <v>2013</v>
      </c>
      <c r="F5550" s="3">
        <f t="shared" si="1254"/>
        <v>8</v>
      </c>
      <c r="G5550" s="3">
        <f t="shared" si="1255"/>
        <v>22</v>
      </c>
      <c r="H5550" s="3">
        <f t="shared" si="1256"/>
        <v>14</v>
      </c>
      <c r="I5550" s="3">
        <f t="shared" si="1257"/>
        <v>4</v>
      </c>
      <c r="J5550" s="3">
        <f t="shared" si="1258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259"/>
        <v>YES</v>
      </c>
      <c r="Q5550" t="str">
        <f t="shared" si="1260"/>
        <v>NO</v>
      </c>
      <c r="R5550" t="str">
        <f t="shared" si="1261"/>
        <v>YES</v>
      </c>
      <c r="T5550" t="s">
        <v>326</v>
      </c>
      <c r="U5550" t="str">
        <f t="shared" si="1248"/>
        <v>Jfk St</v>
      </c>
      <c r="V5550" t="s">
        <v>199</v>
      </c>
      <c r="W5550" t="str">
        <f t="shared" si="1249"/>
        <v>Brattle St</v>
      </c>
      <c r="X5550" t="str">
        <f>IF(ISBLANK(S5550),"Intersection","Non-Intersection")</f>
        <v>Intersection</v>
      </c>
      <c r="Y5550" t="s">
        <v>681</v>
      </c>
      <c r="Z5550" t="str">
        <f t="shared" si="1250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251"/>
        <v>41275</v>
      </c>
      <c r="D5551" s="4">
        <f t="shared" si="1252"/>
        <v>0.63835616438356169</v>
      </c>
      <c r="E5551" s="3">
        <f t="shared" si="1253"/>
        <v>2013</v>
      </c>
      <c r="F5551" s="3">
        <f t="shared" si="1254"/>
        <v>8</v>
      </c>
      <c r="G5551" s="3">
        <f t="shared" si="1255"/>
        <v>22</v>
      </c>
      <c r="H5551" s="3">
        <f t="shared" si="1256"/>
        <v>12</v>
      </c>
      <c r="I5551" s="3">
        <f t="shared" si="1257"/>
        <v>40</v>
      </c>
      <c r="J5551" s="3">
        <f t="shared" si="1258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259"/>
        <v>YES</v>
      </c>
      <c r="Q5551" t="str">
        <f t="shared" si="1260"/>
        <v>YES</v>
      </c>
      <c r="R5551" t="str">
        <f t="shared" si="1261"/>
        <v>NO</v>
      </c>
      <c r="S5551">
        <v>1621</v>
      </c>
      <c r="T5551" t="s">
        <v>19</v>
      </c>
      <c r="U5551" t="str">
        <f t="shared" si="1248"/>
        <v>Cambridge St</v>
      </c>
      <c r="W5551" t="str">
        <f t="shared" si="1249"/>
        <v/>
      </c>
      <c r="X5551" t="str">
        <f>IF(ISBLANK(S5551),"Intersection","Non-Intersection")</f>
        <v>Non-Intersection</v>
      </c>
      <c r="Y5551" t="s">
        <v>2928</v>
      </c>
      <c r="Z5551" t="str">
        <f t="shared" si="1250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251"/>
        <v>41275</v>
      </c>
      <c r="D5552" s="4">
        <f t="shared" si="1252"/>
        <v>0.64109589041095894</v>
      </c>
      <c r="E5552" s="3">
        <f t="shared" si="1253"/>
        <v>2013</v>
      </c>
      <c r="F5552" s="3">
        <f t="shared" si="1254"/>
        <v>8</v>
      </c>
      <c r="G5552" s="3">
        <f t="shared" si="1255"/>
        <v>23</v>
      </c>
      <c r="H5552" s="3">
        <f t="shared" si="1256"/>
        <v>2</v>
      </c>
      <c r="I5552" s="3">
        <f t="shared" si="1257"/>
        <v>13</v>
      </c>
      <c r="J5552" s="3">
        <f t="shared" si="1258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259"/>
        <v>YES</v>
      </c>
      <c r="Q5552" t="str">
        <f t="shared" si="1260"/>
        <v>NO</v>
      </c>
      <c r="R5552" t="str">
        <f t="shared" si="1261"/>
        <v>NO</v>
      </c>
      <c r="S5552">
        <v>149</v>
      </c>
      <c r="T5552" t="s">
        <v>199</v>
      </c>
      <c r="U5552" t="str">
        <f t="shared" si="1248"/>
        <v>Brattle St</v>
      </c>
      <c r="W5552" t="str">
        <f t="shared" si="1249"/>
        <v/>
      </c>
      <c r="X5552" t="str">
        <f>IF(ISBLANK(S5552),"Intersection","Non-Intersection")</f>
        <v>Non-Intersection</v>
      </c>
      <c r="Y5552" t="s">
        <v>5938</v>
      </c>
      <c r="Z5552" t="str">
        <f t="shared" si="1250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251"/>
        <v>41275</v>
      </c>
      <c r="D5553" s="4">
        <f t="shared" si="1252"/>
        <v>0.64109589041095894</v>
      </c>
      <c r="E5553" s="3">
        <f t="shared" si="1253"/>
        <v>2013</v>
      </c>
      <c r="F5553" s="3">
        <f t="shared" si="1254"/>
        <v>8</v>
      </c>
      <c r="G5553" s="3">
        <f t="shared" si="1255"/>
        <v>23</v>
      </c>
      <c r="H5553" s="3">
        <f t="shared" si="1256"/>
        <v>10</v>
      </c>
      <c r="I5553" s="3">
        <f t="shared" si="1257"/>
        <v>5</v>
      </c>
      <c r="J5553" s="3">
        <f t="shared" si="1258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259"/>
        <v>YES</v>
      </c>
      <c r="Q5553" t="str">
        <f t="shared" si="1260"/>
        <v>YES</v>
      </c>
      <c r="R5553" t="str">
        <f t="shared" si="1261"/>
        <v>NO</v>
      </c>
      <c r="S5553">
        <v>32</v>
      </c>
      <c r="T5553" t="s">
        <v>134</v>
      </c>
      <c r="U5553" t="str">
        <f t="shared" si="1248"/>
        <v>Quincy St</v>
      </c>
      <c r="W5553" t="str">
        <f t="shared" si="1249"/>
        <v/>
      </c>
      <c r="X5553" t="str">
        <f>IF(ISBLANK(S5553),"Intersection","Non-Intersection")</f>
        <v>Non-Intersection</v>
      </c>
      <c r="Y5553" t="s">
        <v>4633</v>
      </c>
      <c r="Z5553" t="str">
        <f t="shared" si="1250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251"/>
        <v>41275</v>
      </c>
      <c r="D5554" s="4">
        <f t="shared" si="1252"/>
        <v>0.64109589041095894</v>
      </c>
      <c r="E5554" s="3">
        <f t="shared" si="1253"/>
        <v>2013</v>
      </c>
      <c r="F5554" s="3">
        <f t="shared" si="1254"/>
        <v>8</v>
      </c>
      <c r="G5554" s="3">
        <f t="shared" si="1255"/>
        <v>23</v>
      </c>
      <c r="H5554" s="3">
        <f t="shared" si="1256"/>
        <v>11</v>
      </c>
      <c r="I5554" s="3">
        <f t="shared" si="1257"/>
        <v>45</v>
      </c>
      <c r="J5554" s="3">
        <f t="shared" si="1258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259"/>
        <v>YES</v>
      </c>
      <c r="Q5554" t="str">
        <f t="shared" si="1260"/>
        <v>NO</v>
      </c>
      <c r="R5554" t="str">
        <f t="shared" si="1261"/>
        <v>NO</v>
      </c>
      <c r="T5554" t="s">
        <v>199</v>
      </c>
      <c r="U5554" t="str">
        <f t="shared" si="1248"/>
        <v>Brattle St</v>
      </c>
      <c r="V5554" t="s">
        <v>296</v>
      </c>
      <c r="W5554" t="str">
        <f t="shared" si="1249"/>
        <v>Mason St</v>
      </c>
      <c r="X5554" t="str">
        <f>IF(ISBLANK(S5554),"Intersection","Non-Intersection")</f>
        <v>Intersection</v>
      </c>
      <c r="Y5554" t="s">
        <v>2403</v>
      </c>
      <c r="Z5554" t="str">
        <f t="shared" si="1250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251"/>
        <v>41275</v>
      </c>
      <c r="D5555" s="4">
        <f t="shared" si="1252"/>
        <v>0.64109589041095894</v>
      </c>
      <c r="E5555" s="3">
        <f t="shared" si="1253"/>
        <v>2013</v>
      </c>
      <c r="F5555" s="3">
        <f t="shared" si="1254"/>
        <v>8</v>
      </c>
      <c r="G5555" s="3">
        <f t="shared" si="1255"/>
        <v>23</v>
      </c>
      <c r="H5555" s="3">
        <f t="shared" si="1256"/>
        <v>12</v>
      </c>
      <c r="I5555" s="3">
        <f t="shared" si="1257"/>
        <v>30</v>
      </c>
      <c r="J5555" s="3">
        <f t="shared" si="1258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259"/>
        <v>YES</v>
      </c>
      <c r="Q5555" t="str">
        <f t="shared" si="1260"/>
        <v>NO</v>
      </c>
      <c r="R5555" t="str">
        <f t="shared" si="1261"/>
        <v>NO</v>
      </c>
      <c r="T5555" t="s">
        <v>342</v>
      </c>
      <c r="U5555" t="str">
        <f t="shared" si="1248"/>
        <v>Prospect St</v>
      </c>
      <c r="V5555" t="s">
        <v>2546</v>
      </c>
      <c r="W5555" t="str">
        <f t="shared" si="1249"/>
        <v>St Paul St</v>
      </c>
      <c r="X5555" t="str">
        <f>IF(ISBLANK(S5555),"Intersection","Non-Intersection")</f>
        <v>Intersection</v>
      </c>
      <c r="Y5555" t="s">
        <v>2547</v>
      </c>
      <c r="Z5555" t="str">
        <f t="shared" si="1250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251"/>
        <v>41275</v>
      </c>
      <c r="D5556" s="4">
        <f t="shared" si="1252"/>
        <v>0.64109589041095894</v>
      </c>
      <c r="E5556" s="3">
        <f t="shared" si="1253"/>
        <v>2013</v>
      </c>
      <c r="F5556" s="3">
        <f t="shared" si="1254"/>
        <v>8</v>
      </c>
      <c r="G5556" s="3">
        <f t="shared" si="1255"/>
        <v>23</v>
      </c>
      <c r="H5556" s="3">
        <f t="shared" si="1256"/>
        <v>23</v>
      </c>
      <c r="I5556" s="3">
        <f t="shared" si="1257"/>
        <v>45</v>
      </c>
      <c r="J5556" s="3">
        <f t="shared" si="1258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259"/>
        <v>YES</v>
      </c>
      <c r="Q5556" t="str">
        <f t="shared" si="1260"/>
        <v>NO</v>
      </c>
      <c r="R5556" t="str">
        <f t="shared" si="1261"/>
        <v>NO</v>
      </c>
      <c r="S5556">
        <v>628</v>
      </c>
      <c r="T5556" t="s">
        <v>14</v>
      </c>
      <c r="U5556" t="str">
        <f t="shared" si="1248"/>
        <v>Massachusetts Ave</v>
      </c>
      <c r="V5556" t="s">
        <v>315</v>
      </c>
      <c r="W5556" t="str">
        <f t="shared" si="1249"/>
        <v>Essex St</v>
      </c>
      <c r="X5556" t="str">
        <f>IF(ISBLANK(S5556),"Intersection","Non-Intersection")</f>
        <v>Non-Intersection</v>
      </c>
      <c r="Y5556" t="s">
        <v>4410</v>
      </c>
      <c r="Z5556" t="str">
        <f t="shared" si="1250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251"/>
        <v>41275</v>
      </c>
      <c r="D5557" s="4">
        <f t="shared" si="1252"/>
        <v>0.64109589041095894</v>
      </c>
      <c r="E5557" s="3">
        <f t="shared" si="1253"/>
        <v>2013</v>
      </c>
      <c r="F5557" s="3">
        <f t="shared" si="1254"/>
        <v>8</v>
      </c>
      <c r="G5557" s="3">
        <f t="shared" si="1255"/>
        <v>23</v>
      </c>
      <c r="H5557" s="3">
        <f t="shared" si="1256"/>
        <v>20</v>
      </c>
      <c r="I5557" s="3">
        <f t="shared" si="1257"/>
        <v>29</v>
      </c>
      <c r="J5557" s="3">
        <f t="shared" si="1258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259"/>
        <v>YES</v>
      </c>
      <c r="Q5557" t="str">
        <f t="shared" si="1260"/>
        <v>YES</v>
      </c>
      <c r="R5557" t="str">
        <f t="shared" si="1261"/>
        <v>NO</v>
      </c>
      <c r="T5557" t="s">
        <v>14</v>
      </c>
      <c r="U5557" t="str">
        <f t="shared" si="1248"/>
        <v>Massachusetts Ave</v>
      </c>
      <c r="V5557" t="s">
        <v>1438</v>
      </c>
      <c r="W5557" t="str">
        <f t="shared" si="1249"/>
        <v>Dunster St</v>
      </c>
      <c r="X5557" t="str">
        <f>IF(ISBLANK(S5557),"Intersection","Non-Intersection")</f>
        <v>Intersection</v>
      </c>
      <c r="Y5557" t="s">
        <v>2030</v>
      </c>
      <c r="Z5557" t="str">
        <f t="shared" si="1250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251"/>
        <v>41275</v>
      </c>
      <c r="D5558" s="4">
        <f t="shared" si="1252"/>
        <v>0.64383561643835618</v>
      </c>
      <c r="E5558" s="3">
        <f t="shared" si="1253"/>
        <v>2013</v>
      </c>
      <c r="F5558" s="3">
        <f t="shared" si="1254"/>
        <v>8</v>
      </c>
      <c r="G5558" s="3">
        <f t="shared" si="1255"/>
        <v>24</v>
      </c>
      <c r="H5558" s="3">
        <f t="shared" si="1256"/>
        <v>20</v>
      </c>
      <c r="I5558" s="3">
        <f t="shared" si="1257"/>
        <v>10</v>
      </c>
      <c r="J5558" s="3">
        <f t="shared" si="1258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259"/>
        <v>YES</v>
      </c>
      <c r="Q5558" t="str">
        <f t="shared" si="1260"/>
        <v>NO</v>
      </c>
      <c r="R5558" t="str">
        <f t="shared" si="1261"/>
        <v>NO</v>
      </c>
      <c r="T5558" t="s">
        <v>19</v>
      </c>
      <c r="U5558" t="str">
        <f t="shared" si="1248"/>
        <v>Cambridge St</v>
      </c>
      <c r="V5558" t="s">
        <v>61</v>
      </c>
      <c r="W5558" t="str">
        <f t="shared" si="1249"/>
        <v>First St</v>
      </c>
      <c r="X5558" t="str">
        <f>IF(ISBLANK(S5558),"Intersection","Non-Intersection")</f>
        <v>Intersection</v>
      </c>
      <c r="Y5558" t="s">
        <v>494</v>
      </c>
      <c r="Z5558" t="str">
        <f t="shared" si="1250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251"/>
        <v>41275</v>
      </c>
      <c r="D5559" s="4">
        <f t="shared" si="1252"/>
        <v>0.64931506849315068</v>
      </c>
      <c r="E5559" s="3">
        <f t="shared" si="1253"/>
        <v>2013</v>
      </c>
      <c r="F5559" s="3">
        <f t="shared" si="1254"/>
        <v>8</v>
      </c>
      <c r="G5559" s="3">
        <f t="shared" si="1255"/>
        <v>26</v>
      </c>
      <c r="H5559" s="3">
        <f t="shared" si="1256"/>
        <v>14</v>
      </c>
      <c r="I5559" s="3">
        <f t="shared" si="1257"/>
        <v>55</v>
      </c>
      <c r="J5559" s="3">
        <f t="shared" si="1258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259"/>
        <v>YES</v>
      </c>
      <c r="Q5559" t="str">
        <f t="shared" si="1260"/>
        <v>NO</v>
      </c>
      <c r="R5559" t="str">
        <f t="shared" si="1261"/>
        <v>NO</v>
      </c>
      <c r="S5559">
        <v>45</v>
      </c>
      <c r="T5559" t="s">
        <v>41</v>
      </c>
      <c r="U5559" t="str">
        <f t="shared" si="1248"/>
        <v>River St</v>
      </c>
      <c r="W5559" t="str">
        <f t="shared" si="1249"/>
        <v/>
      </c>
      <c r="X5559" t="str">
        <f>IF(ISBLANK(S5559),"Intersection","Non-Intersection")</f>
        <v>Non-Intersection</v>
      </c>
      <c r="Y5559" t="s">
        <v>5940</v>
      </c>
      <c r="Z5559" t="str">
        <f t="shared" si="1250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251"/>
        <v>41275</v>
      </c>
      <c r="D5560" s="4">
        <f t="shared" si="1252"/>
        <v>0.64931506849315068</v>
      </c>
      <c r="E5560" s="3">
        <f t="shared" si="1253"/>
        <v>2013</v>
      </c>
      <c r="F5560" s="3">
        <f t="shared" si="1254"/>
        <v>8</v>
      </c>
      <c r="G5560" s="3">
        <f t="shared" si="1255"/>
        <v>26</v>
      </c>
      <c r="H5560" s="3">
        <f t="shared" si="1256"/>
        <v>16</v>
      </c>
      <c r="I5560" s="3">
        <f t="shared" si="1257"/>
        <v>15</v>
      </c>
      <c r="J5560" s="3">
        <f t="shared" si="1258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259"/>
        <v>YES</v>
      </c>
      <c r="Q5560" t="str">
        <f t="shared" si="1260"/>
        <v>NO</v>
      </c>
      <c r="R5560" t="str">
        <f t="shared" si="1261"/>
        <v>NO</v>
      </c>
      <c r="T5560" t="s">
        <v>61</v>
      </c>
      <c r="U5560" t="str">
        <f t="shared" si="1248"/>
        <v>First St</v>
      </c>
      <c r="V5560" t="s">
        <v>556</v>
      </c>
      <c r="W5560" t="str">
        <f t="shared" si="1249"/>
        <v>Bent St</v>
      </c>
      <c r="X5560" t="str">
        <f>IF(ISBLANK(S5560),"Intersection","Non-Intersection")</f>
        <v>Intersection</v>
      </c>
      <c r="Y5560" t="s">
        <v>5942</v>
      </c>
      <c r="Z5560" t="str">
        <f t="shared" si="1250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251"/>
        <v>41275</v>
      </c>
      <c r="D5561" s="4">
        <f t="shared" si="1252"/>
        <v>0.64931506849315068</v>
      </c>
      <c r="E5561" s="3">
        <f t="shared" si="1253"/>
        <v>2013</v>
      </c>
      <c r="F5561" s="3">
        <f t="shared" si="1254"/>
        <v>8</v>
      </c>
      <c r="G5561" s="3">
        <f t="shared" si="1255"/>
        <v>26</v>
      </c>
      <c r="H5561" s="3">
        <f t="shared" si="1256"/>
        <v>17</v>
      </c>
      <c r="I5561" s="3">
        <f t="shared" si="1257"/>
        <v>32</v>
      </c>
      <c r="J5561" s="3">
        <f t="shared" si="1258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259"/>
        <v>YES</v>
      </c>
      <c r="Q5561" t="str">
        <f t="shared" si="1260"/>
        <v>NO</v>
      </c>
      <c r="R5561" t="str">
        <f t="shared" si="1261"/>
        <v>NO</v>
      </c>
      <c r="T5561" t="s">
        <v>186</v>
      </c>
      <c r="U5561" t="str">
        <f t="shared" si="1248"/>
        <v>Concord Ave</v>
      </c>
      <c r="V5561" t="s">
        <v>1013</v>
      </c>
      <c r="W5561" t="str">
        <f t="shared" si="1249"/>
        <v>Blanchard Rd</v>
      </c>
      <c r="X5561" t="str">
        <f>IF(ISBLANK(S5561),"Intersection","Non-Intersection")</f>
        <v>Intersection</v>
      </c>
      <c r="Y5561" t="s">
        <v>1014</v>
      </c>
      <c r="Z5561" t="str">
        <f t="shared" si="1250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251"/>
        <v>41275</v>
      </c>
      <c r="D5562" s="4">
        <f t="shared" si="1252"/>
        <v>0.64931506849315068</v>
      </c>
      <c r="E5562" s="3">
        <f t="shared" si="1253"/>
        <v>2013</v>
      </c>
      <c r="F5562" s="3">
        <f t="shared" si="1254"/>
        <v>8</v>
      </c>
      <c r="G5562" s="3">
        <f t="shared" si="1255"/>
        <v>26</v>
      </c>
      <c r="H5562" s="3">
        <f t="shared" si="1256"/>
        <v>21</v>
      </c>
      <c r="I5562" s="3">
        <f t="shared" si="1257"/>
        <v>5</v>
      </c>
      <c r="J5562" s="3">
        <f t="shared" si="1258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259"/>
        <v>YES</v>
      </c>
      <c r="Q5562" t="str">
        <f t="shared" si="1260"/>
        <v>NO</v>
      </c>
      <c r="R5562" t="str">
        <f t="shared" si="1261"/>
        <v>YES</v>
      </c>
      <c r="T5562" t="s">
        <v>14</v>
      </c>
      <c r="U5562" t="str">
        <f t="shared" si="1248"/>
        <v>Massachusetts Ave</v>
      </c>
      <c r="V5562" t="s">
        <v>119</v>
      </c>
      <c r="W5562" t="str">
        <f t="shared" si="1249"/>
        <v>Albany St</v>
      </c>
      <c r="X5562" t="str">
        <f>IF(ISBLANK(S5562),"Intersection","Non-Intersection")</f>
        <v>Intersection</v>
      </c>
      <c r="Y5562" t="s">
        <v>247</v>
      </c>
      <c r="Z5562" t="str">
        <f t="shared" si="1250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251"/>
        <v>41275</v>
      </c>
      <c r="D5563" s="4">
        <f t="shared" si="1252"/>
        <v>0.64931506849315068</v>
      </c>
      <c r="E5563" s="3">
        <f t="shared" si="1253"/>
        <v>2013</v>
      </c>
      <c r="F5563" s="3">
        <f t="shared" si="1254"/>
        <v>8</v>
      </c>
      <c r="G5563" s="3">
        <f t="shared" si="1255"/>
        <v>26</v>
      </c>
      <c r="H5563" s="3">
        <f t="shared" si="1256"/>
        <v>8</v>
      </c>
      <c r="I5563" s="3">
        <f t="shared" si="1257"/>
        <v>19</v>
      </c>
      <c r="J5563" s="3">
        <f t="shared" si="1258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259"/>
        <v>YES</v>
      </c>
      <c r="Q5563" t="str">
        <f t="shared" si="1260"/>
        <v>NO</v>
      </c>
      <c r="R5563" t="str">
        <f t="shared" si="1261"/>
        <v>NO</v>
      </c>
      <c r="T5563" t="s">
        <v>41</v>
      </c>
      <c r="U5563" t="str">
        <f t="shared" si="1248"/>
        <v>River St</v>
      </c>
      <c r="V5563" t="s">
        <v>203</v>
      </c>
      <c r="W5563" t="str">
        <f t="shared" si="1249"/>
        <v>Memorial Dr</v>
      </c>
      <c r="X5563" t="str">
        <f>IF(ISBLANK(S5563),"Intersection","Non-Intersection")</f>
        <v>Intersection</v>
      </c>
      <c r="Y5563" t="s">
        <v>3110</v>
      </c>
      <c r="Z5563" t="str">
        <f t="shared" si="1250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251"/>
        <v>41275</v>
      </c>
      <c r="D5564" s="4">
        <f t="shared" si="1252"/>
        <v>0.65205479452054793</v>
      </c>
      <c r="E5564" s="3">
        <f t="shared" si="1253"/>
        <v>2013</v>
      </c>
      <c r="F5564" s="3">
        <f t="shared" si="1254"/>
        <v>8</v>
      </c>
      <c r="G5564" s="3">
        <f t="shared" si="1255"/>
        <v>27</v>
      </c>
      <c r="H5564" s="3">
        <f t="shared" si="1256"/>
        <v>7</v>
      </c>
      <c r="I5564" s="3">
        <f t="shared" si="1257"/>
        <v>40</v>
      </c>
      <c r="J5564" s="3">
        <f t="shared" si="1258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259"/>
        <v>YES</v>
      </c>
      <c r="Q5564" t="str">
        <f t="shared" si="1260"/>
        <v>NO</v>
      </c>
      <c r="R5564" t="str">
        <f t="shared" si="1261"/>
        <v>NO</v>
      </c>
      <c r="S5564">
        <v>23</v>
      </c>
      <c r="T5564" t="s">
        <v>4454</v>
      </c>
      <c r="U5564" t="str">
        <f t="shared" si="1248"/>
        <v>St Sauveur Ct</v>
      </c>
      <c r="W5564" t="str">
        <f t="shared" si="1249"/>
        <v/>
      </c>
      <c r="X5564" t="str">
        <f>IF(ISBLANK(S5564),"Intersection","Non-Intersection")</f>
        <v>Non-Intersection</v>
      </c>
      <c r="Y5564" t="s">
        <v>5943</v>
      </c>
      <c r="Z5564" t="str">
        <f t="shared" si="1250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251"/>
        <v>41275</v>
      </c>
      <c r="D5565" s="4">
        <f t="shared" si="1252"/>
        <v>0.65205479452054793</v>
      </c>
      <c r="E5565" s="3">
        <f t="shared" si="1253"/>
        <v>2013</v>
      </c>
      <c r="F5565" s="3">
        <f t="shared" si="1254"/>
        <v>8</v>
      </c>
      <c r="G5565" s="3">
        <f t="shared" si="1255"/>
        <v>27</v>
      </c>
      <c r="H5565" s="3">
        <f t="shared" si="1256"/>
        <v>12</v>
      </c>
      <c r="I5565" s="3">
        <f t="shared" si="1257"/>
        <v>30</v>
      </c>
      <c r="J5565" s="3">
        <f t="shared" si="1258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259"/>
        <v>YES</v>
      </c>
      <c r="Q5565" t="str">
        <f t="shared" si="1260"/>
        <v>NO</v>
      </c>
      <c r="R5565" t="str">
        <f t="shared" si="1261"/>
        <v>NO</v>
      </c>
      <c r="S5565">
        <v>197</v>
      </c>
      <c r="T5565" t="s">
        <v>202</v>
      </c>
      <c r="U5565" t="str">
        <f t="shared" si="1248"/>
        <v>Vassar St</v>
      </c>
      <c r="W5565" t="str">
        <f t="shared" si="1249"/>
        <v/>
      </c>
      <c r="X5565" t="str">
        <f>IF(ISBLANK(S5565),"Intersection","Non-Intersection")</f>
        <v>Non-Intersection</v>
      </c>
      <c r="Y5565" t="s">
        <v>5945</v>
      </c>
      <c r="Z5565" t="str">
        <f t="shared" si="1250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251"/>
        <v>41275</v>
      </c>
      <c r="D5566" s="4">
        <f t="shared" si="1252"/>
        <v>0.65205479452054793</v>
      </c>
      <c r="E5566" s="3">
        <f t="shared" si="1253"/>
        <v>2013</v>
      </c>
      <c r="F5566" s="3">
        <f t="shared" si="1254"/>
        <v>8</v>
      </c>
      <c r="G5566" s="3">
        <f t="shared" si="1255"/>
        <v>27</v>
      </c>
      <c r="H5566" s="3">
        <f t="shared" si="1256"/>
        <v>15</v>
      </c>
      <c r="I5566" s="3">
        <f t="shared" si="1257"/>
        <v>0</v>
      </c>
      <c r="J5566" s="3">
        <f t="shared" si="1258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259"/>
        <v>YES</v>
      </c>
      <c r="Q5566" t="str">
        <f t="shared" si="1260"/>
        <v>NO</v>
      </c>
      <c r="R5566" t="str">
        <f t="shared" si="1261"/>
        <v>NO</v>
      </c>
      <c r="T5566" t="s">
        <v>198</v>
      </c>
      <c r="U5566" t="str">
        <f t="shared" si="1248"/>
        <v>Mount Auburn St</v>
      </c>
      <c r="V5566" t="s">
        <v>229</v>
      </c>
      <c r="W5566" t="str">
        <f t="shared" si="1249"/>
        <v>Dewolfe St</v>
      </c>
      <c r="X5566" t="str">
        <f>IF(ISBLANK(S5566),"Intersection","Non-Intersection")</f>
        <v>Intersection</v>
      </c>
      <c r="Y5566" t="s">
        <v>1927</v>
      </c>
      <c r="Z5566" t="str">
        <f t="shared" si="1250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251"/>
        <v>41275</v>
      </c>
      <c r="D5567" s="4">
        <f t="shared" si="1252"/>
        <v>0.65205479452054793</v>
      </c>
      <c r="E5567" s="3">
        <f t="shared" si="1253"/>
        <v>2013</v>
      </c>
      <c r="F5567" s="3">
        <f t="shared" si="1254"/>
        <v>8</v>
      </c>
      <c r="G5567" s="3">
        <f t="shared" si="1255"/>
        <v>27</v>
      </c>
      <c r="H5567" s="3">
        <f t="shared" si="1256"/>
        <v>20</v>
      </c>
      <c r="I5567" s="3">
        <f t="shared" si="1257"/>
        <v>0</v>
      </c>
      <c r="J5567" s="3">
        <f t="shared" si="1258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259"/>
        <v>YES</v>
      </c>
      <c r="Q5567" t="str">
        <f t="shared" si="1260"/>
        <v>YES</v>
      </c>
      <c r="R5567" t="str">
        <f t="shared" si="1261"/>
        <v>NO</v>
      </c>
      <c r="S5567">
        <v>2150</v>
      </c>
      <c r="T5567" t="s">
        <v>14</v>
      </c>
      <c r="U5567" t="str">
        <f t="shared" si="1248"/>
        <v>Massachusetts Ave</v>
      </c>
      <c r="W5567" t="str">
        <f t="shared" si="1249"/>
        <v/>
      </c>
      <c r="X5567" t="str">
        <f>IF(ISBLANK(S5567),"Intersection","Non-Intersection")</f>
        <v>Non-Intersection</v>
      </c>
      <c r="Y5567" t="s">
        <v>4160</v>
      </c>
      <c r="Z5567" t="str">
        <f t="shared" si="1250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251"/>
        <v>41275</v>
      </c>
      <c r="D5568" s="4">
        <f t="shared" si="1252"/>
        <v>0.65479452054794518</v>
      </c>
      <c r="E5568" s="3">
        <f t="shared" si="1253"/>
        <v>2013</v>
      </c>
      <c r="F5568" s="3">
        <f t="shared" si="1254"/>
        <v>8</v>
      </c>
      <c r="G5568" s="3">
        <f t="shared" si="1255"/>
        <v>28</v>
      </c>
      <c r="H5568" s="3">
        <f t="shared" si="1256"/>
        <v>6</v>
      </c>
      <c r="I5568" s="3">
        <f t="shared" si="1257"/>
        <v>59</v>
      </c>
      <c r="J5568" s="3">
        <f t="shared" si="1258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259"/>
        <v>YES</v>
      </c>
      <c r="Q5568" t="str">
        <f t="shared" si="1260"/>
        <v>NO</v>
      </c>
      <c r="R5568" t="str">
        <f t="shared" si="1261"/>
        <v>NO</v>
      </c>
      <c r="S5568">
        <v>224</v>
      </c>
      <c r="T5568" t="s">
        <v>745</v>
      </c>
      <c r="U5568" t="str">
        <f t="shared" si="1248"/>
        <v>Norfolk St</v>
      </c>
      <c r="W5568" t="str">
        <f t="shared" si="1249"/>
        <v/>
      </c>
      <c r="X5568" t="str">
        <f>IF(ISBLANK(S5568),"Intersection","Non-Intersection")</f>
        <v>Non-Intersection</v>
      </c>
      <c r="Y5568" t="s">
        <v>5947</v>
      </c>
      <c r="Z5568" t="str">
        <f t="shared" si="1250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251"/>
        <v>41275</v>
      </c>
      <c r="D5569" s="4">
        <f t="shared" si="1252"/>
        <v>0.65479452054794518</v>
      </c>
      <c r="E5569" s="3">
        <f t="shared" si="1253"/>
        <v>2013</v>
      </c>
      <c r="F5569" s="3">
        <f t="shared" si="1254"/>
        <v>8</v>
      </c>
      <c r="G5569" s="3">
        <f t="shared" si="1255"/>
        <v>28</v>
      </c>
      <c r="H5569" s="3">
        <f t="shared" si="1256"/>
        <v>8</v>
      </c>
      <c r="I5569" s="3">
        <f t="shared" si="1257"/>
        <v>29</v>
      </c>
      <c r="J5569" s="3">
        <f t="shared" si="1258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259"/>
        <v>YES</v>
      </c>
      <c r="Q5569" t="str">
        <f t="shared" si="1260"/>
        <v>NO</v>
      </c>
      <c r="R5569" t="str">
        <f t="shared" si="1261"/>
        <v>NO</v>
      </c>
      <c r="S5569">
        <v>9</v>
      </c>
      <c r="T5569" t="s">
        <v>550</v>
      </c>
      <c r="U5569" t="str">
        <f t="shared" si="1248"/>
        <v>Upland Rd</v>
      </c>
      <c r="V5569" t="s">
        <v>14</v>
      </c>
      <c r="W5569" t="str">
        <f t="shared" si="1249"/>
        <v>Massachusetts Ave</v>
      </c>
      <c r="X5569" t="str">
        <f>IF(ISBLANK(S5569),"Intersection","Non-Intersection")</f>
        <v>Non-Intersection</v>
      </c>
      <c r="Y5569" t="s">
        <v>5949</v>
      </c>
      <c r="Z5569" t="str">
        <f t="shared" si="1250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251"/>
        <v>41275</v>
      </c>
      <c r="D5570" s="4">
        <f t="shared" si="1252"/>
        <v>0.65479452054794518</v>
      </c>
      <c r="E5570" s="3">
        <f t="shared" si="1253"/>
        <v>2013</v>
      </c>
      <c r="F5570" s="3">
        <f t="shared" si="1254"/>
        <v>8</v>
      </c>
      <c r="G5570" s="3">
        <f t="shared" si="1255"/>
        <v>28</v>
      </c>
      <c r="H5570" s="3">
        <f t="shared" si="1256"/>
        <v>15</v>
      </c>
      <c r="I5570" s="3">
        <f t="shared" si="1257"/>
        <v>30</v>
      </c>
      <c r="J5570" s="3">
        <f t="shared" si="1258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259"/>
        <v>YES</v>
      </c>
      <c r="Q5570" t="str">
        <f t="shared" si="1260"/>
        <v>NO</v>
      </c>
      <c r="R5570" t="str">
        <f t="shared" si="1261"/>
        <v>NO</v>
      </c>
      <c r="T5570" t="s">
        <v>342</v>
      </c>
      <c r="U5570" t="str">
        <f t="shared" si="1248"/>
        <v>Prospect St</v>
      </c>
      <c r="V5570" t="s">
        <v>133</v>
      </c>
      <c r="W5570" t="str">
        <f t="shared" si="1249"/>
        <v>Harvard St</v>
      </c>
      <c r="X5570" t="str">
        <f>IF(ISBLANK(S5570),"Intersection","Non-Intersection")</f>
        <v>Intersection</v>
      </c>
      <c r="Y5570" t="s">
        <v>884</v>
      </c>
      <c r="Z5570" t="str">
        <f t="shared" si="1250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251"/>
        <v>41275</v>
      </c>
      <c r="D5571" s="4">
        <f t="shared" si="1252"/>
        <v>0.65479452054794518</v>
      </c>
      <c r="E5571" s="3">
        <f t="shared" si="1253"/>
        <v>2013</v>
      </c>
      <c r="F5571" s="3">
        <f t="shared" si="1254"/>
        <v>8</v>
      </c>
      <c r="G5571" s="3">
        <f t="shared" si="1255"/>
        <v>28</v>
      </c>
      <c r="H5571" s="3">
        <f t="shared" si="1256"/>
        <v>14</v>
      </c>
      <c r="I5571" s="3">
        <f t="shared" si="1257"/>
        <v>0</v>
      </c>
      <c r="J5571" s="3">
        <f t="shared" si="1258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259"/>
        <v>YES</v>
      </c>
      <c r="Q5571" t="str">
        <f t="shared" si="1260"/>
        <v>YES</v>
      </c>
      <c r="R5571" t="str">
        <f t="shared" si="1261"/>
        <v>NO</v>
      </c>
      <c r="T5571" t="s">
        <v>365</v>
      </c>
      <c r="U5571" t="str">
        <f t="shared" ref="U5571:U5634" si="1262">TRIM(PROPER(T5571))</f>
        <v>Hurley St</v>
      </c>
      <c r="V5571" t="s">
        <v>260</v>
      </c>
      <c r="W5571" t="str">
        <f t="shared" ref="W5571:W5634" si="1263">TRIM(PROPER(V5571))</f>
        <v>Third St</v>
      </c>
      <c r="X5571" t="str">
        <f>IF(ISBLANK(S5571),"Intersection","Non-Intersection")</f>
        <v>Intersection</v>
      </c>
      <c r="Y5571" t="s">
        <v>5951</v>
      </c>
      <c r="Z5571" t="str">
        <f t="shared" ref="Z5571:Z5634" si="1264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251"/>
        <v>41275</v>
      </c>
      <c r="D5572" s="4">
        <f t="shared" si="1252"/>
        <v>0.65753424657534243</v>
      </c>
      <c r="E5572" s="3">
        <f t="shared" si="1253"/>
        <v>2013</v>
      </c>
      <c r="F5572" s="3">
        <f t="shared" si="1254"/>
        <v>8</v>
      </c>
      <c r="G5572" s="3">
        <f t="shared" si="1255"/>
        <v>29</v>
      </c>
      <c r="H5572" s="3">
        <f t="shared" si="1256"/>
        <v>9</v>
      </c>
      <c r="I5572" s="3">
        <f t="shared" si="1257"/>
        <v>0</v>
      </c>
      <c r="J5572" s="3">
        <f t="shared" si="1258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259"/>
        <v>YES</v>
      </c>
      <c r="Q5572" t="str">
        <f t="shared" si="1260"/>
        <v>NO</v>
      </c>
      <c r="R5572" t="str">
        <f t="shared" si="1261"/>
        <v>NO</v>
      </c>
      <c r="T5572" t="s">
        <v>1701</v>
      </c>
      <c r="U5572" t="str">
        <f t="shared" si="1262"/>
        <v>Prentiss St</v>
      </c>
      <c r="V5572" t="s">
        <v>902</v>
      </c>
      <c r="W5572" t="str">
        <f t="shared" si="1263"/>
        <v>Frost St</v>
      </c>
      <c r="X5572" t="str">
        <f>IF(ISBLANK(S5572),"Intersection","Non-Intersection")</f>
        <v>Intersection</v>
      </c>
      <c r="Y5572" t="s">
        <v>5952</v>
      </c>
      <c r="Z5572" t="str">
        <f t="shared" si="1264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251"/>
        <v>41275</v>
      </c>
      <c r="D5573" s="4">
        <f t="shared" si="1252"/>
        <v>0.65753424657534243</v>
      </c>
      <c r="E5573" s="3">
        <f t="shared" si="1253"/>
        <v>2013</v>
      </c>
      <c r="F5573" s="3">
        <f t="shared" si="1254"/>
        <v>8</v>
      </c>
      <c r="G5573" s="3">
        <f t="shared" si="1255"/>
        <v>29</v>
      </c>
      <c r="H5573" s="3">
        <f t="shared" si="1256"/>
        <v>14</v>
      </c>
      <c r="I5573" s="3">
        <f t="shared" si="1257"/>
        <v>55</v>
      </c>
      <c r="J5573" s="3">
        <f t="shared" si="1258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259"/>
        <v>NO</v>
      </c>
      <c r="Q5573" t="str">
        <f t="shared" si="1260"/>
        <v>NO</v>
      </c>
      <c r="R5573" t="str">
        <f t="shared" si="1261"/>
        <v>NO</v>
      </c>
      <c r="S5573">
        <v>619</v>
      </c>
      <c r="T5573" t="s">
        <v>14</v>
      </c>
      <c r="U5573" t="str">
        <f t="shared" si="1262"/>
        <v>Massachusetts Ave</v>
      </c>
      <c r="W5573" t="str">
        <f t="shared" si="1263"/>
        <v/>
      </c>
      <c r="X5573" t="str">
        <f>IF(ISBLANK(S5573),"Intersection","Non-Intersection")</f>
        <v>Non-Intersection</v>
      </c>
      <c r="Y5573" t="s">
        <v>5954</v>
      </c>
      <c r="Z5573" t="str">
        <f t="shared" si="1264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251"/>
        <v>41275</v>
      </c>
      <c r="D5574" s="4">
        <f t="shared" si="1252"/>
        <v>0.65753424657534243</v>
      </c>
      <c r="E5574" s="3">
        <f t="shared" si="1253"/>
        <v>2013</v>
      </c>
      <c r="F5574" s="3">
        <f t="shared" si="1254"/>
        <v>8</v>
      </c>
      <c r="G5574" s="3">
        <f t="shared" si="1255"/>
        <v>29</v>
      </c>
      <c r="H5574" s="3">
        <f t="shared" si="1256"/>
        <v>19</v>
      </c>
      <c r="I5574" s="3">
        <f t="shared" si="1257"/>
        <v>40</v>
      </c>
      <c r="J5574" s="3">
        <f t="shared" si="1258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259"/>
        <v>YES</v>
      </c>
      <c r="Q5574" t="str">
        <f t="shared" si="1260"/>
        <v>NO</v>
      </c>
      <c r="R5574" t="str">
        <f t="shared" si="1261"/>
        <v>NO</v>
      </c>
      <c r="S5574">
        <v>266</v>
      </c>
      <c r="T5574" t="s">
        <v>14</v>
      </c>
      <c r="U5574" t="str">
        <f t="shared" si="1262"/>
        <v>Massachusetts Ave</v>
      </c>
      <c r="W5574" t="str">
        <f t="shared" si="1263"/>
        <v/>
      </c>
      <c r="X5574" t="str">
        <f>IF(ISBLANK(S5574),"Intersection","Non-Intersection")</f>
        <v>Non-Intersection</v>
      </c>
      <c r="Y5574" t="s">
        <v>2853</v>
      </c>
      <c r="Z5574" t="str">
        <f t="shared" si="1264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251"/>
        <v>41275</v>
      </c>
      <c r="D5575" s="4">
        <f t="shared" si="1252"/>
        <v>0.66027397260273968</v>
      </c>
      <c r="E5575" s="3">
        <f t="shared" si="1253"/>
        <v>2013</v>
      </c>
      <c r="F5575" s="3">
        <f t="shared" si="1254"/>
        <v>8</v>
      </c>
      <c r="G5575" s="3">
        <f t="shared" si="1255"/>
        <v>30</v>
      </c>
      <c r="H5575" s="3">
        <f t="shared" si="1256"/>
        <v>15</v>
      </c>
      <c r="I5575" s="3">
        <f t="shared" si="1257"/>
        <v>0</v>
      </c>
      <c r="J5575" s="3">
        <f t="shared" si="1258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259"/>
        <v>YES</v>
      </c>
      <c r="Q5575" t="str">
        <f t="shared" si="1260"/>
        <v>NO</v>
      </c>
      <c r="R5575" t="str">
        <f t="shared" si="1261"/>
        <v>NO</v>
      </c>
      <c r="S5575">
        <v>440</v>
      </c>
      <c r="T5575" t="s">
        <v>14</v>
      </c>
      <c r="U5575" t="str">
        <f t="shared" si="1262"/>
        <v>Massachusetts Ave</v>
      </c>
      <c r="W5575" t="str">
        <f t="shared" si="1263"/>
        <v/>
      </c>
      <c r="X5575" t="str">
        <f>IF(ISBLANK(S5575),"Intersection","Non-Intersection")</f>
        <v>Non-Intersection</v>
      </c>
      <c r="Y5575" t="s">
        <v>3130</v>
      </c>
      <c r="Z5575" t="str">
        <f t="shared" si="1264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251"/>
        <v>41275</v>
      </c>
      <c r="D5576" s="4">
        <f t="shared" si="1252"/>
        <v>0.66027397260273968</v>
      </c>
      <c r="E5576" s="3">
        <f t="shared" si="1253"/>
        <v>2013</v>
      </c>
      <c r="F5576" s="3">
        <f t="shared" si="1254"/>
        <v>8</v>
      </c>
      <c r="G5576" s="3">
        <f t="shared" si="1255"/>
        <v>30</v>
      </c>
      <c r="H5576" s="3">
        <f t="shared" si="1256"/>
        <v>15</v>
      </c>
      <c r="I5576" s="3">
        <f t="shared" si="1257"/>
        <v>59</v>
      </c>
      <c r="J5576" s="3">
        <f t="shared" si="1258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259"/>
        <v>NO</v>
      </c>
      <c r="Q5576" t="str">
        <f t="shared" si="1260"/>
        <v>YES</v>
      </c>
      <c r="R5576" t="str">
        <f t="shared" si="1261"/>
        <v>NO</v>
      </c>
      <c r="S5576">
        <v>1783</v>
      </c>
      <c r="T5576" t="s">
        <v>14</v>
      </c>
      <c r="U5576" t="str">
        <f t="shared" si="1262"/>
        <v>Massachusetts Ave</v>
      </c>
      <c r="W5576" t="str">
        <f t="shared" si="1263"/>
        <v/>
      </c>
      <c r="X5576" t="str">
        <f>IF(ISBLANK(S5576),"Intersection","Non-Intersection")</f>
        <v>Non-Intersection</v>
      </c>
      <c r="Y5576" t="s">
        <v>2228</v>
      </c>
      <c r="Z5576" t="str">
        <f t="shared" si="1264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251"/>
        <v>41275</v>
      </c>
      <c r="D5577" s="4">
        <f t="shared" si="1252"/>
        <v>0.66027397260273968</v>
      </c>
      <c r="E5577" s="3">
        <f t="shared" si="1253"/>
        <v>2013</v>
      </c>
      <c r="F5577" s="3">
        <f t="shared" si="1254"/>
        <v>8</v>
      </c>
      <c r="G5577" s="3">
        <f t="shared" si="1255"/>
        <v>30</v>
      </c>
      <c r="H5577" s="3">
        <f t="shared" si="1256"/>
        <v>15</v>
      </c>
      <c r="I5577" s="3">
        <f t="shared" si="1257"/>
        <v>14</v>
      </c>
      <c r="J5577" s="3">
        <f t="shared" si="1258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259"/>
        <v>YES</v>
      </c>
      <c r="Q5577" t="str">
        <f t="shared" si="1260"/>
        <v>NO</v>
      </c>
      <c r="R5577" t="str">
        <f t="shared" si="1261"/>
        <v>NO</v>
      </c>
      <c r="T5577" t="s">
        <v>1502</v>
      </c>
      <c r="U5577" t="str">
        <f t="shared" si="1262"/>
        <v>Gore St</v>
      </c>
      <c r="V5577" t="s">
        <v>3385</v>
      </c>
      <c r="W5577" t="str">
        <f t="shared" si="1263"/>
        <v>Seventh St</v>
      </c>
      <c r="X5577" t="str">
        <f>IF(ISBLANK(S5577),"Intersection","Non-Intersection")</f>
        <v>Intersection</v>
      </c>
      <c r="Y5577" t="s">
        <v>4408</v>
      </c>
      <c r="Z5577" t="str">
        <f t="shared" si="1264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251"/>
        <v>41275</v>
      </c>
      <c r="D5578" s="4">
        <f t="shared" si="1252"/>
        <v>0.66027397260273968</v>
      </c>
      <c r="E5578" s="3">
        <f t="shared" si="1253"/>
        <v>2013</v>
      </c>
      <c r="F5578" s="3">
        <f t="shared" si="1254"/>
        <v>8</v>
      </c>
      <c r="G5578" s="3">
        <f t="shared" si="1255"/>
        <v>30</v>
      </c>
      <c r="H5578" s="3">
        <f t="shared" si="1256"/>
        <v>15</v>
      </c>
      <c r="I5578" s="3">
        <f t="shared" si="1257"/>
        <v>10</v>
      </c>
      <c r="J5578" s="3">
        <f t="shared" si="1258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259"/>
        <v>YES</v>
      </c>
      <c r="Q5578" t="str">
        <f t="shared" si="1260"/>
        <v>NO</v>
      </c>
      <c r="R5578" t="str">
        <f t="shared" si="1261"/>
        <v>NO</v>
      </c>
      <c r="S5578">
        <v>45</v>
      </c>
      <c r="T5578" t="s">
        <v>1016</v>
      </c>
      <c r="U5578" t="str">
        <f t="shared" si="1262"/>
        <v>Maple Ave</v>
      </c>
      <c r="W5578" t="str">
        <f t="shared" si="1263"/>
        <v/>
      </c>
      <c r="X5578" t="str">
        <f>IF(ISBLANK(S5578),"Intersection","Non-Intersection")</f>
        <v>Non-Intersection</v>
      </c>
      <c r="Y5578" t="s">
        <v>5956</v>
      </c>
      <c r="Z5578" t="str">
        <f t="shared" si="1264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251"/>
        <v>41275</v>
      </c>
      <c r="D5579" s="4">
        <f t="shared" si="1252"/>
        <v>0.66027397260273968</v>
      </c>
      <c r="E5579" s="3">
        <f t="shared" si="1253"/>
        <v>2013</v>
      </c>
      <c r="F5579" s="3">
        <f t="shared" si="1254"/>
        <v>8</v>
      </c>
      <c r="G5579" s="3">
        <f t="shared" si="1255"/>
        <v>30</v>
      </c>
      <c r="H5579" s="3">
        <f t="shared" si="1256"/>
        <v>14</v>
      </c>
      <c r="I5579" s="3">
        <f t="shared" si="1257"/>
        <v>15</v>
      </c>
      <c r="J5579" s="3">
        <f t="shared" si="1258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259"/>
        <v>YES</v>
      </c>
      <c r="Q5579" t="str">
        <f t="shared" si="1260"/>
        <v>NO</v>
      </c>
      <c r="R5579" t="str">
        <f t="shared" si="1261"/>
        <v>NO</v>
      </c>
      <c r="S5579">
        <v>72</v>
      </c>
      <c r="T5579" t="s">
        <v>167</v>
      </c>
      <c r="U5579" t="str">
        <f t="shared" si="1262"/>
        <v>Wendell St</v>
      </c>
      <c r="W5579" t="str">
        <f t="shared" si="1263"/>
        <v/>
      </c>
      <c r="X5579" t="str">
        <f>IF(ISBLANK(S5579),"Intersection","Non-Intersection")</f>
        <v>Non-Intersection</v>
      </c>
      <c r="Y5579" t="s">
        <v>5958</v>
      </c>
      <c r="Z5579" t="str">
        <f t="shared" si="1264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251"/>
        <v>41275</v>
      </c>
      <c r="D5580" s="4">
        <f t="shared" si="1252"/>
        <v>0.66301369863013704</v>
      </c>
      <c r="E5580" s="3">
        <f t="shared" si="1253"/>
        <v>2013</v>
      </c>
      <c r="F5580" s="3">
        <f t="shared" si="1254"/>
        <v>8</v>
      </c>
      <c r="G5580" s="3">
        <f t="shared" si="1255"/>
        <v>31</v>
      </c>
      <c r="H5580" s="3">
        <f t="shared" si="1256"/>
        <v>11</v>
      </c>
      <c r="I5580" s="3">
        <f t="shared" si="1257"/>
        <v>0</v>
      </c>
      <c r="J5580" s="3">
        <f t="shared" si="1258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259"/>
        <v>YES</v>
      </c>
      <c r="Q5580" t="str">
        <f t="shared" si="1260"/>
        <v>NO</v>
      </c>
      <c r="R5580" t="str">
        <f t="shared" si="1261"/>
        <v>NO</v>
      </c>
      <c r="T5580" t="s">
        <v>1469</v>
      </c>
      <c r="U5580" t="str">
        <f t="shared" si="1262"/>
        <v>Fresh Pond Ln</v>
      </c>
      <c r="W5580" t="str">
        <f t="shared" si="1263"/>
        <v/>
      </c>
      <c r="X5580" t="str">
        <f>IF(ISBLANK(S5580),"Intersection","Non-Intersection")</f>
        <v>Intersection</v>
      </c>
      <c r="Y5580" t="s">
        <v>4081</v>
      </c>
      <c r="Z5580" t="str">
        <f t="shared" si="1264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251"/>
        <v>41275</v>
      </c>
      <c r="D5581" s="4">
        <f t="shared" si="1252"/>
        <v>0.66301369863013704</v>
      </c>
      <c r="E5581" s="3">
        <f t="shared" si="1253"/>
        <v>2013</v>
      </c>
      <c r="F5581" s="3">
        <f t="shared" si="1254"/>
        <v>8</v>
      </c>
      <c r="G5581" s="3">
        <f t="shared" si="1255"/>
        <v>31</v>
      </c>
      <c r="H5581" s="3">
        <f t="shared" si="1256"/>
        <v>14</v>
      </c>
      <c r="I5581" s="3">
        <f t="shared" si="1257"/>
        <v>0</v>
      </c>
      <c r="J5581" s="3">
        <f t="shared" si="1258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259"/>
        <v>YES</v>
      </c>
      <c r="Q5581" t="str">
        <f t="shared" si="1260"/>
        <v>NO</v>
      </c>
      <c r="R5581" t="str">
        <f t="shared" si="1261"/>
        <v>NO</v>
      </c>
      <c r="S5581">
        <v>49</v>
      </c>
      <c r="T5581" t="s">
        <v>268</v>
      </c>
      <c r="U5581" t="str">
        <f t="shared" si="1262"/>
        <v>White St</v>
      </c>
      <c r="W5581" t="str">
        <f t="shared" si="1263"/>
        <v/>
      </c>
      <c r="X5581" t="str">
        <f>IF(ISBLANK(S5581),"Intersection","Non-Intersection")</f>
        <v>Non-Intersection</v>
      </c>
      <c r="Y5581" t="s">
        <v>270</v>
      </c>
      <c r="Z5581" t="str">
        <f t="shared" si="1264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251"/>
        <v>41275</v>
      </c>
      <c r="D5582" s="4">
        <f t="shared" si="1252"/>
        <v>0.66301369863013704</v>
      </c>
      <c r="E5582" s="3">
        <f t="shared" si="1253"/>
        <v>2013</v>
      </c>
      <c r="F5582" s="3">
        <f t="shared" si="1254"/>
        <v>8</v>
      </c>
      <c r="G5582" s="3">
        <f t="shared" si="1255"/>
        <v>31</v>
      </c>
      <c r="H5582" s="3">
        <f t="shared" si="1256"/>
        <v>3</v>
      </c>
      <c r="I5582" s="3">
        <f t="shared" si="1257"/>
        <v>0</v>
      </c>
      <c r="J5582" s="3">
        <f t="shared" si="1258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259"/>
        <v>YES</v>
      </c>
      <c r="Q5582" t="str">
        <f t="shared" si="1260"/>
        <v>NO</v>
      </c>
      <c r="R5582" t="str">
        <f t="shared" si="1261"/>
        <v>NO</v>
      </c>
      <c r="S5582">
        <v>5</v>
      </c>
      <c r="T5582" t="s">
        <v>253</v>
      </c>
      <c r="U5582" t="str">
        <f t="shared" si="1262"/>
        <v>Wood St</v>
      </c>
      <c r="W5582" t="str">
        <f t="shared" si="1263"/>
        <v/>
      </c>
      <c r="X5582" t="str">
        <f>IF(ISBLANK(S5582),"Intersection","Non-Intersection")</f>
        <v>Non-Intersection</v>
      </c>
      <c r="Y5582" t="s">
        <v>5960</v>
      </c>
      <c r="Z5582" t="str">
        <f t="shared" si="1264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251"/>
        <v>41275</v>
      </c>
      <c r="D5583" s="4">
        <f t="shared" si="1252"/>
        <v>0.66575342465753429</v>
      </c>
      <c r="E5583" s="3">
        <f t="shared" si="1253"/>
        <v>2013</v>
      </c>
      <c r="F5583" s="3">
        <f t="shared" si="1254"/>
        <v>9</v>
      </c>
      <c r="G5583" s="3">
        <f t="shared" si="1255"/>
        <v>1</v>
      </c>
      <c r="H5583" s="3">
        <f t="shared" si="1256"/>
        <v>12</v>
      </c>
      <c r="I5583" s="3">
        <f t="shared" si="1257"/>
        <v>40</v>
      </c>
      <c r="J5583" s="3">
        <f t="shared" si="1258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259"/>
        <v>YES</v>
      </c>
      <c r="Q5583" t="str">
        <f t="shared" si="1260"/>
        <v>NO</v>
      </c>
      <c r="R5583" t="str">
        <f t="shared" si="1261"/>
        <v>NO</v>
      </c>
      <c r="T5583" t="s">
        <v>14</v>
      </c>
      <c r="U5583" t="str">
        <f t="shared" si="1262"/>
        <v>Massachusetts Ave</v>
      </c>
      <c r="V5583" t="s">
        <v>487</v>
      </c>
      <c r="W5583" t="str">
        <f t="shared" si="1263"/>
        <v>Beech St</v>
      </c>
      <c r="X5583" t="str">
        <f>IF(ISBLANK(S5583),"Intersection","Non-Intersection")</f>
        <v>Intersection</v>
      </c>
      <c r="Y5583" t="s">
        <v>787</v>
      </c>
      <c r="Z5583" t="str">
        <f t="shared" si="1264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251"/>
        <v>41275</v>
      </c>
      <c r="D5584" s="4">
        <f t="shared" si="1252"/>
        <v>0.66575342465753429</v>
      </c>
      <c r="E5584" s="3">
        <f t="shared" si="1253"/>
        <v>2013</v>
      </c>
      <c r="F5584" s="3">
        <f t="shared" si="1254"/>
        <v>9</v>
      </c>
      <c r="G5584" s="3">
        <f t="shared" si="1255"/>
        <v>1</v>
      </c>
      <c r="H5584" s="3">
        <f t="shared" si="1256"/>
        <v>0</v>
      </c>
      <c r="I5584" s="3">
        <f t="shared" si="1257"/>
        <v>21</v>
      </c>
      <c r="J5584" s="3">
        <f t="shared" si="1258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259"/>
        <v>YES</v>
      </c>
      <c r="Q5584" t="str">
        <f t="shared" si="1260"/>
        <v>NO</v>
      </c>
      <c r="R5584" t="str">
        <f t="shared" si="1261"/>
        <v>NO</v>
      </c>
      <c r="S5584">
        <v>26</v>
      </c>
      <c r="T5584" t="s">
        <v>124</v>
      </c>
      <c r="U5584" t="str">
        <f t="shared" si="1262"/>
        <v>York St</v>
      </c>
      <c r="V5584" t="s">
        <v>1934</v>
      </c>
      <c r="W5584" t="str">
        <f t="shared" si="1263"/>
        <v>Hamlin St</v>
      </c>
      <c r="X5584" t="str">
        <f>IF(ISBLANK(S5584),"Intersection","Non-Intersection")</f>
        <v>Non-Intersection</v>
      </c>
      <c r="Y5584" t="s">
        <v>2518</v>
      </c>
      <c r="Z5584" t="str">
        <f t="shared" si="1264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251"/>
        <v>41275</v>
      </c>
      <c r="D5585" s="4">
        <f t="shared" si="1252"/>
        <v>0.66849315068493154</v>
      </c>
      <c r="E5585" s="3">
        <f t="shared" si="1253"/>
        <v>2013</v>
      </c>
      <c r="F5585" s="3">
        <f t="shared" si="1254"/>
        <v>9</v>
      </c>
      <c r="G5585" s="3">
        <f t="shared" si="1255"/>
        <v>2</v>
      </c>
      <c r="H5585" s="3">
        <f t="shared" si="1256"/>
        <v>16</v>
      </c>
      <c r="I5585" s="3">
        <f t="shared" si="1257"/>
        <v>31</v>
      </c>
      <c r="J5585" s="3">
        <f t="shared" si="1258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259"/>
        <v>YES</v>
      </c>
      <c r="Q5585" t="str">
        <f t="shared" si="1260"/>
        <v>NO</v>
      </c>
      <c r="R5585" t="str">
        <f t="shared" si="1261"/>
        <v>NO</v>
      </c>
      <c r="S5585" t="s">
        <v>3082</v>
      </c>
      <c r="T5585" t="s">
        <v>985</v>
      </c>
      <c r="U5585" t="str">
        <f t="shared" si="1262"/>
        <v>Plymouth St</v>
      </c>
      <c r="V5585" t="s">
        <v>5962</v>
      </c>
      <c r="W5585" t="str">
        <f t="shared" si="1263"/>
        <v>Berkshire Pl</v>
      </c>
      <c r="X5585" t="str">
        <f>IF(ISBLANK(S5585),"Intersection","Non-Intersection")</f>
        <v>Non-Intersection</v>
      </c>
      <c r="Y5585" t="s">
        <v>5963</v>
      </c>
      <c r="Z5585" t="str">
        <f t="shared" si="1264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251"/>
        <v>41275</v>
      </c>
      <c r="D5586" s="4">
        <f t="shared" si="1252"/>
        <v>0.67123287671232879</v>
      </c>
      <c r="E5586" s="3">
        <f t="shared" si="1253"/>
        <v>2013</v>
      </c>
      <c r="F5586" s="3">
        <f t="shared" si="1254"/>
        <v>9</v>
      </c>
      <c r="G5586" s="3">
        <f t="shared" si="1255"/>
        <v>3</v>
      </c>
      <c r="H5586" s="3">
        <f t="shared" si="1256"/>
        <v>8</v>
      </c>
      <c r="I5586" s="3">
        <f t="shared" si="1257"/>
        <v>10</v>
      </c>
      <c r="J5586" s="3">
        <f t="shared" si="1258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259"/>
        <v>YES</v>
      </c>
      <c r="Q5586" t="str">
        <f t="shared" si="1260"/>
        <v>NO</v>
      </c>
      <c r="R5586" t="str">
        <f t="shared" si="1261"/>
        <v>NO</v>
      </c>
      <c r="T5586" t="s">
        <v>288</v>
      </c>
      <c r="U5586" t="str">
        <f t="shared" si="1262"/>
        <v>Galileo Galilei Way</v>
      </c>
      <c r="V5586" t="s">
        <v>105</v>
      </c>
      <c r="W5586" t="str">
        <f t="shared" si="1263"/>
        <v>Broadway</v>
      </c>
      <c r="X5586" t="str">
        <f>IF(ISBLANK(S5586),"Intersection","Non-Intersection")</f>
        <v>Intersection</v>
      </c>
      <c r="Y5586" t="s">
        <v>307</v>
      </c>
      <c r="Z5586" t="str">
        <f t="shared" si="1264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251"/>
        <v>41275</v>
      </c>
      <c r="D5587" s="4">
        <f t="shared" si="1252"/>
        <v>0.67123287671232879</v>
      </c>
      <c r="E5587" s="3">
        <f t="shared" si="1253"/>
        <v>2013</v>
      </c>
      <c r="F5587" s="3">
        <f t="shared" si="1254"/>
        <v>9</v>
      </c>
      <c r="G5587" s="3">
        <f t="shared" si="1255"/>
        <v>3</v>
      </c>
      <c r="H5587" s="3">
        <f t="shared" si="1256"/>
        <v>12</v>
      </c>
      <c r="I5587" s="3">
        <f t="shared" si="1257"/>
        <v>53</v>
      </c>
      <c r="J5587" s="3">
        <f t="shared" si="1258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259"/>
        <v>YES</v>
      </c>
      <c r="Q5587" t="str">
        <f t="shared" si="1260"/>
        <v>NO</v>
      </c>
      <c r="R5587" t="str">
        <f t="shared" si="1261"/>
        <v>NO</v>
      </c>
      <c r="T5587" t="s">
        <v>453</v>
      </c>
      <c r="U5587" t="str">
        <f t="shared" si="1262"/>
        <v>Brookline St</v>
      </c>
      <c r="V5587" t="s">
        <v>108</v>
      </c>
      <c r="W5587" t="str">
        <f t="shared" si="1263"/>
        <v>Franklin St</v>
      </c>
      <c r="X5587" t="str">
        <f>IF(ISBLANK(S5587),"Intersection","Non-Intersection")</f>
        <v>Intersection</v>
      </c>
      <c r="Y5587" t="s">
        <v>3184</v>
      </c>
      <c r="Z5587" t="str">
        <f t="shared" si="1264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251"/>
        <v>41275</v>
      </c>
      <c r="D5588" s="4">
        <f t="shared" si="1252"/>
        <v>0.67123287671232879</v>
      </c>
      <c r="E5588" s="3">
        <f t="shared" si="1253"/>
        <v>2013</v>
      </c>
      <c r="F5588" s="3">
        <f t="shared" si="1254"/>
        <v>9</v>
      </c>
      <c r="G5588" s="3">
        <f t="shared" si="1255"/>
        <v>3</v>
      </c>
      <c r="H5588" s="3">
        <f t="shared" si="1256"/>
        <v>8</v>
      </c>
      <c r="I5588" s="3">
        <f t="shared" si="1257"/>
        <v>39</v>
      </c>
      <c r="J5588" s="3">
        <f t="shared" si="1258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259"/>
        <v>YES</v>
      </c>
      <c r="Q5588" t="str">
        <f t="shared" si="1260"/>
        <v>NO</v>
      </c>
      <c r="R5588" t="str">
        <f t="shared" si="1261"/>
        <v>NO</v>
      </c>
      <c r="S5588">
        <v>203</v>
      </c>
      <c r="T5588" t="s">
        <v>199</v>
      </c>
      <c r="U5588" t="str">
        <f t="shared" si="1262"/>
        <v>Brattle St</v>
      </c>
      <c r="V5588" t="s">
        <v>980</v>
      </c>
      <c r="W5588" t="str">
        <f t="shared" si="1263"/>
        <v>Lexington Ave</v>
      </c>
      <c r="X5588" t="str">
        <f>IF(ISBLANK(S5588),"Intersection","Non-Intersection")</f>
        <v>Non-Intersection</v>
      </c>
      <c r="Y5588" t="s">
        <v>5965</v>
      </c>
      <c r="Z5588" t="str">
        <f t="shared" si="1264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265">EOMONTH(B5589,MONTH(B5589)*-1)+1</f>
        <v>41275</v>
      </c>
      <c r="D5589" s="4">
        <f t="shared" ref="D5589:D5652" si="1266">YEARFRAC(C5589,B5589,1)</f>
        <v>0.67123287671232879</v>
      </c>
      <c r="E5589" s="3">
        <f t="shared" ref="E5589:E5652" si="1267">YEAR(B5589)</f>
        <v>2013</v>
      </c>
      <c r="F5589" s="3">
        <f t="shared" ref="F5589:F5652" si="1268">MONTH(B5589)</f>
        <v>9</v>
      </c>
      <c r="G5589" s="3">
        <f t="shared" ref="G5589:G5652" si="1269">DAY(B5589)</f>
        <v>3</v>
      </c>
      <c r="H5589" s="3">
        <f t="shared" ref="H5589:H5652" si="1270">HOUR(B5589)</f>
        <v>8</v>
      </c>
      <c r="I5589" s="3">
        <f t="shared" ref="I5589:I5652" si="1271">MINUTE(B5589)</f>
        <v>48</v>
      </c>
      <c r="J5589" s="3">
        <f t="shared" ref="J5589:J5652" si="1272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273">IF(OR(N5589="Auto",O5589="Auto"),"YES",IF(OR(N5589="Taxi",O5589="Taxi"),"YES",IF(OR(N5589="Van",O5589="Van"),"YES",IF(OR(N5589="Truck",O5589="Truck"),"YES","NO"))))</f>
        <v>YES</v>
      </c>
      <c r="Q5589" t="str">
        <f t="shared" ref="Q5589:Q5652" si="1274">IF(OR(N5589="Bicycle",O5589="Bicycle"),"YES","NO")</f>
        <v>NO</v>
      </c>
      <c r="R5589" t="str">
        <f t="shared" ref="R5589:R5652" si="1275">IF(OR(N5589="Pedestrian",O5589="Pedestrian"),"YES","NO")</f>
        <v>YES</v>
      </c>
      <c r="S5589">
        <v>60</v>
      </c>
      <c r="T5589" t="s">
        <v>1332</v>
      </c>
      <c r="U5589" t="str">
        <f t="shared" si="1262"/>
        <v>Porter Rd</v>
      </c>
      <c r="W5589" t="str">
        <f t="shared" si="1263"/>
        <v/>
      </c>
      <c r="X5589" t="str">
        <f>IF(ISBLANK(S5589),"Intersection","Non-Intersection")</f>
        <v>Non-Intersection</v>
      </c>
      <c r="Y5589" t="s">
        <v>5967</v>
      </c>
      <c r="Z5589" t="str">
        <f t="shared" si="1264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265"/>
        <v>41275</v>
      </c>
      <c r="D5590" s="4">
        <f t="shared" si="1266"/>
        <v>0.67123287671232879</v>
      </c>
      <c r="E5590" s="3">
        <f t="shared" si="1267"/>
        <v>2013</v>
      </c>
      <c r="F5590" s="3">
        <f t="shared" si="1268"/>
        <v>9</v>
      </c>
      <c r="G5590" s="3">
        <f t="shared" si="1269"/>
        <v>3</v>
      </c>
      <c r="H5590" s="3">
        <f t="shared" si="1270"/>
        <v>9</v>
      </c>
      <c r="I5590" s="3">
        <f t="shared" si="1271"/>
        <v>30</v>
      </c>
      <c r="J5590" s="3">
        <f t="shared" si="1272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273"/>
        <v>YES</v>
      </c>
      <c r="Q5590" t="str">
        <f t="shared" si="1274"/>
        <v>NO</v>
      </c>
      <c r="R5590" t="str">
        <f t="shared" si="1275"/>
        <v>NO</v>
      </c>
      <c r="S5590">
        <v>71</v>
      </c>
      <c r="T5590" t="s">
        <v>1469</v>
      </c>
      <c r="U5590" t="str">
        <f t="shared" si="1262"/>
        <v>Fresh Pond Ln</v>
      </c>
      <c r="W5590" t="str">
        <f t="shared" si="1263"/>
        <v/>
      </c>
      <c r="X5590" t="str">
        <f>IF(ISBLANK(S5590),"Intersection","Non-Intersection")</f>
        <v>Non-Intersection</v>
      </c>
      <c r="Y5590" t="s">
        <v>5969</v>
      </c>
      <c r="Z5590" t="str">
        <f t="shared" si="1264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265"/>
        <v>41275</v>
      </c>
      <c r="D5591" s="4">
        <f t="shared" si="1266"/>
        <v>0.67123287671232879</v>
      </c>
      <c r="E5591" s="3">
        <f t="shared" si="1267"/>
        <v>2013</v>
      </c>
      <c r="F5591" s="3">
        <f t="shared" si="1268"/>
        <v>9</v>
      </c>
      <c r="G5591" s="3">
        <f t="shared" si="1269"/>
        <v>3</v>
      </c>
      <c r="H5591" s="3">
        <f t="shared" si="1270"/>
        <v>16</v>
      </c>
      <c r="I5591" s="3">
        <f t="shared" si="1271"/>
        <v>15</v>
      </c>
      <c r="J5591" s="3">
        <f t="shared" si="1272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273"/>
        <v>YES</v>
      </c>
      <c r="Q5591" t="str">
        <f t="shared" si="1274"/>
        <v>NO</v>
      </c>
      <c r="R5591" t="str">
        <f t="shared" si="1275"/>
        <v>NO</v>
      </c>
      <c r="S5591">
        <v>160</v>
      </c>
      <c r="T5591" t="s">
        <v>170</v>
      </c>
      <c r="U5591" t="str">
        <f t="shared" si="1262"/>
        <v>Alewife Brook Pky</v>
      </c>
      <c r="W5591" t="str">
        <f t="shared" si="1263"/>
        <v/>
      </c>
      <c r="X5591" t="str">
        <f>IF(ISBLANK(S5591),"Intersection","Non-Intersection")</f>
        <v>Non-Intersection</v>
      </c>
      <c r="Y5591" t="s">
        <v>3629</v>
      </c>
      <c r="Z5591" t="str">
        <f t="shared" si="1264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265"/>
        <v>41275</v>
      </c>
      <c r="D5592" s="4">
        <f t="shared" si="1266"/>
        <v>0.67397260273972603</v>
      </c>
      <c r="E5592" s="3">
        <f t="shared" si="1267"/>
        <v>2013</v>
      </c>
      <c r="F5592" s="3">
        <f t="shared" si="1268"/>
        <v>9</v>
      </c>
      <c r="G5592" s="3">
        <f t="shared" si="1269"/>
        <v>4</v>
      </c>
      <c r="H5592" s="3">
        <f t="shared" si="1270"/>
        <v>15</v>
      </c>
      <c r="I5592" s="3">
        <f t="shared" si="1271"/>
        <v>14</v>
      </c>
      <c r="J5592" s="3">
        <f t="shared" si="1272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273"/>
        <v>YES</v>
      </c>
      <c r="Q5592" t="str">
        <f t="shared" si="1274"/>
        <v>NO</v>
      </c>
      <c r="R5592" t="str">
        <f t="shared" si="1275"/>
        <v>NO</v>
      </c>
      <c r="T5592" t="s">
        <v>209</v>
      </c>
      <c r="U5592" t="str">
        <f t="shared" si="1262"/>
        <v>Binney St</v>
      </c>
      <c r="V5592" t="s">
        <v>260</v>
      </c>
      <c r="W5592" t="str">
        <f t="shared" si="1263"/>
        <v>Third St</v>
      </c>
      <c r="X5592" t="str">
        <f>IF(ISBLANK(S5592),"Intersection","Non-Intersection")</f>
        <v>Intersection</v>
      </c>
      <c r="Y5592" t="s">
        <v>531</v>
      </c>
      <c r="Z5592" t="str">
        <f t="shared" si="1264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265"/>
        <v>41275</v>
      </c>
      <c r="D5593" s="4">
        <f t="shared" si="1266"/>
        <v>0.67397260273972603</v>
      </c>
      <c r="E5593" s="3">
        <f t="shared" si="1267"/>
        <v>2013</v>
      </c>
      <c r="F5593" s="3">
        <f t="shared" si="1268"/>
        <v>9</v>
      </c>
      <c r="G5593" s="3">
        <f t="shared" si="1269"/>
        <v>4</v>
      </c>
      <c r="H5593" s="3">
        <f t="shared" si="1270"/>
        <v>18</v>
      </c>
      <c r="I5593" s="3">
        <f t="shared" si="1271"/>
        <v>7</v>
      </c>
      <c r="J5593" s="3">
        <f t="shared" si="1272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273"/>
        <v>YES</v>
      </c>
      <c r="Q5593" t="str">
        <f t="shared" si="1274"/>
        <v>NO</v>
      </c>
      <c r="R5593" t="str">
        <f t="shared" si="1275"/>
        <v>YES</v>
      </c>
      <c r="T5593" t="s">
        <v>342</v>
      </c>
      <c r="U5593" t="str">
        <f t="shared" si="1262"/>
        <v>Prospect St</v>
      </c>
      <c r="V5593" t="s">
        <v>316</v>
      </c>
      <c r="W5593" t="str">
        <f t="shared" si="1263"/>
        <v>Bishop Allen Dr</v>
      </c>
      <c r="X5593" t="str">
        <f>IF(ISBLANK(S5593),"Intersection","Non-Intersection")</f>
        <v>Intersection</v>
      </c>
      <c r="Y5593" t="s">
        <v>2529</v>
      </c>
      <c r="Z5593" t="str">
        <f t="shared" si="1264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265"/>
        <v>41275</v>
      </c>
      <c r="D5594" s="4">
        <f t="shared" si="1266"/>
        <v>0.67397260273972603</v>
      </c>
      <c r="E5594" s="3">
        <f t="shared" si="1267"/>
        <v>2013</v>
      </c>
      <c r="F5594" s="3">
        <f t="shared" si="1268"/>
        <v>9</v>
      </c>
      <c r="G5594" s="3">
        <f t="shared" si="1269"/>
        <v>4</v>
      </c>
      <c r="H5594" s="3">
        <f t="shared" si="1270"/>
        <v>18</v>
      </c>
      <c r="I5594" s="3">
        <f t="shared" si="1271"/>
        <v>20</v>
      </c>
      <c r="J5594" s="3">
        <f t="shared" si="1272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273"/>
        <v>YES</v>
      </c>
      <c r="Q5594" t="str">
        <f t="shared" si="1274"/>
        <v>NO</v>
      </c>
      <c r="R5594" t="str">
        <f t="shared" si="1275"/>
        <v>NO</v>
      </c>
      <c r="T5594" t="s">
        <v>27</v>
      </c>
      <c r="U5594" t="str">
        <f t="shared" si="1262"/>
        <v>Western Ave</v>
      </c>
      <c r="W5594" t="str">
        <f t="shared" si="1263"/>
        <v/>
      </c>
      <c r="X5594" t="str">
        <f>IF(ISBLANK(S5594),"Intersection","Non-Intersection")</f>
        <v>Intersection</v>
      </c>
      <c r="Y5594" t="s">
        <v>3858</v>
      </c>
      <c r="Z5594" t="str">
        <f t="shared" si="1264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265"/>
        <v>41275</v>
      </c>
      <c r="D5595" s="4">
        <f t="shared" si="1266"/>
        <v>0.67671232876712328</v>
      </c>
      <c r="E5595" s="3">
        <f t="shared" si="1267"/>
        <v>2013</v>
      </c>
      <c r="F5595" s="3">
        <f t="shared" si="1268"/>
        <v>9</v>
      </c>
      <c r="G5595" s="3">
        <f t="shared" si="1269"/>
        <v>5</v>
      </c>
      <c r="H5595" s="3">
        <f t="shared" si="1270"/>
        <v>9</v>
      </c>
      <c r="I5595" s="3">
        <f t="shared" si="1271"/>
        <v>49</v>
      </c>
      <c r="J5595" s="3">
        <f t="shared" si="1272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273"/>
        <v>YES</v>
      </c>
      <c r="Q5595" t="str">
        <f t="shared" si="1274"/>
        <v>YES</v>
      </c>
      <c r="R5595" t="str">
        <f t="shared" si="1275"/>
        <v>NO</v>
      </c>
      <c r="S5595">
        <v>1039</v>
      </c>
      <c r="T5595" t="s">
        <v>14</v>
      </c>
      <c r="U5595" t="str">
        <f t="shared" si="1262"/>
        <v>Massachusetts Ave</v>
      </c>
      <c r="W5595" t="str">
        <f t="shared" si="1263"/>
        <v/>
      </c>
      <c r="X5595" t="str">
        <f>IF(ISBLANK(S5595),"Intersection","Non-Intersection")</f>
        <v>Non-Intersection</v>
      </c>
      <c r="Y5595" t="s">
        <v>3649</v>
      </c>
      <c r="Z5595" t="str">
        <f t="shared" si="1264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265"/>
        <v>41275</v>
      </c>
      <c r="D5596" s="4">
        <f t="shared" si="1266"/>
        <v>0.67671232876712328</v>
      </c>
      <c r="E5596" s="3">
        <f t="shared" si="1267"/>
        <v>2013</v>
      </c>
      <c r="F5596" s="3">
        <f t="shared" si="1268"/>
        <v>9</v>
      </c>
      <c r="G5596" s="3">
        <f t="shared" si="1269"/>
        <v>5</v>
      </c>
      <c r="H5596" s="3">
        <f t="shared" si="1270"/>
        <v>10</v>
      </c>
      <c r="I5596" s="3">
        <f t="shared" si="1271"/>
        <v>0</v>
      </c>
      <c r="J5596" s="3">
        <f t="shared" si="1272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273"/>
        <v>YES</v>
      </c>
      <c r="Q5596" t="str">
        <f t="shared" si="1274"/>
        <v>YES</v>
      </c>
      <c r="R5596" t="str">
        <f t="shared" si="1275"/>
        <v>NO</v>
      </c>
      <c r="T5596" t="s">
        <v>74</v>
      </c>
      <c r="U5596" t="str">
        <f t="shared" si="1262"/>
        <v>Hampshire St</v>
      </c>
      <c r="V5596" t="s">
        <v>104</v>
      </c>
      <c r="W5596" t="str">
        <f t="shared" si="1263"/>
        <v>Inman St</v>
      </c>
      <c r="X5596" t="str">
        <f>IF(ISBLANK(S5596),"Intersection","Non-Intersection")</f>
        <v>Intersection</v>
      </c>
      <c r="Y5596" t="s">
        <v>3593</v>
      </c>
      <c r="Z5596" t="str">
        <f t="shared" si="1264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265"/>
        <v>41275</v>
      </c>
      <c r="D5597" s="4">
        <f t="shared" si="1266"/>
        <v>0.67671232876712328</v>
      </c>
      <c r="E5597" s="3">
        <f t="shared" si="1267"/>
        <v>2013</v>
      </c>
      <c r="F5597" s="3">
        <f t="shared" si="1268"/>
        <v>9</v>
      </c>
      <c r="G5597" s="3">
        <f t="shared" si="1269"/>
        <v>5</v>
      </c>
      <c r="H5597" s="3">
        <f t="shared" si="1270"/>
        <v>14</v>
      </c>
      <c r="I5597" s="3">
        <f t="shared" si="1271"/>
        <v>29</v>
      </c>
      <c r="J5597" s="3">
        <f t="shared" si="1272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273"/>
        <v>YES</v>
      </c>
      <c r="Q5597" t="str">
        <f t="shared" si="1274"/>
        <v>NO</v>
      </c>
      <c r="R5597" t="str">
        <f t="shared" si="1275"/>
        <v>NO</v>
      </c>
      <c r="T5597" t="s">
        <v>19</v>
      </c>
      <c r="U5597" t="str">
        <f t="shared" si="1262"/>
        <v>Cambridge St</v>
      </c>
      <c r="V5597" t="s">
        <v>1520</v>
      </c>
      <c r="W5597" t="str">
        <f t="shared" si="1263"/>
        <v>Fayette St</v>
      </c>
      <c r="X5597" t="str">
        <f>IF(ISBLANK(S5597),"Intersection","Non-Intersection")</f>
        <v>Intersection</v>
      </c>
      <c r="Y5597" t="s">
        <v>1521</v>
      </c>
      <c r="Z5597" t="str">
        <f t="shared" si="1264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265"/>
        <v>41275</v>
      </c>
      <c r="D5598" s="4">
        <f t="shared" si="1266"/>
        <v>0.67671232876712328</v>
      </c>
      <c r="E5598" s="3">
        <f t="shared" si="1267"/>
        <v>2013</v>
      </c>
      <c r="F5598" s="3">
        <f t="shared" si="1268"/>
        <v>9</v>
      </c>
      <c r="G5598" s="3">
        <f t="shared" si="1269"/>
        <v>5</v>
      </c>
      <c r="H5598" s="3">
        <f t="shared" si="1270"/>
        <v>10</v>
      </c>
      <c r="I5598" s="3">
        <f t="shared" si="1271"/>
        <v>15</v>
      </c>
      <c r="J5598" s="3">
        <f t="shared" si="1272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273"/>
        <v>YES</v>
      </c>
      <c r="Q5598" t="str">
        <f t="shared" si="1274"/>
        <v>NO</v>
      </c>
      <c r="R5598" t="str">
        <f t="shared" si="1275"/>
        <v>NO</v>
      </c>
      <c r="T5598" t="s">
        <v>185</v>
      </c>
      <c r="U5598" t="str">
        <f t="shared" si="1262"/>
        <v>Garden St</v>
      </c>
      <c r="V5598" t="s">
        <v>142</v>
      </c>
      <c r="W5598" t="str">
        <f t="shared" si="1263"/>
        <v>Huron Ave</v>
      </c>
      <c r="X5598" t="str">
        <f>IF(ISBLANK(S5598),"Intersection","Non-Intersection")</f>
        <v>Intersection</v>
      </c>
      <c r="Y5598" t="s">
        <v>890</v>
      </c>
      <c r="Z5598" t="str">
        <f t="shared" si="1264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265"/>
        <v>41275</v>
      </c>
      <c r="D5599" s="4">
        <f t="shared" si="1266"/>
        <v>0.67945205479452053</v>
      </c>
      <c r="E5599" s="3">
        <f t="shared" si="1267"/>
        <v>2013</v>
      </c>
      <c r="F5599" s="3">
        <f t="shared" si="1268"/>
        <v>9</v>
      </c>
      <c r="G5599" s="3">
        <f t="shared" si="1269"/>
        <v>6</v>
      </c>
      <c r="H5599" s="3">
        <f t="shared" si="1270"/>
        <v>7</v>
      </c>
      <c r="I5599" s="3">
        <f t="shared" si="1271"/>
        <v>50</v>
      </c>
      <c r="J5599" s="3">
        <f t="shared" si="1272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273"/>
        <v>YES</v>
      </c>
      <c r="Q5599" t="str">
        <f t="shared" si="1274"/>
        <v>NO</v>
      </c>
      <c r="R5599" t="str">
        <f t="shared" si="1275"/>
        <v>NO</v>
      </c>
      <c r="T5599" t="s">
        <v>14</v>
      </c>
      <c r="U5599" t="str">
        <f t="shared" si="1262"/>
        <v>Massachusetts Ave</v>
      </c>
      <c r="V5599" t="s">
        <v>1095</v>
      </c>
      <c r="W5599" t="str">
        <f t="shared" si="1263"/>
        <v>Churchill Ave</v>
      </c>
      <c r="X5599" t="str">
        <f>IF(ISBLANK(S5599),"Intersection","Non-Intersection")</f>
        <v>Intersection</v>
      </c>
      <c r="Y5599" t="s">
        <v>2671</v>
      </c>
      <c r="Z5599" t="str">
        <f t="shared" si="1264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265"/>
        <v>41275</v>
      </c>
      <c r="D5600" s="4">
        <f t="shared" si="1266"/>
        <v>0.67945205479452053</v>
      </c>
      <c r="E5600" s="3">
        <f t="shared" si="1267"/>
        <v>2013</v>
      </c>
      <c r="F5600" s="3">
        <f t="shared" si="1268"/>
        <v>9</v>
      </c>
      <c r="G5600" s="3">
        <f t="shared" si="1269"/>
        <v>6</v>
      </c>
      <c r="H5600" s="3">
        <f t="shared" si="1270"/>
        <v>10</v>
      </c>
      <c r="I5600" s="3">
        <f t="shared" si="1271"/>
        <v>50</v>
      </c>
      <c r="J5600" s="3">
        <f t="shared" si="1272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273"/>
        <v>YES</v>
      </c>
      <c r="Q5600" t="str">
        <f t="shared" si="1274"/>
        <v>NO</v>
      </c>
      <c r="R5600" t="str">
        <f t="shared" si="1275"/>
        <v>NO</v>
      </c>
      <c r="S5600">
        <v>378</v>
      </c>
      <c r="T5600" t="s">
        <v>14</v>
      </c>
      <c r="U5600" t="str">
        <f t="shared" si="1262"/>
        <v>Massachusetts Ave</v>
      </c>
      <c r="W5600" t="str">
        <f t="shared" si="1263"/>
        <v/>
      </c>
      <c r="X5600" t="str">
        <f>IF(ISBLANK(S5600),"Intersection","Non-Intersection")</f>
        <v>Non-Intersection</v>
      </c>
      <c r="Y5600" t="s">
        <v>1399</v>
      </c>
      <c r="Z5600" t="str">
        <f t="shared" si="1264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265"/>
        <v>41275</v>
      </c>
      <c r="D5601" s="4">
        <f t="shared" si="1266"/>
        <v>0.67945205479452053</v>
      </c>
      <c r="E5601" s="3">
        <f t="shared" si="1267"/>
        <v>2013</v>
      </c>
      <c r="F5601" s="3">
        <f t="shared" si="1268"/>
        <v>9</v>
      </c>
      <c r="G5601" s="3">
        <f t="shared" si="1269"/>
        <v>6</v>
      </c>
      <c r="H5601" s="3">
        <f t="shared" si="1270"/>
        <v>12</v>
      </c>
      <c r="I5601" s="3">
        <f t="shared" si="1271"/>
        <v>49</v>
      </c>
      <c r="J5601" s="3">
        <f t="shared" si="1272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273"/>
        <v>YES</v>
      </c>
      <c r="Q5601" t="str">
        <f t="shared" si="1274"/>
        <v>NO</v>
      </c>
      <c r="R5601" t="str">
        <f t="shared" si="1275"/>
        <v>NO</v>
      </c>
      <c r="T5601" t="s">
        <v>5504</v>
      </c>
      <c r="U5601" t="str">
        <f t="shared" si="1262"/>
        <v>Kirkland Pl</v>
      </c>
      <c r="V5601" t="s">
        <v>417</v>
      </c>
      <c r="W5601" t="str">
        <f t="shared" si="1263"/>
        <v>Myrtle Ave</v>
      </c>
      <c r="X5601" t="str">
        <f>IF(ISBLANK(S5601),"Intersection","Non-Intersection")</f>
        <v>Intersection</v>
      </c>
      <c r="Y5601" t="s">
        <v>5971</v>
      </c>
      <c r="Z5601" t="str">
        <f t="shared" si="1264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265"/>
        <v>41275</v>
      </c>
      <c r="D5602" s="4">
        <f t="shared" si="1266"/>
        <v>0.68219178082191778</v>
      </c>
      <c r="E5602" s="3">
        <f t="shared" si="1267"/>
        <v>2013</v>
      </c>
      <c r="F5602" s="3">
        <f t="shared" si="1268"/>
        <v>9</v>
      </c>
      <c r="G5602" s="3">
        <f t="shared" si="1269"/>
        <v>7</v>
      </c>
      <c r="H5602" s="3">
        <f t="shared" si="1270"/>
        <v>11</v>
      </c>
      <c r="I5602" s="3">
        <f t="shared" si="1271"/>
        <v>0</v>
      </c>
      <c r="J5602" s="3">
        <f t="shared" si="1272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273"/>
        <v>YES</v>
      </c>
      <c r="Q5602" t="str">
        <f t="shared" si="1274"/>
        <v>NO</v>
      </c>
      <c r="R5602" t="str">
        <f t="shared" si="1275"/>
        <v>NO</v>
      </c>
      <c r="S5602">
        <v>87</v>
      </c>
      <c r="T5602" t="s">
        <v>1013</v>
      </c>
      <c r="U5602" t="str">
        <f t="shared" si="1262"/>
        <v>Blanchard Rd</v>
      </c>
      <c r="W5602" t="str">
        <f t="shared" si="1263"/>
        <v/>
      </c>
      <c r="X5602" t="str">
        <f>IF(ISBLANK(S5602),"Intersection","Non-Intersection")</f>
        <v>Non-Intersection</v>
      </c>
      <c r="Y5602" t="s">
        <v>5616</v>
      </c>
      <c r="Z5602" t="str">
        <f t="shared" si="1264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265"/>
        <v>41275</v>
      </c>
      <c r="D5603" s="4">
        <f t="shared" si="1266"/>
        <v>0.68219178082191778</v>
      </c>
      <c r="E5603" s="3">
        <f t="shared" si="1267"/>
        <v>2013</v>
      </c>
      <c r="F5603" s="3">
        <f t="shared" si="1268"/>
        <v>9</v>
      </c>
      <c r="G5603" s="3">
        <f t="shared" si="1269"/>
        <v>7</v>
      </c>
      <c r="H5603" s="3">
        <f t="shared" si="1270"/>
        <v>23</v>
      </c>
      <c r="I5603" s="3">
        <f t="shared" si="1271"/>
        <v>0</v>
      </c>
      <c r="J5603" s="3">
        <f t="shared" si="1272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273"/>
        <v>YES</v>
      </c>
      <c r="Q5603" t="str">
        <f t="shared" si="1274"/>
        <v>NO</v>
      </c>
      <c r="R5603" t="str">
        <f t="shared" si="1275"/>
        <v>NO</v>
      </c>
      <c r="T5603" t="s">
        <v>189</v>
      </c>
      <c r="U5603" t="str">
        <f t="shared" si="1262"/>
        <v>Windsor St</v>
      </c>
      <c r="V5603" t="s">
        <v>74</v>
      </c>
      <c r="W5603" t="str">
        <f t="shared" si="1263"/>
        <v>Hampshire St</v>
      </c>
      <c r="X5603" t="str">
        <f>IF(ISBLANK(S5603),"Intersection","Non-Intersection")</f>
        <v>Intersection</v>
      </c>
      <c r="Y5603" t="s">
        <v>2424</v>
      </c>
      <c r="Z5603" t="str">
        <f t="shared" si="1264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265"/>
        <v>41275</v>
      </c>
      <c r="D5604" s="4">
        <f t="shared" si="1266"/>
        <v>0.68493150684931503</v>
      </c>
      <c r="E5604" s="3">
        <f t="shared" si="1267"/>
        <v>2013</v>
      </c>
      <c r="F5604" s="3">
        <f t="shared" si="1268"/>
        <v>9</v>
      </c>
      <c r="G5604" s="3">
        <f t="shared" si="1269"/>
        <v>8</v>
      </c>
      <c r="H5604" s="3">
        <f t="shared" si="1270"/>
        <v>12</v>
      </c>
      <c r="I5604" s="3">
        <f t="shared" si="1271"/>
        <v>0</v>
      </c>
      <c r="J5604" s="3">
        <f t="shared" si="1272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273"/>
        <v>YES</v>
      </c>
      <c r="Q5604" t="str">
        <f t="shared" si="1274"/>
        <v>NO</v>
      </c>
      <c r="R5604" t="str">
        <f t="shared" si="1275"/>
        <v>NO</v>
      </c>
      <c r="S5604">
        <v>250</v>
      </c>
      <c r="T5604" t="s">
        <v>587</v>
      </c>
      <c r="U5604" t="str">
        <f t="shared" si="1262"/>
        <v>Webster Ave</v>
      </c>
      <c r="V5604" t="s">
        <v>19</v>
      </c>
      <c r="W5604" t="str">
        <f t="shared" si="1263"/>
        <v>Cambridge St</v>
      </c>
      <c r="X5604" t="str">
        <f>IF(ISBLANK(S5604),"Intersection","Non-Intersection")</f>
        <v>Non-Intersection</v>
      </c>
      <c r="Y5604" t="s">
        <v>5973</v>
      </c>
      <c r="Z5604" t="str">
        <f t="shared" si="1264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265"/>
        <v>41275</v>
      </c>
      <c r="D5605" s="4">
        <f t="shared" si="1266"/>
        <v>0.68493150684931503</v>
      </c>
      <c r="E5605" s="3">
        <f t="shared" si="1267"/>
        <v>2013</v>
      </c>
      <c r="F5605" s="3">
        <f t="shared" si="1268"/>
        <v>9</v>
      </c>
      <c r="G5605" s="3">
        <f t="shared" si="1269"/>
        <v>8</v>
      </c>
      <c r="H5605" s="3">
        <f t="shared" si="1270"/>
        <v>17</v>
      </c>
      <c r="I5605" s="3">
        <f t="shared" si="1271"/>
        <v>15</v>
      </c>
      <c r="J5605" s="3">
        <f t="shared" si="1272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273"/>
        <v>YES</v>
      </c>
      <c r="Q5605" t="str">
        <f t="shared" si="1274"/>
        <v>NO</v>
      </c>
      <c r="R5605" t="str">
        <f t="shared" si="1275"/>
        <v>YES</v>
      </c>
      <c r="T5605" t="s">
        <v>19</v>
      </c>
      <c r="U5605" t="str">
        <f t="shared" si="1262"/>
        <v>Cambridge St</v>
      </c>
      <c r="V5605" t="s">
        <v>129</v>
      </c>
      <c r="W5605" t="str">
        <f t="shared" si="1263"/>
        <v>Cardinal Medeiros Ave</v>
      </c>
      <c r="X5605" t="str">
        <f>IF(ISBLANK(S5605),"Intersection","Non-Intersection")</f>
        <v>Intersection</v>
      </c>
      <c r="Y5605" t="s">
        <v>130</v>
      </c>
      <c r="Z5605" t="str">
        <f t="shared" si="1264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265"/>
        <v>41275</v>
      </c>
      <c r="D5606" s="4">
        <f t="shared" si="1266"/>
        <v>0.68493150684931503</v>
      </c>
      <c r="E5606" s="3">
        <f t="shared" si="1267"/>
        <v>2013</v>
      </c>
      <c r="F5606" s="3">
        <f t="shared" si="1268"/>
        <v>9</v>
      </c>
      <c r="G5606" s="3">
        <f t="shared" si="1269"/>
        <v>8</v>
      </c>
      <c r="H5606" s="3">
        <f t="shared" si="1270"/>
        <v>17</v>
      </c>
      <c r="I5606" s="3">
        <f t="shared" si="1271"/>
        <v>19</v>
      </c>
      <c r="J5606" s="3">
        <f t="shared" si="1272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273"/>
        <v>YES</v>
      </c>
      <c r="Q5606" t="str">
        <f t="shared" si="1274"/>
        <v>YES</v>
      </c>
      <c r="R5606" t="str">
        <f t="shared" si="1275"/>
        <v>NO</v>
      </c>
      <c r="T5606" t="s">
        <v>1502</v>
      </c>
      <c r="U5606" t="str">
        <f t="shared" si="1262"/>
        <v>Gore St</v>
      </c>
      <c r="V5606" t="s">
        <v>3434</v>
      </c>
      <c r="W5606" t="str">
        <f t="shared" si="1263"/>
        <v>Rufo Rd</v>
      </c>
      <c r="X5606" t="str">
        <f>IF(ISBLANK(S5606),"Intersection","Non-Intersection")</f>
        <v>Intersection</v>
      </c>
      <c r="Y5606" t="s">
        <v>4137</v>
      </c>
      <c r="Z5606" t="str">
        <f t="shared" si="1264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265"/>
        <v>41275</v>
      </c>
      <c r="D5607" s="4">
        <f t="shared" si="1266"/>
        <v>0.68493150684931503</v>
      </c>
      <c r="E5607" s="3">
        <f t="shared" si="1267"/>
        <v>2013</v>
      </c>
      <c r="F5607" s="3">
        <f t="shared" si="1268"/>
        <v>9</v>
      </c>
      <c r="G5607" s="3">
        <f t="shared" si="1269"/>
        <v>8</v>
      </c>
      <c r="H5607" s="3">
        <f t="shared" si="1270"/>
        <v>14</v>
      </c>
      <c r="I5607" s="3">
        <f t="shared" si="1271"/>
        <v>4</v>
      </c>
      <c r="J5607" s="3">
        <f t="shared" si="1272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273"/>
        <v>NO</v>
      </c>
      <c r="Q5607" t="str">
        <f t="shared" si="1274"/>
        <v>NO</v>
      </c>
      <c r="R5607" t="str">
        <f t="shared" si="1275"/>
        <v>NO</v>
      </c>
      <c r="T5607" t="s">
        <v>1739</v>
      </c>
      <c r="U5607" t="str">
        <f t="shared" si="1262"/>
        <v>Harding St</v>
      </c>
      <c r="V5607" t="s">
        <v>351</v>
      </c>
      <c r="W5607" t="str">
        <f t="shared" si="1263"/>
        <v>Cambridge Ctr</v>
      </c>
      <c r="X5607" t="str">
        <f>IF(ISBLANK(S5607),"Intersection","Non-Intersection")</f>
        <v>Intersection</v>
      </c>
      <c r="Y5607" t="s">
        <v>5975</v>
      </c>
      <c r="Z5607" t="str">
        <f t="shared" si="1264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265"/>
        <v>41275</v>
      </c>
      <c r="D5608" s="4">
        <f t="shared" si="1266"/>
        <v>0.68493150684931503</v>
      </c>
      <c r="E5608" s="3">
        <f t="shared" si="1267"/>
        <v>2013</v>
      </c>
      <c r="F5608" s="3">
        <f t="shared" si="1268"/>
        <v>9</v>
      </c>
      <c r="G5608" s="3">
        <f t="shared" si="1269"/>
        <v>8</v>
      </c>
      <c r="H5608" s="3">
        <f t="shared" si="1270"/>
        <v>13</v>
      </c>
      <c r="I5608" s="3">
        <f t="shared" si="1271"/>
        <v>9</v>
      </c>
      <c r="J5608" s="3">
        <f t="shared" si="1272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273"/>
        <v>YES</v>
      </c>
      <c r="Q5608" t="str">
        <f t="shared" si="1274"/>
        <v>YES</v>
      </c>
      <c r="R5608" t="str">
        <f t="shared" si="1275"/>
        <v>NO</v>
      </c>
      <c r="S5608">
        <v>2327</v>
      </c>
      <c r="T5608" t="s">
        <v>14</v>
      </c>
      <c r="U5608" t="str">
        <f t="shared" si="1262"/>
        <v>Massachusetts Ave</v>
      </c>
      <c r="V5608" t="s">
        <v>2737</v>
      </c>
      <c r="W5608" t="str">
        <f t="shared" si="1263"/>
        <v>Woodbridge St</v>
      </c>
      <c r="X5608" t="str">
        <f>IF(ISBLANK(S5608),"Intersection","Non-Intersection")</f>
        <v>Non-Intersection</v>
      </c>
      <c r="Y5608" t="s">
        <v>5977</v>
      </c>
      <c r="Z5608" t="str">
        <f t="shared" si="1264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265"/>
        <v>41275</v>
      </c>
      <c r="D5609" s="4">
        <f t="shared" si="1266"/>
        <v>0.68493150684931503</v>
      </c>
      <c r="E5609" s="3">
        <f t="shared" si="1267"/>
        <v>2013</v>
      </c>
      <c r="F5609" s="3">
        <f t="shared" si="1268"/>
        <v>9</v>
      </c>
      <c r="G5609" s="3">
        <f t="shared" si="1269"/>
        <v>8</v>
      </c>
      <c r="H5609" s="3">
        <f t="shared" si="1270"/>
        <v>14</v>
      </c>
      <c r="I5609" s="3">
        <f t="shared" si="1271"/>
        <v>29</v>
      </c>
      <c r="J5609" s="3">
        <f t="shared" si="1272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273"/>
        <v>YES</v>
      </c>
      <c r="Q5609" t="str">
        <f t="shared" si="1274"/>
        <v>NO</v>
      </c>
      <c r="R5609" t="str">
        <f t="shared" si="1275"/>
        <v>NO</v>
      </c>
      <c r="T5609" t="s">
        <v>342</v>
      </c>
      <c r="U5609" t="str">
        <f t="shared" si="1262"/>
        <v>Prospect St</v>
      </c>
      <c r="W5609" t="str">
        <f t="shared" si="1263"/>
        <v/>
      </c>
      <c r="X5609" t="str">
        <f>IF(ISBLANK(S5609),"Intersection","Non-Intersection")</f>
        <v>Intersection</v>
      </c>
      <c r="Y5609" t="s">
        <v>1487</v>
      </c>
      <c r="Z5609" t="str">
        <f t="shared" si="1264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265"/>
        <v>41275</v>
      </c>
      <c r="D5610" s="4">
        <f t="shared" si="1266"/>
        <v>0.68493150684931503</v>
      </c>
      <c r="E5610" s="3">
        <f t="shared" si="1267"/>
        <v>2013</v>
      </c>
      <c r="F5610" s="3">
        <f t="shared" si="1268"/>
        <v>9</v>
      </c>
      <c r="G5610" s="3">
        <f t="shared" si="1269"/>
        <v>8</v>
      </c>
      <c r="H5610" s="3">
        <f t="shared" si="1270"/>
        <v>14</v>
      </c>
      <c r="I5610" s="3">
        <f t="shared" si="1271"/>
        <v>45</v>
      </c>
      <c r="J5610" s="3">
        <f t="shared" si="1272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273"/>
        <v>YES</v>
      </c>
      <c r="Q5610" t="str">
        <f t="shared" si="1274"/>
        <v>NO</v>
      </c>
      <c r="R5610" t="str">
        <f t="shared" si="1275"/>
        <v>NO</v>
      </c>
      <c r="S5610">
        <v>3260</v>
      </c>
      <c r="T5610" t="s">
        <v>14</v>
      </c>
      <c r="U5610" t="str">
        <f t="shared" si="1262"/>
        <v>Massachusetts Ave</v>
      </c>
      <c r="W5610" t="str">
        <f t="shared" si="1263"/>
        <v/>
      </c>
      <c r="X5610" t="str">
        <f>IF(ISBLANK(S5610),"Intersection","Non-Intersection")</f>
        <v>Non-Intersection</v>
      </c>
      <c r="Y5610" t="s">
        <v>5979</v>
      </c>
      <c r="Z5610" t="str">
        <f t="shared" si="1264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265"/>
        <v>41275</v>
      </c>
      <c r="D5611" s="4">
        <f t="shared" si="1266"/>
        <v>0.68767123287671228</v>
      </c>
      <c r="E5611" s="3">
        <f t="shared" si="1267"/>
        <v>2013</v>
      </c>
      <c r="F5611" s="3">
        <f t="shared" si="1268"/>
        <v>9</v>
      </c>
      <c r="G5611" s="3">
        <f t="shared" si="1269"/>
        <v>9</v>
      </c>
      <c r="H5611" s="3">
        <f t="shared" si="1270"/>
        <v>12</v>
      </c>
      <c r="I5611" s="3">
        <f t="shared" si="1271"/>
        <v>0</v>
      </c>
      <c r="J5611" s="3">
        <f t="shared" si="1272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273"/>
        <v>YES</v>
      </c>
      <c r="Q5611" t="str">
        <f t="shared" si="1274"/>
        <v>NO</v>
      </c>
      <c r="R5611" t="str">
        <f t="shared" si="1275"/>
        <v>NO</v>
      </c>
      <c r="T5611" t="s">
        <v>14</v>
      </c>
      <c r="U5611" t="str">
        <f t="shared" si="1262"/>
        <v>Massachusetts Ave</v>
      </c>
      <c r="V5611" t="s">
        <v>745</v>
      </c>
      <c r="W5611" t="str">
        <f t="shared" si="1263"/>
        <v>Norfolk St</v>
      </c>
      <c r="X5611" t="str">
        <f>IF(ISBLANK(S5611),"Intersection","Non-Intersection")</f>
        <v>Intersection</v>
      </c>
      <c r="Y5611" t="s">
        <v>873</v>
      </c>
      <c r="Z5611" t="str">
        <f t="shared" si="1264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265"/>
        <v>41275</v>
      </c>
      <c r="D5612" s="4">
        <f t="shared" si="1266"/>
        <v>0.68767123287671228</v>
      </c>
      <c r="E5612" s="3">
        <f t="shared" si="1267"/>
        <v>2013</v>
      </c>
      <c r="F5612" s="3">
        <f t="shared" si="1268"/>
        <v>9</v>
      </c>
      <c r="G5612" s="3">
        <f t="shared" si="1269"/>
        <v>9</v>
      </c>
      <c r="H5612" s="3">
        <f t="shared" si="1270"/>
        <v>0</v>
      </c>
      <c r="I5612" s="3">
        <f t="shared" si="1271"/>
        <v>34</v>
      </c>
      <c r="J5612" s="3">
        <f t="shared" si="1272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273"/>
        <v>YES</v>
      </c>
      <c r="Q5612" t="str">
        <f t="shared" si="1274"/>
        <v>NO</v>
      </c>
      <c r="R5612" t="str">
        <f t="shared" si="1275"/>
        <v>NO</v>
      </c>
      <c r="T5612" t="s">
        <v>288</v>
      </c>
      <c r="U5612" t="str">
        <f t="shared" si="1262"/>
        <v>Galileo Galilei Way</v>
      </c>
      <c r="V5612" t="s">
        <v>105</v>
      </c>
      <c r="W5612" t="str">
        <f t="shared" si="1263"/>
        <v>Broadway</v>
      </c>
      <c r="X5612" t="str">
        <f>IF(ISBLANK(S5612),"Intersection","Non-Intersection")</f>
        <v>Intersection</v>
      </c>
      <c r="Y5612" t="s">
        <v>307</v>
      </c>
      <c r="Z5612" t="str">
        <f t="shared" si="1264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265"/>
        <v>41275</v>
      </c>
      <c r="D5613" s="4">
        <f t="shared" si="1266"/>
        <v>0.68767123287671228</v>
      </c>
      <c r="E5613" s="3">
        <f t="shared" si="1267"/>
        <v>2013</v>
      </c>
      <c r="F5613" s="3">
        <f t="shared" si="1268"/>
        <v>9</v>
      </c>
      <c r="G5613" s="3">
        <f t="shared" si="1269"/>
        <v>9</v>
      </c>
      <c r="H5613" s="3">
        <f t="shared" si="1270"/>
        <v>0</v>
      </c>
      <c r="I5613" s="3">
        <f t="shared" si="1271"/>
        <v>34</v>
      </c>
      <c r="J5613" s="3">
        <f t="shared" si="1272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273"/>
        <v>YES</v>
      </c>
      <c r="Q5613" t="str">
        <f t="shared" si="1274"/>
        <v>NO</v>
      </c>
      <c r="R5613" t="str">
        <f t="shared" si="1275"/>
        <v>NO</v>
      </c>
      <c r="T5613" t="s">
        <v>288</v>
      </c>
      <c r="U5613" t="str">
        <f t="shared" si="1262"/>
        <v>Galileo Galilei Way</v>
      </c>
      <c r="W5613" t="str">
        <f t="shared" si="1263"/>
        <v/>
      </c>
      <c r="X5613" t="str">
        <f>IF(ISBLANK(S5613),"Intersection","Non-Intersection")</f>
        <v>Intersection</v>
      </c>
      <c r="Y5613" t="s">
        <v>5980</v>
      </c>
      <c r="Z5613" t="str">
        <f t="shared" si="1264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265"/>
        <v>41275</v>
      </c>
      <c r="D5614" s="4">
        <f t="shared" si="1266"/>
        <v>0.68767123287671228</v>
      </c>
      <c r="E5614" s="3">
        <f t="shared" si="1267"/>
        <v>2013</v>
      </c>
      <c r="F5614" s="3">
        <f t="shared" si="1268"/>
        <v>9</v>
      </c>
      <c r="G5614" s="3">
        <f t="shared" si="1269"/>
        <v>9</v>
      </c>
      <c r="H5614" s="3">
        <f t="shared" si="1270"/>
        <v>8</v>
      </c>
      <c r="I5614" s="3">
        <f t="shared" si="1271"/>
        <v>0</v>
      </c>
      <c r="J5614" s="3">
        <f t="shared" si="1272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273"/>
        <v>YES</v>
      </c>
      <c r="Q5614" t="str">
        <f t="shared" si="1274"/>
        <v>NO</v>
      </c>
      <c r="R5614" t="str">
        <f t="shared" si="1275"/>
        <v>NO</v>
      </c>
      <c r="S5614">
        <v>19</v>
      </c>
      <c r="T5614" t="s">
        <v>501</v>
      </c>
      <c r="U5614" t="str">
        <f t="shared" si="1262"/>
        <v>Garfield St</v>
      </c>
      <c r="W5614" t="str">
        <f t="shared" si="1263"/>
        <v/>
      </c>
      <c r="X5614" t="str">
        <f>IF(ISBLANK(S5614),"Intersection","Non-Intersection")</f>
        <v>Non-Intersection</v>
      </c>
      <c r="Y5614" t="s">
        <v>5981</v>
      </c>
      <c r="Z5614" t="str">
        <f t="shared" si="1264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265"/>
        <v>41275</v>
      </c>
      <c r="D5615" s="4">
        <f t="shared" si="1266"/>
        <v>0.68767123287671228</v>
      </c>
      <c r="E5615" s="3">
        <f t="shared" si="1267"/>
        <v>2013</v>
      </c>
      <c r="F5615" s="3">
        <f t="shared" si="1268"/>
        <v>9</v>
      </c>
      <c r="G5615" s="3">
        <f t="shared" si="1269"/>
        <v>9</v>
      </c>
      <c r="H5615" s="3">
        <f t="shared" si="1270"/>
        <v>9</v>
      </c>
      <c r="I5615" s="3">
        <f t="shared" si="1271"/>
        <v>0</v>
      </c>
      <c r="J5615" s="3">
        <f t="shared" si="1272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273"/>
        <v>YES</v>
      </c>
      <c r="Q5615" t="str">
        <f t="shared" si="1274"/>
        <v>NO</v>
      </c>
      <c r="R5615" t="str">
        <f t="shared" si="1275"/>
        <v>NO</v>
      </c>
      <c r="S5615">
        <v>6</v>
      </c>
      <c r="T5615" t="s">
        <v>1426</v>
      </c>
      <c r="U5615" t="str">
        <f t="shared" si="1262"/>
        <v>Rice St</v>
      </c>
      <c r="W5615" t="str">
        <f t="shared" si="1263"/>
        <v/>
      </c>
      <c r="X5615" t="str">
        <f>IF(ISBLANK(S5615),"Intersection","Non-Intersection")</f>
        <v>Non-Intersection</v>
      </c>
      <c r="Y5615" t="s">
        <v>5983</v>
      </c>
      <c r="Z5615" t="str">
        <f t="shared" si="1264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265"/>
        <v>41275</v>
      </c>
      <c r="D5616" s="4">
        <f t="shared" si="1266"/>
        <v>0.68767123287671228</v>
      </c>
      <c r="E5616" s="3">
        <f t="shared" si="1267"/>
        <v>2013</v>
      </c>
      <c r="F5616" s="3">
        <f t="shared" si="1268"/>
        <v>9</v>
      </c>
      <c r="G5616" s="3">
        <f t="shared" si="1269"/>
        <v>9</v>
      </c>
      <c r="H5616" s="3">
        <f t="shared" si="1270"/>
        <v>9</v>
      </c>
      <c r="I5616" s="3">
        <f t="shared" si="1271"/>
        <v>14</v>
      </c>
      <c r="J5616" s="3">
        <f t="shared" si="1272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273"/>
        <v>YES</v>
      </c>
      <c r="Q5616" t="str">
        <f t="shared" si="1274"/>
        <v>NO</v>
      </c>
      <c r="R5616" t="str">
        <f t="shared" si="1275"/>
        <v>NO</v>
      </c>
      <c r="S5616">
        <v>1050</v>
      </c>
      <c r="T5616" t="s">
        <v>14</v>
      </c>
      <c r="U5616" t="str">
        <f t="shared" si="1262"/>
        <v>Massachusetts Ave</v>
      </c>
      <c r="W5616" t="str">
        <f t="shared" si="1263"/>
        <v/>
      </c>
      <c r="X5616" t="str">
        <f>IF(ISBLANK(S5616),"Intersection","Non-Intersection")</f>
        <v>Non-Intersection</v>
      </c>
      <c r="Y5616" t="s">
        <v>5985</v>
      </c>
      <c r="Z5616" t="str">
        <f t="shared" si="1264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265"/>
        <v>41275</v>
      </c>
      <c r="D5617" s="4">
        <f t="shared" si="1266"/>
        <v>0.68767123287671228</v>
      </c>
      <c r="E5617" s="3">
        <f t="shared" si="1267"/>
        <v>2013</v>
      </c>
      <c r="F5617" s="3">
        <f t="shared" si="1268"/>
        <v>9</v>
      </c>
      <c r="G5617" s="3">
        <f t="shared" si="1269"/>
        <v>9</v>
      </c>
      <c r="H5617" s="3">
        <f t="shared" si="1270"/>
        <v>12</v>
      </c>
      <c r="I5617" s="3">
        <f t="shared" si="1271"/>
        <v>0</v>
      </c>
      <c r="J5617" s="3">
        <f t="shared" si="1272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273"/>
        <v>YES</v>
      </c>
      <c r="Q5617" t="str">
        <f t="shared" si="1274"/>
        <v>NO</v>
      </c>
      <c r="R5617" t="str">
        <f t="shared" si="1275"/>
        <v>NO</v>
      </c>
      <c r="S5617">
        <v>300</v>
      </c>
      <c r="T5617" t="s">
        <v>198</v>
      </c>
      <c r="U5617" t="str">
        <f t="shared" si="1262"/>
        <v>Mount Auburn St</v>
      </c>
      <c r="W5617" t="str">
        <f t="shared" si="1263"/>
        <v/>
      </c>
      <c r="X5617" t="str">
        <f>IF(ISBLANK(S5617),"Intersection","Non-Intersection")</f>
        <v>Non-Intersection</v>
      </c>
      <c r="Y5617" t="s">
        <v>5987</v>
      </c>
      <c r="Z5617" t="str">
        <f t="shared" si="1264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265"/>
        <v>41275</v>
      </c>
      <c r="D5618" s="4">
        <f t="shared" si="1266"/>
        <v>0.68767123287671228</v>
      </c>
      <c r="E5618" s="3">
        <f t="shared" si="1267"/>
        <v>2013</v>
      </c>
      <c r="F5618" s="3">
        <f t="shared" si="1268"/>
        <v>9</v>
      </c>
      <c r="G5618" s="3">
        <f t="shared" si="1269"/>
        <v>9</v>
      </c>
      <c r="H5618" s="3">
        <f t="shared" si="1270"/>
        <v>18</v>
      </c>
      <c r="I5618" s="3">
        <f t="shared" si="1271"/>
        <v>1</v>
      </c>
      <c r="J5618" s="3">
        <f t="shared" si="1272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273"/>
        <v>YES</v>
      </c>
      <c r="Q5618" t="str">
        <f t="shared" si="1274"/>
        <v>NO</v>
      </c>
      <c r="R5618" t="str">
        <f t="shared" si="1275"/>
        <v>YES</v>
      </c>
      <c r="T5618" t="s">
        <v>15</v>
      </c>
      <c r="U5618" t="str">
        <f t="shared" si="1262"/>
        <v>Rindge Ave</v>
      </c>
      <c r="V5618" t="s">
        <v>561</v>
      </c>
      <c r="W5618" t="str">
        <f t="shared" si="1263"/>
        <v>Sargent St</v>
      </c>
      <c r="X5618" t="str">
        <f>IF(ISBLANK(S5618),"Intersection","Non-Intersection")</f>
        <v>Intersection</v>
      </c>
      <c r="Y5618" t="s">
        <v>1337</v>
      </c>
      <c r="Z5618" t="str">
        <f t="shared" si="1264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265"/>
        <v>41275</v>
      </c>
      <c r="D5619" s="4">
        <f t="shared" si="1266"/>
        <v>0.69041095890410964</v>
      </c>
      <c r="E5619" s="3">
        <f t="shared" si="1267"/>
        <v>2013</v>
      </c>
      <c r="F5619" s="3">
        <f t="shared" si="1268"/>
        <v>9</v>
      </c>
      <c r="G5619" s="3">
        <f t="shared" si="1269"/>
        <v>10</v>
      </c>
      <c r="H5619" s="3">
        <f t="shared" si="1270"/>
        <v>10</v>
      </c>
      <c r="I5619" s="3">
        <f t="shared" si="1271"/>
        <v>2</v>
      </c>
      <c r="J5619" s="3">
        <f t="shared" si="1272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273"/>
        <v>YES</v>
      </c>
      <c r="Q5619" t="str">
        <f t="shared" si="1274"/>
        <v>NO</v>
      </c>
      <c r="R5619" t="str">
        <f t="shared" si="1275"/>
        <v>NO</v>
      </c>
      <c r="T5619" t="s">
        <v>379</v>
      </c>
      <c r="U5619" t="str">
        <f t="shared" si="1262"/>
        <v>Second St</v>
      </c>
      <c r="V5619" t="s">
        <v>19</v>
      </c>
      <c r="W5619" t="str">
        <f t="shared" si="1263"/>
        <v>Cambridge St</v>
      </c>
      <c r="X5619" t="str">
        <f>IF(ISBLANK(S5619),"Intersection","Non-Intersection")</f>
        <v>Intersection</v>
      </c>
      <c r="Y5619" t="s">
        <v>2729</v>
      </c>
      <c r="Z5619" t="str">
        <f t="shared" si="1264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265"/>
        <v>41275</v>
      </c>
      <c r="D5620" s="4">
        <f t="shared" si="1266"/>
        <v>0.69041095890410964</v>
      </c>
      <c r="E5620" s="3">
        <f t="shared" si="1267"/>
        <v>2013</v>
      </c>
      <c r="F5620" s="3">
        <f t="shared" si="1268"/>
        <v>9</v>
      </c>
      <c r="G5620" s="3">
        <f t="shared" si="1269"/>
        <v>10</v>
      </c>
      <c r="H5620" s="3">
        <f t="shared" si="1270"/>
        <v>22</v>
      </c>
      <c r="I5620" s="3">
        <f t="shared" si="1271"/>
        <v>19</v>
      </c>
      <c r="J5620" s="3">
        <f t="shared" si="1272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273"/>
        <v>YES</v>
      </c>
      <c r="Q5620" t="str">
        <f t="shared" si="1274"/>
        <v>NO</v>
      </c>
      <c r="R5620" t="str">
        <f t="shared" si="1275"/>
        <v>NO</v>
      </c>
      <c r="S5620">
        <v>1500</v>
      </c>
      <c r="T5620" t="s">
        <v>14</v>
      </c>
      <c r="U5620" t="str">
        <f t="shared" si="1262"/>
        <v>Massachusetts Ave</v>
      </c>
      <c r="V5620" t="s">
        <v>97</v>
      </c>
      <c r="W5620" t="str">
        <f t="shared" si="1263"/>
        <v>Peabody St</v>
      </c>
      <c r="X5620" t="str">
        <f>IF(ISBLANK(S5620),"Intersection","Non-Intersection")</f>
        <v>Non-Intersection</v>
      </c>
      <c r="Y5620" t="s">
        <v>5786</v>
      </c>
      <c r="Z5620" t="str">
        <f t="shared" si="1264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265"/>
        <v>41275</v>
      </c>
      <c r="D5621" s="4">
        <f t="shared" si="1266"/>
        <v>0.69041095890410964</v>
      </c>
      <c r="E5621" s="3">
        <f t="shared" si="1267"/>
        <v>2013</v>
      </c>
      <c r="F5621" s="3">
        <f t="shared" si="1268"/>
        <v>9</v>
      </c>
      <c r="G5621" s="3">
        <f t="shared" si="1269"/>
        <v>10</v>
      </c>
      <c r="H5621" s="3">
        <f t="shared" si="1270"/>
        <v>13</v>
      </c>
      <c r="I5621" s="3">
        <f t="shared" si="1271"/>
        <v>3</v>
      </c>
      <c r="J5621" s="3">
        <f t="shared" si="1272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273"/>
        <v>YES</v>
      </c>
      <c r="Q5621" t="str">
        <f t="shared" si="1274"/>
        <v>YES</v>
      </c>
      <c r="R5621" t="str">
        <f t="shared" si="1275"/>
        <v>NO</v>
      </c>
      <c r="S5621">
        <v>2161</v>
      </c>
      <c r="T5621" t="s">
        <v>14</v>
      </c>
      <c r="U5621" t="str">
        <f t="shared" si="1262"/>
        <v>Massachusetts Ave</v>
      </c>
      <c r="W5621" t="str">
        <f t="shared" si="1263"/>
        <v/>
      </c>
      <c r="X5621" t="str">
        <f>IF(ISBLANK(S5621),"Intersection","Non-Intersection")</f>
        <v>Non-Intersection</v>
      </c>
      <c r="Y5621" t="s">
        <v>1363</v>
      </c>
      <c r="Z5621" t="str">
        <f t="shared" si="1264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265"/>
        <v>41275</v>
      </c>
      <c r="D5622" s="4">
        <f t="shared" si="1266"/>
        <v>0.69041095890410964</v>
      </c>
      <c r="E5622" s="3">
        <f t="shared" si="1267"/>
        <v>2013</v>
      </c>
      <c r="F5622" s="3">
        <f t="shared" si="1268"/>
        <v>9</v>
      </c>
      <c r="G5622" s="3">
        <f t="shared" si="1269"/>
        <v>10</v>
      </c>
      <c r="H5622" s="3">
        <f t="shared" si="1270"/>
        <v>13</v>
      </c>
      <c r="I5622" s="3">
        <f t="shared" si="1271"/>
        <v>35</v>
      </c>
      <c r="J5622" s="3">
        <f t="shared" si="1272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273"/>
        <v>YES</v>
      </c>
      <c r="Q5622" t="str">
        <f t="shared" si="1274"/>
        <v>NO</v>
      </c>
      <c r="R5622" t="str">
        <f t="shared" si="1275"/>
        <v>NO</v>
      </c>
      <c r="T5622" t="s">
        <v>19</v>
      </c>
      <c r="U5622" t="str">
        <f t="shared" si="1262"/>
        <v>Cambridge St</v>
      </c>
      <c r="V5622" t="s">
        <v>1739</v>
      </c>
      <c r="W5622" t="str">
        <f t="shared" si="1263"/>
        <v>Harding St</v>
      </c>
      <c r="X5622" t="str">
        <f>IF(ISBLANK(S5622),"Intersection","Non-Intersection")</f>
        <v>Intersection</v>
      </c>
      <c r="Y5622" t="s">
        <v>1740</v>
      </c>
      <c r="Z5622" t="str">
        <f t="shared" si="1264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265"/>
        <v>41275</v>
      </c>
      <c r="D5623" s="4">
        <f t="shared" si="1266"/>
        <v>0.69041095890410964</v>
      </c>
      <c r="E5623" s="3">
        <f t="shared" si="1267"/>
        <v>2013</v>
      </c>
      <c r="F5623" s="3">
        <f t="shared" si="1268"/>
        <v>9</v>
      </c>
      <c r="G5623" s="3">
        <f t="shared" si="1269"/>
        <v>10</v>
      </c>
      <c r="H5623" s="3">
        <f t="shared" si="1270"/>
        <v>18</v>
      </c>
      <c r="I5623" s="3">
        <f t="shared" si="1271"/>
        <v>42</v>
      </c>
      <c r="J5623" s="3">
        <f t="shared" si="1272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273"/>
        <v>YES</v>
      </c>
      <c r="Q5623" t="str">
        <f t="shared" si="1274"/>
        <v>YES</v>
      </c>
      <c r="R5623" t="str">
        <f t="shared" si="1275"/>
        <v>NO</v>
      </c>
      <c r="T5623" t="s">
        <v>14</v>
      </c>
      <c r="U5623" t="str">
        <f t="shared" si="1262"/>
        <v>Massachusetts Ave</v>
      </c>
      <c r="V5623" t="s">
        <v>1492</v>
      </c>
      <c r="W5623" t="str">
        <f t="shared" si="1263"/>
        <v>Exeter Park</v>
      </c>
      <c r="X5623" t="str">
        <f>IF(ISBLANK(S5623),"Intersection","Non-Intersection")</f>
        <v>Intersection</v>
      </c>
      <c r="Y5623" t="s">
        <v>1493</v>
      </c>
      <c r="Z5623" t="str">
        <f t="shared" si="1264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265"/>
        <v>41275</v>
      </c>
      <c r="D5624" s="4">
        <f t="shared" si="1266"/>
        <v>0.69315068493150689</v>
      </c>
      <c r="E5624" s="3">
        <f t="shared" si="1267"/>
        <v>2013</v>
      </c>
      <c r="F5624" s="3">
        <f t="shared" si="1268"/>
        <v>9</v>
      </c>
      <c r="G5624" s="3">
        <f t="shared" si="1269"/>
        <v>11</v>
      </c>
      <c r="H5624" s="3">
        <f t="shared" si="1270"/>
        <v>8</v>
      </c>
      <c r="I5624" s="3">
        <f t="shared" si="1271"/>
        <v>13</v>
      </c>
      <c r="J5624" s="3">
        <f t="shared" si="1272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273"/>
        <v>YES</v>
      </c>
      <c r="Q5624" t="str">
        <f t="shared" si="1274"/>
        <v>NO</v>
      </c>
      <c r="R5624" t="str">
        <f t="shared" si="1275"/>
        <v>NO</v>
      </c>
      <c r="T5624" t="s">
        <v>199</v>
      </c>
      <c r="U5624" t="str">
        <f t="shared" si="1262"/>
        <v>Brattle St</v>
      </c>
      <c r="V5624" t="s">
        <v>326</v>
      </c>
      <c r="W5624" t="str">
        <f t="shared" si="1263"/>
        <v>Jfk St</v>
      </c>
      <c r="X5624" t="str">
        <f>IF(ISBLANK(S5624),"Intersection","Non-Intersection")</f>
        <v>Intersection</v>
      </c>
      <c r="Y5624" t="s">
        <v>574</v>
      </c>
      <c r="Z5624" t="str">
        <f t="shared" si="1264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265"/>
        <v>41275</v>
      </c>
      <c r="D5625" s="4">
        <f t="shared" si="1266"/>
        <v>0.69315068493150689</v>
      </c>
      <c r="E5625" s="3">
        <f t="shared" si="1267"/>
        <v>2013</v>
      </c>
      <c r="F5625" s="3">
        <f t="shared" si="1268"/>
        <v>9</v>
      </c>
      <c r="G5625" s="3">
        <f t="shared" si="1269"/>
        <v>11</v>
      </c>
      <c r="H5625" s="3">
        <f t="shared" si="1270"/>
        <v>9</v>
      </c>
      <c r="I5625" s="3">
        <f t="shared" si="1271"/>
        <v>0</v>
      </c>
      <c r="J5625" s="3">
        <f t="shared" si="1272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273"/>
        <v>YES</v>
      </c>
      <c r="Q5625" t="str">
        <f t="shared" si="1274"/>
        <v>NO</v>
      </c>
      <c r="R5625" t="str">
        <f t="shared" si="1275"/>
        <v>NO</v>
      </c>
      <c r="T5625" t="s">
        <v>1062</v>
      </c>
      <c r="U5625" t="str">
        <f t="shared" si="1262"/>
        <v>Cambridgeside Pl</v>
      </c>
      <c r="W5625" t="str">
        <f t="shared" si="1263"/>
        <v/>
      </c>
      <c r="X5625" t="str">
        <f>IF(ISBLANK(S5625),"Intersection","Non-Intersection")</f>
        <v>Intersection</v>
      </c>
      <c r="Y5625" t="s">
        <v>1283</v>
      </c>
      <c r="Z5625" t="str">
        <f t="shared" si="1264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265"/>
        <v>41275</v>
      </c>
      <c r="D5626" s="4">
        <f t="shared" si="1266"/>
        <v>0.69315068493150689</v>
      </c>
      <c r="E5626" s="3">
        <f t="shared" si="1267"/>
        <v>2013</v>
      </c>
      <c r="F5626" s="3">
        <f t="shared" si="1268"/>
        <v>9</v>
      </c>
      <c r="G5626" s="3">
        <f t="shared" si="1269"/>
        <v>11</v>
      </c>
      <c r="H5626" s="3">
        <f t="shared" si="1270"/>
        <v>7</v>
      </c>
      <c r="I5626" s="3">
        <f t="shared" si="1271"/>
        <v>5</v>
      </c>
      <c r="J5626" s="3">
        <f t="shared" si="1272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273"/>
        <v>YES</v>
      </c>
      <c r="Q5626" t="str">
        <f t="shared" si="1274"/>
        <v>NO</v>
      </c>
      <c r="R5626" t="str">
        <f t="shared" si="1275"/>
        <v>NO</v>
      </c>
      <c r="T5626" t="s">
        <v>14</v>
      </c>
      <c r="U5626" t="str">
        <f t="shared" si="1262"/>
        <v>Massachusetts Ave</v>
      </c>
      <c r="V5626" t="s">
        <v>553</v>
      </c>
      <c r="W5626" t="str">
        <f t="shared" si="1263"/>
        <v>Cameron Ave</v>
      </c>
      <c r="X5626" t="str">
        <f>IF(ISBLANK(S5626),"Intersection","Non-Intersection")</f>
        <v>Intersection</v>
      </c>
      <c r="Y5626" t="s">
        <v>554</v>
      </c>
      <c r="Z5626" t="str">
        <f t="shared" si="1264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265"/>
        <v>41275</v>
      </c>
      <c r="D5627" s="4">
        <f t="shared" si="1266"/>
        <v>0.69315068493150689</v>
      </c>
      <c r="E5627" s="3">
        <f t="shared" si="1267"/>
        <v>2013</v>
      </c>
      <c r="F5627" s="3">
        <f t="shared" si="1268"/>
        <v>9</v>
      </c>
      <c r="G5627" s="3">
        <f t="shared" si="1269"/>
        <v>11</v>
      </c>
      <c r="H5627" s="3">
        <f t="shared" si="1270"/>
        <v>14</v>
      </c>
      <c r="I5627" s="3">
        <f t="shared" si="1271"/>
        <v>15</v>
      </c>
      <c r="J5627" s="3">
        <f t="shared" si="1272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273"/>
        <v>YES</v>
      </c>
      <c r="Q5627" t="str">
        <f t="shared" si="1274"/>
        <v>NO</v>
      </c>
      <c r="R5627" t="str">
        <f t="shared" si="1275"/>
        <v>NO</v>
      </c>
      <c r="S5627">
        <v>2500</v>
      </c>
      <c r="T5627" t="s">
        <v>14</v>
      </c>
      <c r="U5627" t="str">
        <f t="shared" si="1262"/>
        <v>Massachusetts Ave</v>
      </c>
      <c r="W5627" t="str">
        <f t="shared" si="1263"/>
        <v/>
      </c>
      <c r="X5627" t="str">
        <f>IF(ISBLANK(S5627),"Intersection","Non-Intersection")</f>
        <v>Non-Intersection</v>
      </c>
      <c r="Y5627" t="s">
        <v>3846</v>
      </c>
      <c r="Z5627" t="str">
        <f t="shared" si="1264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265"/>
        <v>41275</v>
      </c>
      <c r="D5628" s="4">
        <f t="shared" si="1266"/>
        <v>0.69589041095890414</v>
      </c>
      <c r="E5628" s="3">
        <f t="shared" si="1267"/>
        <v>2013</v>
      </c>
      <c r="F5628" s="3">
        <f t="shared" si="1268"/>
        <v>9</v>
      </c>
      <c r="G5628" s="3">
        <f t="shared" si="1269"/>
        <v>12</v>
      </c>
      <c r="H5628" s="3">
        <f t="shared" si="1270"/>
        <v>7</v>
      </c>
      <c r="I5628" s="3">
        <f t="shared" si="1271"/>
        <v>50</v>
      </c>
      <c r="J5628" s="3">
        <f t="shared" si="1272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273"/>
        <v>YES</v>
      </c>
      <c r="Q5628" t="str">
        <f t="shared" si="1274"/>
        <v>NO</v>
      </c>
      <c r="R5628" t="str">
        <f t="shared" si="1275"/>
        <v>NO</v>
      </c>
      <c r="T5628" t="s">
        <v>260</v>
      </c>
      <c r="U5628" t="str">
        <f t="shared" si="1262"/>
        <v>Third St</v>
      </c>
      <c r="V5628" t="s">
        <v>380</v>
      </c>
      <c r="W5628" t="str">
        <f t="shared" si="1263"/>
        <v>Charles St</v>
      </c>
      <c r="X5628" t="str">
        <f>IF(ISBLANK(S5628),"Intersection","Non-Intersection")</f>
        <v>Intersection</v>
      </c>
      <c r="Y5628" t="s">
        <v>3474</v>
      </c>
      <c r="Z5628" t="str">
        <f t="shared" si="1264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265"/>
        <v>41275</v>
      </c>
      <c r="D5629" s="4">
        <f t="shared" si="1266"/>
        <v>0.69589041095890414</v>
      </c>
      <c r="E5629" s="3">
        <f t="shared" si="1267"/>
        <v>2013</v>
      </c>
      <c r="F5629" s="3">
        <f t="shared" si="1268"/>
        <v>9</v>
      </c>
      <c r="G5629" s="3">
        <f t="shared" si="1269"/>
        <v>12</v>
      </c>
      <c r="H5629" s="3">
        <f t="shared" si="1270"/>
        <v>12</v>
      </c>
      <c r="I5629" s="3">
        <f t="shared" si="1271"/>
        <v>55</v>
      </c>
      <c r="J5629" s="3">
        <f t="shared" si="1272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273"/>
        <v>YES</v>
      </c>
      <c r="Q5629" t="str">
        <f t="shared" si="1274"/>
        <v>NO</v>
      </c>
      <c r="R5629" t="str">
        <f t="shared" si="1275"/>
        <v>NO</v>
      </c>
      <c r="T5629" t="s">
        <v>15</v>
      </c>
      <c r="U5629" t="str">
        <f t="shared" si="1262"/>
        <v>Rindge Ave</v>
      </c>
      <c r="W5629" t="str">
        <f t="shared" si="1263"/>
        <v/>
      </c>
      <c r="X5629" t="str">
        <f>IF(ISBLANK(S5629),"Intersection","Non-Intersection")</f>
        <v>Intersection</v>
      </c>
      <c r="Y5629" t="s">
        <v>2068</v>
      </c>
      <c r="Z5629" t="str">
        <f t="shared" si="1264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265"/>
        <v>41275</v>
      </c>
      <c r="D5630" s="4">
        <f t="shared" si="1266"/>
        <v>0.69589041095890414</v>
      </c>
      <c r="E5630" s="3">
        <f t="shared" si="1267"/>
        <v>2013</v>
      </c>
      <c r="F5630" s="3">
        <f t="shared" si="1268"/>
        <v>9</v>
      </c>
      <c r="G5630" s="3">
        <f t="shared" si="1269"/>
        <v>12</v>
      </c>
      <c r="H5630" s="3">
        <f t="shared" si="1270"/>
        <v>15</v>
      </c>
      <c r="I5630" s="3">
        <f t="shared" si="1271"/>
        <v>40</v>
      </c>
      <c r="J5630" s="3">
        <f t="shared" si="1272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273"/>
        <v>YES</v>
      </c>
      <c r="Q5630" t="str">
        <f t="shared" si="1274"/>
        <v>YES</v>
      </c>
      <c r="R5630" t="str">
        <f t="shared" si="1275"/>
        <v>NO</v>
      </c>
      <c r="S5630">
        <v>326</v>
      </c>
      <c r="T5630" t="s">
        <v>105</v>
      </c>
      <c r="U5630" t="str">
        <f t="shared" si="1262"/>
        <v>Broadway</v>
      </c>
      <c r="W5630" t="str">
        <f t="shared" si="1263"/>
        <v/>
      </c>
      <c r="X5630" t="str">
        <f>IF(ISBLANK(S5630),"Intersection","Non-Intersection")</f>
        <v>Non-Intersection</v>
      </c>
      <c r="Y5630" t="s">
        <v>5989</v>
      </c>
      <c r="Z5630" t="str">
        <f t="shared" si="1264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265"/>
        <v>41275</v>
      </c>
      <c r="D5631" s="4">
        <f t="shared" si="1266"/>
        <v>0.69589041095890414</v>
      </c>
      <c r="E5631" s="3">
        <f t="shared" si="1267"/>
        <v>2013</v>
      </c>
      <c r="F5631" s="3">
        <f t="shared" si="1268"/>
        <v>9</v>
      </c>
      <c r="G5631" s="3">
        <f t="shared" si="1269"/>
        <v>12</v>
      </c>
      <c r="H5631" s="3">
        <f t="shared" si="1270"/>
        <v>15</v>
      </c>
      <c r="I5631" s="3">
        <f t="shared" si="1271"/>
        <v>0</v>
      </c>
      <c r="J5631" s="3">
        <f t="shared" si="1272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273"/>
        <v>YES</v>
      </c>
      <c r="Q5631" t="str">
        <f t="shared" si="1274"/>
        <v>NO</v>
      </c>
      <c r="R5631" t="str">
        <f t="shared" si="1275"/>
        <v>NO</v>
      </c>
      <c r="S5631">
        <v>59.5</v>
      </c>
      <c r="T5631" t="s">
        <v>178</v>
      </c>
      <c r="U5631" t="str">
        <f t="shared" si="1262"/>
        <v>Pleasant St</v>
      </c>
      <c r="W5631" t="str">
        <f t="shared" si="1263"/>
        <v/>
      </c>
      <c r="X5631" t="str">
        <f>IF(ISBLANK(S5631),"Intersection","Non-Intersection")</f>
        <v>Non-Intersection</v>
      </c>
      <c r="Y5631" t="s">
        <v>5991</v>
      </c>
      <c r="Z5631" t="str">
        <f t="shared" si="1264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265"/>
        <v>41275</v>
      </c>
      <c r="D5632" s="4">
        <f t="shared" si="1266"/>
        <v>0.69589041095890414</v>
      </c>
      <c r="E5632" s="3">
        <f t="shared" si="1267"/>
        <v>2013</v>
      </c>
      <c r="F5632" s="3">
        <f t="shared" si="1268"/>
        <v>9</v>
      </c>
      <c r="G5632" s="3">
        <f t="shared" si="1269"/>
        <v>12</v>
      </c>
      <c r="H5632" s="3">
        <f t="shared" si="1270"/>
        <v>9</v>
      </c>
      <c r="I5632" s="3">
        <f t="shared" si="1271"/>
        <v>18</v>
      </c>
      <c r="J5632" s="3">
        <f t="shared" si="1272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273"/>
        <v>YES</v>
      </c>
      <c r="Q5632" t="str">
        <f t="shared" si="1274"/>
        <v>NO</v>
      </c>
      <c r="R5632" t="str">
        <f t="shared" si="1275"/>
        <v>NO</v>
      </c>
      <c r="T5632" t="s">
        <v>185</v>
      </c>
      <c r="U5632" t="str">
        <f t="shared" si="1262"/>
        <v>Garden St</v>
      </c>
      <c r="V5632" t="s">
        <v>145</v>
      </c>
      <c r="W5632" t="str">
        <f t="shared" si="1263"/>
        <v>Walker St</v>
      </c>
      <c r="X5632" t="str">
        <f>IF(ISBLANK(S5632),"Intersection","Non-Intersection")</f>
        <v>Intersection</v>
      </c>
      <c r="Y5632" t="s">
        <v>3671</v>
      </c>
      <c r="Z5632" t="str">
        <f t="shared" si="1264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265"/>
        <v>41275</v>
      </c>
      <c r="D5633" s="4">
        <f t="shared" si="1266"/>
        <v>0.69863013698630139</v>
      </c>
      <c r="E5633" s="3">
        <f t="shared" si="1267"/>
        <v>2013</v>
      </c>
      <c r="F5633" s="3">
        <f t="shared" si="1268"/>
        <v>9</v>
      </c>
      <c r="G5633" s="3">
        <f t="shared" si="1269"/>
        <v>13</v>
      </c>
      <c r="H5633" s="3">
        <f t="shared" si="1270"/>
        <v>8</v>
      </c>
      <c r="I5633" s="3">
        <f t="shared" si="1271"/>
        <v>4</v>
      </c>
      <c r="J5633" s="3">
        <f t="shared" si="1272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273"/>
        <v>YES</v>
      </c>
      <c r="Q5633" t="str">
        <f t="shared" si="1274"/>
        <v>NO</v>
      </c>
      <c r="R5633" t="str">
        <f t="shared" si="1275"/>
        <v>NO</v>
      </c>
      <c r="S5633">
        <v>75</v>
      </c>
      <c r="T5633" t="s">
        <v>198</v>
      </c>
      <c r="U5633" t="str">
        <f t="shared" si="1262"/>
        <v>Mount Auburn St</v>
      </c>
      <c r="W5633" t="str">
        <f t="shared" si="1263"/>
        <v/>
      </c>
      <c r="X5633" t="str">
        <f>IF(ISBLANK(S5633),"Intersection","Non-Intersection")</f>
        <v>Non-Intersection</v>
      </c>
      <c r="Y5633" t="s">
        <v>5993</v>
      </c>
      <c r="Z5633" t="str">
        <f t="shared" si="1264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265"/>
        <v>41275</v>
      </c>
      <c r="D5634" s="4">
        <f t="shared" si="1266"/>
        <v>0.69863013698630139</v>
      </c>
      <c r="E5634" s="3">
        <f t="shared" si="1267"/>
        <v>2013</v>
      </c>
      <c r="F5634" s="3">
        <f t="shared" si="1268"/>
        <v>9</v>
      </c>
      <c r="G5634" s="3">
        <f t="shared" si="1269"/>
        <v>13</v>
      </c>
      <c r="H5634" s="3">
        <f t="shared" si="1270"/>
        <v>12</v>
      </c>
      <c r="I5634" s="3">
        <f t="shared" si="1271"/>
        <v>0</v>
      </c>
      <c r="J5634" s="3">
        <f t="shared" si="1272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273"/>
        <v>YES</v>
      </c>
      <c r="Q5634" t="str">
        <f t="shared" si="1274"/>
        <v>NO</v>
      </c>
      <c r="R5634" t="str">
        <f t="shared" si="1275"/>
        <v>NO</v>
      </c>
      <c r="T5634" t="s">
        <v>19</v>
      </c>
      <c r="U5634" t="str">
        <f t="shared" si="1262"/>
        <v>Cambridge St</v>
      </c>
      <c r="W5634" t="str">
        <f t="shared" si="1263"/>
        <v/>
      </c>
      <c r="X5634" t="str">
        <f>IF(ISBLANK(S5634),"Intersection","Non-Intersection")</f>
        <v>Intersection</v>
      </c>
      <c r="Y5634" t="s">
        <v>2237</v>
      </c>
      <c r="Z5634" t="str">
        <f t="shared" si="1264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265"/>
        <v>41275</v>
      </c>
      <c r="D5635" s="4">
        <f t="shared" si="1266"/>
        <v>0.69863013698630139</v>
      </c>
      <c r="E5635" s="3">
        <f t="shared" si="1267"/>
        <v>2013</v>
      </c>
      <c r="F5635" s="3">
        <f t="shared" si="1268"/>
        <v>9</v>
      </c>
      <c r="G5635" s="3">
        <f t="shared" si="1269"/>
        <v>13</v>
      </c>
      <c r="H5635" s="3">
        <f t="shared" si="1270"/>
        <v>16</v>
      </c>
      <c r="I5635" s="3">
        <f t="shared" si="1271"/>
        <v>43</v>
      </c>
      <c r="J5635" s="3">
        <f t="shared" si="1272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273"/>
        <v>YES</v>
      </c>
      <c r="Q5635" t="str">
        <f t="shared" si="1274"/>
        <v>NO</v>
      </c>
      <c r="R5635" t="str">
        <f t="shared" si="1275"/>
        <v>NO</v>
      </c>
      <c r="T5635" t="s">
        <v>178</v>
      </c>
      <c r="U5635" t="str">
        <f t="shared" ref="U5635:U5698" si="1276">TRIM(PROPER(T5635))</f>
        <v>Pleasant St</v>
      </c>
      <c r="V5635" t="s">
        <v>5995</v>
      </c>
      <c r="W5635" t="str">
        <f t="shared" ref="W5635:W5698" si="1277">TRIM(PROPER(V5635))</f>
        <v>Fairmont St</v>
      </c>
      <c r="X5635" t="str">
        <f>IF(ISBLANK(S5635),"Intersection","Non-Intersection")</f>
        <v>Intersection</v>
      </c>
      <c r="Y5635" t="s">
        <v>5996</v>
      </c>
      <c r="Z5635" t="str">
        <f t="shared" ref="Z5635:Z5698" si="1278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265"/>
        <v>41275</v>
      </c>
      <c r="D5636" s="4">
        <f t="shared" si="1266"/>
        <v>0.69863013698630139</v>
      </c>
      <c r="E5636" s="3">
        <f t="shared" si="1267"/>
        <v>2013</v>
      </c>
      <c r="F5636" s="3">
        <f t="shared" si="1268"/>
        <v>9</v>
      </c>
      <c r="G5636" s="3">
        <f t="shared" si="1269"/>
        <v>13</v>
      </c>
      <c r="H5636" s="3">
        <f t="shared" si="1270"/>
        <v>17</v>
      </c>
      <c r="I5636" s="3">
        <f t="shared" si="1271"/>
        <v>10</v>
      </c>
      <c r="J5636" s="3">
        <f t="shared" si="1272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273"/>
        <v>YES</v>
      </c>
      <c r="Q5636" t="str">
        <f t="shared" si="1274"/>
        <v>YES</v>
      </c>
      <c r="R5636" t="str">
        <f t="shared" si="1275"/>
        <v>NO</v>
      </c>
      <c r="T5636" t="s">
        <v>142</v>
      </c>
      <c r="U5636" t="str">
        <f t="shared" si="1276"/>
        <v>Huron Ave</v>
      </c>
      <c r="V5636" t="s">
        <v>459</v>
      </c>
      <c r="W5636" t="str">
        <f t="shared" si="1277"/>
        <v>Fayerweather St</v>
      </c>
      <c r="X5636" t="str">
        <f>IF(ISBLANK(S5636),"Intersection","Non-Intersection")</f>
        <v>Intersection</v>
      </c>
      <c r="Y5636" t="s">
        <v>460</v>
      </c>
      <c r="Z5636" t="str">
        <f t="shared" si="1278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265"/>
        <v>41275</v>
      </c>
      <c r="D5637" s="4">
        <f t="shared" si="1266"/>
        <v>0.69863013698630139</v>
      </c>
      <c r="E5637" s="3">
        <f t="shared" si="1267"/>
        <v>2013</v>
      </c>
      <c r="F5637" s="3">
        <f t="shared" si="1268"/>
        <v>9</v>
      </c>
      <c r="G5637" s="3">
        <f t="shared" si="1269"/>
        <v>13</v>
      </c>
      <c r="H5637" s="3">
        <f t="shared" si="1270"/>
        <v>9</v>
      </c>
      <c r="I5637" s="3">
        <f t="shared" si="1271"/>
        <v>0</v>
      </c>
      <c r="J5637" s="3">
        <f t="shared" si="1272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273"/>
        <v>YES</v>
      </c>
      <c r="Q5637" t="str">
        <f t="shared" si="1274"/>
        <v>NO</v>
      </c>
      <c r="R5637" t="str">
        <f t="shared" si="1275"/>
        <v>NO</v>
      </c>
      <c r="S5637">
        <v>29</v>
      </c>
      <c r="T5637" t="s">
        <v>147</v>
      </c>
      <c r="U5637" t="str">
        <f t="shared" si="1276"/>
        <v>Sixth St</v>
      </c>
      <c r="W5637" t="str">
        <f t="shared" si="1277"/>
        <v/>
      </c>
      <c r="X5637" t="str">
        <f>IF(ISBLANK(S5637),"Intersection","Non-Intersection")</f>
        <v>Non-Intersection</v>
      </c>
      <c r="Y5637" t="s">
        <v>5997</v>
      </c>
      <c r="Z5637" t="str">
        <f t="shared" si="1278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265"/>
        <v>41275</v>
      </c>
      <c r="D5638" s="4">
        <f t="shared" si="1266"/>
        <v>0.69863013698630139</v>
      </c>
      <c r="E5638" s="3">
        <f t="shared" si="1267"/>
        <v>2013</v>
      </c>
      <c r="F5638" s="3">
        <f t="shared" si="1268"/>
        <v>9</v>
      </c>
      <c r="G5638" s="3">
        <f t="shared" si="1269"/>
        <v>13</v>
      </c>
      <c r="H5638" s="3">
        <f t="shared" si="1270"/>
        <v>16</v>
      </c>
      <c r="I5638" s="3">
        <f t="shared" si="1271"/>
        <v>30</v>
      </c>
      <c r="J5638" s="3">
        <f t="shared" si="1272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273"/>
        <v>YES</v>
      </c>
      <c r="Q5638" t="str">
        <f t="shared" si="1274"/>
        <v>NO</v>
      </c>
      <c r="R5638" t="str">
        <f t="shared" si="1275"/>
        <v>NO</v>
      </c>
      <c r="S5638">
        <v>106</v>
      </c>
      <c r="T5638" t="s">
        <v>146</v>
      </c>
      <c r="U5638" t="str">
        <f t="shared" si="1276"/>
        <v>Spring St</v>
      </c>
      <c r="W5638" t="str">
        <f t="shared" si="1277"/>
        <v/>
      </c>
      <c r="X5638" t="str">
        <f>IF(ISBLANK(S5638),"Intersection","Non-Intersection")</f>
        <v>Non-Intersection</v>
      </c>
      <c r="Y5638" t="s">
        <v>5999</v>
      </c>
      <c r="Z5638" t="str">
        <f t="shared" si="1278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265"/>
        <v>41275</v>
      </c>
      <c r="D5639" s="4">
        <f t="shared" si="1266"/>
        <v>0.70136986301369864</v>
      </c>
      <c r="E5639" s="3">
        <f t="shared" si="1267"/>
        <v>2013</v>
      </c>
      <c r="F5639" s="3">
        <f t="shared" si="1268"/>
        <v>9</v>
      </c>
      <c r="G5639" s="3">
        <f t="shared" si="1269"/>
        <v>14</v>
      </c>
      <c r="H5639" s="3">
        <f t="shared" si="1270"/>
        <v>23</v>
      </c>
      <c r="I5639" s="3">
        <f t="shared" si="1271"/>
        <v>10</v>
      </c>
      <c r="J5639" s="3">
        <f t="shared" si="1272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273"/>
        <v>YES</v>
      </c>
      <c r="Q5639" t="str">
        <f t="shared" si="1274"/>
        <v>NO</v>
      </c>
      <c r="R5639" t="str">
        <f t="shared" si="1275"/>
        <v>NO</v>
      </c>
      <c r="T5639" t="s">
        <v>4327</v>
      </c>
      <c r="U5639" t="str">
        <f t="shared" si="1276"/>
        <v>Banks St</v>
      </c>
      <c r="V5639" t="s">
        <v>651</v>
      </c>
      <c r="W5639" t="str">
        <f t="shared" si="1277"/>
        <v>Surrey St</v>
      </c>
      <c r="X5639" t="str">
        <f>IF(ISBLANK(S5639),"Intersection","Non-Intersection")</f>
        <v>Intersection</v>
      </c>
      <c r="Y5639" t="s">
        <v>6001</v>
      </c>
      <c r="Z5639" t="str">
        <f t="shared" si="1278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265"/>
        <v>41275</v>
      </c>
      <c r="D5640" s="4">
        <f t="shared" si="1266"/>
        <v>0.70136986301369864</v>
      </c>
      <c r="E5640" s="3">
        <f t="shared" si="1267"/>
        <v>2013</v>
      </c>
      <c r="F5640" s="3">
        <f t="shared" si="1268"/>
        <v>9</v>
      </c>
      <c r="G5640" s="3">
        <f t="shared" si="1269"/>
        <v>14</v>
      </c>
      <c r="H5640" s="3">
        <f t="shared" si="1270"/>
        <v>0</v>
      </c>
      <c r="I5640" s="3">
        <f t="shared" si="1271"/>
        <v>59</v>
      </c>
      <c r="J5640" s="3">
        <f t="shared" si="1272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273"/>
        <v>YES</v>
      </c>
      <c r="Q5640" t="str">
        <f t="shared" si="1274"/>
        <v>NO</v>
      </c>
      <c r="R5640" t="str">
        <f t="shared" si="1275"/>
        <v>NO</v>
      </c>
      <c r="S5640">
        <v>872</v>
      </c>
      <c r="T5640" t="s">
        <v>14</v>
      </c>
      <c r="U5640" t="str">
        <f t="shared" si="1276"/>
        <v>Massachusetts Ave</v>
      </c>
      <c r="W5640" t="str">
        <f t="shared" si="1277"/>
        <v/>
      </c>
      <c r="X5640" t="str">
        <f>IF(ISBLANK(S5640),"Intersection","Non-Intersection")</f>
        <v>Non-Intersection</v>
      </c>
      <c r="Y5640" t="s">
        <v>2912</v>
      </c>
      <c r="Z5640" t="str">
        <f t="shared" si="1278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265"/>
        <v>41275</v>
      </c>
      <c r="D5641" s="4">
        <f t="shared" si="1266"/>
        <v>0.70136986301369864</v>
      </c>
      <c r="E5641" s="3">
        <f t="shared" si="1267"/>
        <v>2013</v>
      </c>
      <c r="F5641" s="3">
        <f t="shared" si="1268"/>
        <v>9</v>
      </c>
      <c r="G5641" s="3">
        <f t="shared" si="1269"/>
        <v>14</v>
      </c>
      <c r="H5641" s="3">
        <f t="shared" si="1270"/>
        <v>10</v>
      </c>
      <c r="I5641" s="3">
        <f t="shared" si="1271"/>
        <v>37</v>
      </c>
      <c r="J5641" s="3">
        <f t="shared" si="1272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273"/>
        <v>YES</v>
      </c>
      <c r="Q5641" t="str">
        <f t="shared" si="1274"/>
        <v>NO</v>
      </c>
      <c r="R5641" t="str">
        <f t="shared" si="1275"/>
        <v>NO</v>
      </c>
      <c r="S5641">
        <v>1360</v>
      </c>
      <c r="T5641" t="s">
        <v>19</v>
      </c>
      <c r="U5641" t="str">
        <f t="shared" si="1276"/>
        <v>Cambridge St</v>
      </c>
      <c r="W5641" t="str">
        <f t="shared" si="1277"/>
        <v/>
      </c>
      <c r="X5641" t="str">
        <f>IF(ISBLANK(S5641),"Intersection","Non-Intersection")</f>
        <v>Non-Intersection</v>
      </c>
      <c r="Y5641" t="s">
        <v>6003</v>
      </c>
      <c r="Z5641" t="str">
        <f t="shared" si="1278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265"/>
        <v>41275</v>
      </c>
      <c r="D5642" s="4">
        <f t="shared" si="1266"/>
        <v>0.70136986301369864</v>
      </c>
      <c r="E5642" s="3">
        <f t="shared" si="1267"/>
        <v>2013</v>
      </c>
      <c r="F5642" s="3">
        <f t="shared" si="1268"/>
        <v>9</v>
      </c>
      <c r="G5642" s="3">
        <f t="shared" si="1269"/>
        <v>14</v>
      </c>
      <c r="H5642" s="3">
        <f t="shared" si="1270"/>
        <v>20</v>
      </c>
      <c r="I5642" s="3">
        <f t="shared" si="1271"/>
        <v>32</v>
      </c>
      <c r="J5642" s="3">
        <f t="shared" si="1272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273"/>
        <v>YES</v>
      </c>
      <c r="Q5642" t="str">
        <f t="shared" si="1274"/>
        <v>NO</v>
      </c>
      <c r="R5642" t="str">
        <f t="shared" si="1275"/>
        <v>NO</v>
      </c>
      <c r="S5642">
        <v>237</v>
      </c>
      <c r="T5642" t="s">
        <v>105</v>
      </c>
      <c r="U5642" t="str">
        <f t="shared" si="1276"/>
        <v>Broadway</v>
      </c>
      <c r="W5642" t="str">
        <f t="shared" si="1277"/>
        <v/>
      </c>
      <c r="X5642" t="str">
        <f>IF(ISBLANK(S5642),"Intersection","Non-Intersection")</f>
        <v>Non-Intersection</v>
      </c>
      <c r="Y5642" t="s">
        <v>6005</v>
      </c>
      <c r="Z5642" t="str">
        <f t="shared" si="1278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265"/>
        <v>41275</v>
      </c>
      <c r="D5643" s="4">
        <f t="shared" si="1266"/>
        <v>0.70136986301369864</v>
      </c>
      <c r="E5643" s="3">
        <f t="shared" si="1267"/>
        <v>2013</v>
      </c>
      <c r="F5643" s="3">
        <f t="shared" si="1268"/>
        <v>9</v>
      </c>
      <c r="G5643" s="3">
        <f t="shared" si="1269"/>
        <v>14</v>
      </c>
      <c r="H5643" s="3">
        <f t="shared" si="1270"/>
        <v>12</v>
      </c>
      <c r="I5643" s="3">
        <f t="shared" si="1271"/>
        <v>0</v>
      </c>
      <c r="J5643" s="3">
        <f t="shared" si="1272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273"/>
        <v>YES</v>
      </c>
      <c r="Q5643" t="str">
        <f t="shared" si="1274"/>
        <v>NO</v>
      </c>
      <c r="R5643" t="str">
        <f t="shared" si="1275"/>
        <v>NO</v>
      </c>
      <c r="T5643" t="s">
        <v>61</v>
      </c>
      <c r="U5643" t="str">
        <f t="shared" si="1276"/>
        <v>First St</v>
      </c>
      <c r="W5643" t="str">
        <f t="shared" si="1277"/>
        <v/>
      </c>
      <c r="X5643" t="str">
        <f>IF(ISBLANK(S5643),"Intersection","Non-Intersection")</f>
        <v>Intersection</v>
      </c>
      <c r="Y5643" t="s">
        <v>3626</v>
      </c>
      <c r="Z5643" t="str">
        <f t="shared" si="1278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265"/>
        <v>41275</v>
      </c>
      <c r="D5644" s="4">
        <f t="shared" si="1266"/>
        <v>0.70410958904109588</v>
      </c>
      <c r="E5644" s="3">
        <f t="shared" si="1267"/>
        <v>2013</v>
      </c>
      <c r="F5644" s="3">
        <f t="shared" si="1268"/>
        <v>9</v>
      </c>
      <c r="G5644" s="3">
        <f t="shared" si="1269"/>
        <v>15</v>
      </c>
      <c r="H5644" s="3">
        <f t="shared" si="1270"/>
        <v>10</v>
      </c>
      <c r="I5644" s="3">
        <f t="shared" si="1271"/>
        <v>30</v>
      </c>
      <c r="J5644" s="3">
        <f t="shared" si="1272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273"/>
        <v>YES</v>
      </c>
      <c r="Q5644" t="str">
        <f t="shared" si="1274"/>
        <v>NO</v>
      </c>
      <c r="R5644" t="str">
        <f t="shared" si="1275"/>
        <v>NO</v>
      </c>
      <c r="T5644" t="s">
        <v>79</v>
      </c>
      <c r="U5644" t="str">
        <f t="shared" si="1276"/>
        <v>Ames St</v>
      </c>
      <c r="V5644" t="s">
        <v>203</v>
      </c>
      <c r="W5644" t="str">
        <f t="shared" si="1277"/>
        <v>Memorial Dr</v>
      </c>
      <c r="X5644" t="str">
        <f>IF(ISBLANK(S5644),"Intersection","Non-Intersection")</f>
        <v>Intersection</v>
      </c>
      <c r="Y5644" t="s">
        <v>3663</v>
      </c>
      <c r="Z5644" t="str">
        <f t="shared" si="1278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265"/>
        <v>41275</v>
      </c>
      <c r="D5645" s="4">
        <f t="shared" si="1266"/>
        <v>0.70684931506849313</v>
      </c>
      <c r="E5645" s="3">
        <f t="shared" si="1267"/>
        <v>2013</v>
      </c>
      <c r="F5645" s="3">
        <f t="shared" si="1268"/>
        <v>9</v>
      </c>
      <c r="G5645" s="3">
        <f t="shared" si="1269"/>
        <v>16</v>
      </c>
      <c r="H5645" s="3">
        <f t="shared" si="1270"/>
        <v>21</v>
      </c>
      <c r="I5645" s="3">
        <f t="shared" si="1271"/>
        <v>0</v>
      </c>
      <c r="J5645" s="3">
        <f t="shared" si="1272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273"/>
        <v>YES</v>
      </c>
      <c r="Q5645" t="str">
        <f t="shared" si="1274"/>
        <v>NO</v>
      </c>
      <c r="R5645" t="str">
        <f t="shared" si="1275"/>
        <v>NO</v>
      </c>
      <c r="T5645" t="s">
        <v>5155</v>
      </c>
      <c r="U5645" t="str">
        <f t="shared" si="1276"/>
        <v>Hurlbut St</v>
      </c>
      <c r="V5645" t="s">
        <v>354</v>
      </c>
      <c r="W5645" t="str">
        <f t="shared" si="1277"/>
        <v>Linnaean St</v>
      </c>
      <c r="X5645" t="str">
        <f>IF(ISBLANK(S5645),"Intersection","Non-Intersection")</f>
        <v>Intersection</v>
      </c>
      <c r="Y5645" t="s">
        <v>6007</v>
      </c>
      <c r="Z5645" t="str">
        <f t="shared" si="1278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265"/>
        <v>41275</v>
      </c>
      <c r="D5646" s="4">
        <f t="shared" si="1266"/>
        <v>0.70684931506849313</v>
      </c>
      <c r="E5646" s="3">
        <f t="shared" si="1267"/>
        <v>2013</v>
      </c>
      <c r="F5646" s="3">
        <f t="shared" si="1268"/>
        <v>9</v>
      </c>
      <c r="G5646" s="3">
        <f t="shared" si="1269"/>
        <v>16</v>
      </c>
      <c r="H5646" s="3">
        <f t="shared" si="1270"/>
        <v>15</v>
      </c>
      <c r="I5646" s="3">
        <f t="shared" si="1271"/>
        <v>59</v>
      </c>
      <c r="J5646" s="3">
        <f t="shared" si="1272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273"/>
        <v>YES</v>
      </c>
      <c r="Q5646" t="str">
        <f t="shared" si="1274"/>
        <v>NO</v>
      </c>
      <c r="R5646" t="str">
        <f t="shared" si="1275"/>
        <v>NO</v>
      </c>
      <c r="S5646">
        <v>251</v>
      </c>
      <c r="T5646" t="s">
        <v>74</v>
      </c>
      <c r="U5646" t="str">
        <f t="shared" si="1276"/>
        <v>Hampshire St</v>
      </c>
      <c r="W5646" t="str">
        <f t="shared" si="1277"/>
        <v/>
      </c>
      <c r="X5646" t="str">
        <f>IF(ISBLANK(S5646),"Intersection","Non-Intersection")</f>
        <v>Non-Intersection</v>
      </c>
      <c r="Y5646" t="s">
        <v>6009</v>
      </c>
      <c r="Z5646" t="str">
        <f t="shared" si="1278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265"/>
        <v>41275</v>
      </c>
      <c r="D5647" s="4">
        <f t="shared" si="1266"/>
        <v>0.70684931506849313</v>
      </c>
      <c r="E5647" s="3">
        <f t="shared" si="1267"/>
        <v>2013</v>
      </c>
      <c r="F5647" s="3">
        <f t="shared" si="1268"/>
        <v>9</v>
      </c>
      <c r="G5647" s="3">
        <f t="shared" si="1269"/>
        <v>16</v>
      </c>
      <c r="H5647" s="3">
        <f t="shared" si="1270"/>
        <v>10</v>
      </c>
      <c r="I5647" s="3">
        <f t="shared" si="1271"/>
        <v>19</v>
      </c>
      <c r="J5647" s="3">
        <f t="shared" si="1272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273"/>
        <v>YES</v>
      </c>
      <c r="Q5647" t="str">
        <f t="shared" si="1274"/>
        <v>NO</v>
      </c>
      <c r="R5647" t="str">
        <f t="shared" si="1275"/>
        <v>NO</v>
      </c>
      <c r="S5647">
        <v>56</v>
      </c>
      <c r="T5647" t="s">
        <v>147</v>
      </c>
      <c r="U5647" t="str">
        <f t="shared" si="1276"/>
        <v>Sixth St</v>
      </c>
      <c r="W5647" t="str">
        <f t="shared" si="1277"/>
        <v/>
      </c>
      <c r="X5647" t="str">
        <f>IF(ISBLANK(S5647),"Intersection","Non-Intersection")</f>
        <v>Non-Intersection</v>
      </c>
      <c r="Y5647" t="s">
        <v>6011</v>
      </c>
      <c r="Z5647" t="str">
        <f t="shared" si="1278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265"/>
        <v>41275</v>
      </c>
      <c r="D5648" s="4">
        <f t="shared" si="1266"/>
        <v>0.70684931506849313</v>
      </c>
      <c r="E5648" s="3">
        <f t="shared" si="1267"/>
        <v>2013</v>
      </c>
      <c r="F5648" s="3">
        <f t="shared" si="1268"/>
        <v>9</v>
      </c>
      <c r="G5648" s="3">
        <f t="shared" si="1269"/>
        <v>16</v>
      </c>
      <c r="H5648" s="3">
        <f t="shared" si="1270"/>
        <v>14</v>
      </c>
      <c r="I5648" s="3">
        <f t="shared" si="1271"/>
        <v>29</v>
      </c>
      <c r="J5648" s="3">
        <f t="shared" si="1272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273"/>
        <v>YES</v>
      </c>
      <c r="Q5648" t="str">
        <f t="shared" si="1274"/>
        <v>NO</v>
      </c>
      <c r="R5648" t="str">
        <f t="shared" si="1275"/>
        <v>NO</v>
      </c>
      <c r="S5648">
        <v>20</v>
      </c>
      <c r="T5648" t="s">
        <v>325</v>
      </c>
      <c r="U5648" t="str">
        <f t="shared" si="1276"/>
        <v>Eliot St</v>
      </c>
      <c r="W5648" t="str">
        <f t="shared" si="1277"/>
        <v/>
      </c>
      <c r="X5648" t="str">
        <f>IF(ISBLANK(S5648),"Intersection","Non-Intersection")</f>
        <v>Non-Intersection</v>
      </c>
      <c r="Y5648" t="s">
        <v>3316</v>
      </c>
      <c r="Z5648" t="str">
        <f t="shared" si="1278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265"/>
        <v>41275</v>
      </c>
      <c r="D5649" s="4">
        <f t="shared" si="1266"/>
        <v>0.70958904109589038</v>
      </c>
      <c r="E5649" s="3">
        <f t="shared" si="1267"/>
        <v>2013</v>
      </c>
      <c r="F5649" s="3">
        <f t="shared" si="1268"/>
        <v>9</v>
      </c>
      <c r="G5649" s="3">
        <f t="shared" si="1269"/>
        <v>17</v>
      </c>
      <c r="H5649" s="3">
        <f t="shared" si="1270"/>
        <v>15</v>
      </c>
      <c r="I5649" s="3">
        <f t="shared" si="1271"/>
        <v>59</v>
      </c>
      <c r="J5649" s="3">
        <f t="shared" si="1272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273"/>
        <v>YES</v>
      </c>
      <c r="Q5649" t="str">
        <f t="shared" si="1274"/>
        <v>NO</v>
      </c>
      <c r="R5649" t="str">
        <f t="shared" si="1275"/>
        <v>NO</v>
      </c>
      <c r="T5649" t="s">
        <v>199</v>
      </c>
      <c r="U5649" t="str">
        <f t="shared" si="1276"/>
        <v>Brattle St</v>
      </c>
      <c r="V5649" t="s">
        <v>1525</v>
      </c>
      <c r="W5649" t="str">
        <f t="shared" si="1277"/>
        <v>Lowell St</v>
      </c>
      <c r="X5649" t="str">
        <f>IF(ISBLANK(S5649),"Intersection","Non-Intersection")</f>
        <v>Intersection</v>
      </c>
      <c r="Y5649" t="s">
        <v>6013</v>
      </c>
      <c r="Z5649" t="str">
        <f t="shared" si="1278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265"/>
        <v>41275</v>
      </c>
      <c r="D5650" s="4">
        <f t="shared" si="1266"/>
        <v>0.71232876712328763</v>
      </c>
      <c r="E5650" s="3">
        <f t="shared" si="1267"/>
        <v>2013</v>
      </c>
      <c r="F5650" s="3">
        <f t="shared" si="1268"/>
        <v>9</v>
      </c>
      <c r="G5650" s="3">
        <f t="shared" si="1269"/>
        <v>18</v>
      </c>
      <c r="H5650" s="3">
        <f t="shared" si="1270"/>
        <v>8</v>
      </c>
      <c r="I5650" s="3">
        <f t="shared" si="1271"/>
        <v>46</v>
      </c>
      <c r="J5650" s="3">
        <f t="shared" si="1272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273"/>
        <v>YES</v>
      </c>
      <c r="Q5650" t="str">
        <f t="shared" si="1274"/>
        <v>NO</v>
      </c>
      <c r="R5650" t="str">
        <f t="shared" si="1275"/>
        <v>NO</v>
      </c>
      <c r="S5650">
        <v>4</v>
      </c>
      <c r="T5650" t="s">
        <v>3326</v>
      </c>
      <c r="U5650" t="str">
        <f t="shared" si="1276"/>
        <v>Decatur St</v>
      </c>
      <c r="W5650" t="str">
        <f t="shared" si="1277"/>
        <v/>
      </c>
      <c r="X5650" t="str">
        <f>IF(ISBLANK(S5650),"Intersection","Non-Intersection")</f>
        <v>Non-Intersection</v>
      </c>
      <c r="Y5650" t="s">
        <v>6015</v>
      </c>
      <c r="Z5650" t="str">
        <f t="shared" si="1278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265"/>
        <v>41275</v>
      </c>
      <c r="D5651" s="4">
        <f t="shared" si="1266"/>
        <v>0.71232876712328763</v>
      </c>
      <c r="E5651" s="3">
        <f t="shared" si="1267"/>
        <v>2013</v>
      </c>
      <c r="F5651" s="3">
        <f t="shared" si="1268"/>
        <v>9</v>
      </c>
      <c r="G5651" s="3">
        <f t="shared" si="1269"/>
        <v>18</v>
      </c>
      <c r="H5651" s="3">
        <f t="shared" si="1270"/>
        <v>9</v>
      </c>
      <c r="I5651" s="3">
        <f t="shared" si="1271"/>
        <v>30</v>
      </c>
      <c r="J5651" s="3">
        <f t="shared" si="1272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273"/>
        <v>YES</v>
      </c>
      <c r="Q5651" t="str">
        <f t="shared" si="1274"/>
        <v>NO</v>
      </c>
      <c r="R5651" t="str">
        <f t="shared" si="1275"/>
        <v>NO</v>
      </c>
      <c r="T5651" t="s">
        <v>14</v>
      </c>
      <c r="U5651" t="str">
        <f t="shared" si="1276"/>
        <v>Massachusetts Ave</v>
      </c>
      <c r="V5651" t="s">
        <v>199</v>
      </c>
      <c r="W5651" t="str">
        <f t="shared" si="1277"/>
        <v>Brattle St</v>
      </c>
      <c r="X5651" t="str">
        <f>IF(ISBLANK(S5651),"Intersection","Non-Intersection")</f>
        <v>Intersection</v>
      </c>
      <c r="Y5651" t="s">
        <v>2353</v>
      </c>
      <c r="Z5651" t="str">
        <f t="shared" si="1278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265"/>
        <v>41275</v>
      </c>
      <c r="D5652" s="4">
        <f t="shared" si="1266"/>
        <v>0.71506849315068488</v>
      </c>
      <c r="E5652" s="3">
        <f t="shared" si="1267"/>
        <v>2013</v>
      </c>
      <c r="F5652" s="3">
        <f t="shared" si="1268"/>
        <v>9</v>
      </c>
      <c r="G5652" s="3">
        <f t="shared" si="1269"/>
        <v>19</v>
      </c>
      <c r="H5652" s="3">
        <f t="shared" si="1270"/>
        <v>12</v>
      </c>
      <c r="I5652" s="3">
        <f t="shared" si="1271"/>
        <v>4</v>
      </c>
      <c r="J5652" s="3">
        <f t="shared" si="1272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273"/>
        <v>YES</v>
      </c>
      <c r="Q5652" t="str">
        <f t="shared" si="1274"/>
        <v>YES</v>
      </c>
      <c r="R5652" t="str">
        <f t="shared" si="1275"/>
        <v>NO</v>
      </c>
      <c r="T5652" t="s">
        <v>3588</v>
      </c>
      <c r="U5652" t="str">
        <f t="shared" si="1276"/>
        <v>Kirkland Rd</v>
      </c>
      <c r="V5652" t="s">
        <v>417</v>
      </c>
      <c r="W5652" t="str">
        <f t="shared" si="1277"/>
        <v>Myrtle Ave</v>
      </c>
      <c r="X5652" t="str">
        <f>IF(ISBLANK(S5652),"Intersection","Non-Intersection")</f>
        <v>Intersection</v>
      </c>
      <c r="Y5652" t="s">
        <v>6017</v>
      </c>
      <c r="Z5652" t="str">
        <f t="shared" si="1278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279">EOMONTH(B5653,MONTH(B5653)*-1)+1</f>
        <v>41275</v>
      </c>
      <c r="D5653" s="4">
        <f t="shared" ref="D5653:D5716" si="1280">YEARFRAC(C5653,B5653,1)</f>
        <v>0.71506849315068488</v>
      </c>
      <c r="E5653" s="3">
        <f t="shared" ref="E5653:E5716" si="1281">YEAR(B5653)</f>
        <v>2013</v>
      </c>
      <c r="F5653" s="3">
        <f t="shared" ref="F5653:F5716" si="1282">MONTH(B5653)</f>
        <v>9</v>
      </c>
      <c r="G5653" s="3">
        <f t="shared" ref="G5653:G5716" si="1283">DAY(B5653)</f>
        <v>19</v>
      </c>
      <c r="H5653" s="3">
        <f t="shared" ref="H5653:H5716" si="1284">HOUR(B5653)</f>
        <v>9</v>
      </c>
      <c r="I5653" s="3">
        <f t="shared" ref="I5653:I5716" si="1285">MINUTE(B5653)</f>
        <v>20</v>
      </c>
      <c r="J5653" s="3">
        <f t="shared" ref="J5653:J5716" si="1286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287">IF(OR(N5653="Auto",O5653="Auto"),"YES",IF(OR(N5653="Taxi",O5653="Taxi"),"YES",IF(OR(N5653="Van",O5653="Van"),"YES",IF(OR(N5653="Truck",O5653="Truck"),"YES","NO"))))</f>
        <v>YES</v>
      </c>
      <c r="Q5653" t="str">
        <f t="shared" ref="Q5653:Q5716" si="1288">IF(OR(N5653="Bicycle",O5653="Bicycle"),"YES","NO")</f>
        <v>YES</v>
      </c>
      <c r="R5653" t="str">
        <f t="shared" ref="R5653:R5716" si="1289">IF(OR(N5653="Pedestrian",O5653="Pedestrian"),"YES","NO")</f>
        <v>NO</v>
      </c>
      <c r="T5653" t="s">
        <v>42</v>
      </c>
      <c r="U5653" t="str">
        <f t="shared" si="1276"/>
        <v>Putnam Ave</v>
      </c>
      <c r="V5653" t="s">
        <v>198</v>
      </c>
      <c r="W5653" t="str">
        <f t="shared" si="1277"/>
        <v>Mount Auburn St</v>
      </c>
      <c r="X5653" t="str">
        <f>IF(ISBLANK(S5653),"Intersection","Non-Intersection")</f>
        <v>Intersection</v>
      </c>
      <c r="Y5653" t="s">
        <v>4585</v>
      </c>
      <c r="Z5653" t="str">
        <f t="shared" si="1278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279"/>
        <v>41275</v>
      </c>
      <c r="D5654" s="4">
        <f t="shared" si="1280"/>
        <v>0.71506849315068488</v>
      </c>
      <c r="E5654" s="3">
        <f t="shared" si="1281"/>
        <v>2013</v>
      </c>
      <c r="F5654" s="3">
        <f t="shared" si="1282"/>
        <v>9</v>
      </c>
      <c r="G5654" s="3">
        <f t="shared" si="1283"/>
        <v>19</v>
      </c>
      <c r="H5654" s="3">
        <f t="shared" si="1284"/>
        <v>16</v>
      </c>
      <c r="I5654" s="3">
        <f t="shared" si="1285"/>
        <v>15</v>
      </c>
      <c r="J5654" s="3">
        <f t="shared" si="1286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287"/>
        <v>YES</v>
      </c>
      <c r="Q5654" t="str">
        <f t="shared" si="1288"/>
        <v>NO</v>
      </c>
      <c r="R5654" t="str">
        <f t="shared" si="1289"/>
        <v>NO</v>
      </c>
      <c r="T5654" t="s">
        <v>185</v>
      </c>
      <c r="U5654" t="str">
        <f t="shared" si="1276"/>
        <v>Garden St</v>
      </c>
      <c r="V5654" t="s">
        <v>296</v>
      </c>
      <c r="W5654" t="str">
        <f t="shared" si="1277"/>
        <v>Mason St</v>
      </c>
      <c r="X5654" t="str">
        <f>IF(ISBLANK(S5654),"Intersection","Non-Intersection")</f>
        <v>Intersection</v>
      </c>
      <c r="Y5654" t="s">
        <v>594</v>
      </c>
      <c r="Z5654" t="str">
        <f t="shared" si="1278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279"/>
        <v>41275</v>
      </c>
      <c r="D5655" s="4">
        <f t="shared" si="1280"/>
        <v>0.71506849315068488</v>
      </c>
      <c r="E5655" s="3">
        <f t="shared" si="1281"/>
        <v>2013</v>
      </c>
      <c r="F5655" s="3">
        <f t="shared" si="1282"/>
        <v>9</v>
      </c>
      <c r="G5655" s="3">
        <f t="shared" si="1283"/>
        <v>19</v>
      </c>
      <c r="H5655" s="3">
        <f t="shared" si="1284"/>
        <v>8</v>
      </c>
      <c r="I5655" s="3">
        <f t="shared" si="1285"/>
        <v>42</v>
      </c>
      <c r="J5655" s="3">
        <f t="shared" si="1286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287"/>
        <v>YES</v>
      </c>
      <c r="Q5655" t="str">
        <f t="shared" si="1288"/>
        <v>NO</v>
      </c>
      <c r="R5655" t="str">
        <f t="shared" si="1289"/>
        <v>NO</v>
      </c>
      <c r="S5655">
        <v>14</v>
      </c>
      <c r="T5655" t="s">
        <v>291</v>
      </c>
      <c r="U5655" t="str">
        <f t="shared" si="1276"/>
        <v>Raymond St</v>
      </c>
      <c r="W5655" t="str">
        <f t="shared" si="1277"/>
        <v/>
      </c>
      <c r="X5655" t="str">
        <f>IF(ISBLANK(S5655),"Intersection","Non-Intersection")</f>
        <v>Non-Intersection</v>
      </c>
      <c r="Y5655" t="s">
        <v>6018</v>
      </c>
      <c r="Z5655" t="str">
        <f t="shared" si="1278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279"/>
        <v>41275</v>
      </c>
      <c r="D5656" s="4">
        <f t="shared" si="1280"/>
        <v>0.71780821917808224</v>
      </c>
      <c r="E5656" s="3">
        <f t="shared" si="1281"/>
        <v>2013</v>
      </c>
      <c r="F5656" s="3">
        <f t="shared" si="1282"/>
        <v>9</v>
      </c>
      <c r="G5656" s="3">
        <f t="shared" si="1283"/>
        <v>20</v>
      </c>
      <c r="H5656" s="3">
        <f t="shared" si="1284"/>
        <v>7</v>
      </c>
      <c r="I5656" s="3">
        <f t="shared" si="1285"/>
        <v>30</v>
      </c>
      <c r="J5656" s="3">
        <f t="shared" si="1286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287"/>
        <v>YES</v>
      </c>
      <c r="Q5656" t="str">
        <f t="shared" si="1288"/>
        <v>NO</v>
      </c>
      <c r="R5656" t="str">
        <f t="shared" si="1289"/>
        <v>NO</v>
      </c>
      <c r="T5656" t="s">
        <v>74</v>
      </c>
      <c r="U5656" t="str">
        <f t="shared" si="1276"/>
        <v>Hampshire St</v>
      </c>
      <c r="V5656" t="s">
        <v>342</v>
      </c>
      <c r="W5656" t="str">
        <f t="shared" si="1277"/>
        <v>Prospect St</v>
      </c>
      <c r="X5656" t="str">
        <f>IF(ISBLANK(S5656),"Intersection","Non-Intersection")</f>
        <v>Intersection</v>
      </c>
      <c r="Y5656" t="s">
        <v>462</v>
      </c>
      <c r="Z5656" t="str">
        <f t="shared" si="1278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279"/>
        <v>41275</v>
      </c>
      <c r="D5657" s="4">
        <f t="shared" si="1280"/>
        <v>0.71780821917808224</v>
      </c>
      <c r="E5657" s="3">
        <f t="shared" si="1281"/>
        <v>2013</v>
      </c>
      <c r="F5657" s="3">
        <f t="shared" si="1282"/>
        <v>9</v>
      </c>
      <c r="G5657" s="3">
        <f t="shared" si="1283"/>
        <v>20</v>
      </c>
      <c r="H5657" s="3">
        <f t="shared" si="1284"/>
        <v>17</v>
      </c>
      <c r="I5657" s="3">
        <f t="shared" si="1285"/>
        <v>15</v>
      </c>
      <c r="J5657" s="3">
        <f t="shared" si="1286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287"/>
        <v>YES</v>
      </c>
      <c r="Q5657" t="str">
        <f t="shared" si="1288"/>
        <v>NO</v>
      </c>
      <c r="R5657" t="str">
        <f t="shared" si="1289"/>
        <v>NO</v>
      </c>
      <c r="T5657" t="s">
        <v>453</v>
      </c>
      <c r="U5657" t="str">
        <f t="shared" si="1276"/>
        <v>Brookline St</v>
      </c>
      <c r="V5657" t="s">
        <v>116</v>
      </c>
      <c r="W5657" t="str">
        <f t="shared" si="1277"/>
        <v>Chestnut St</v>
      </c>
      <c r="X5657" t="str">
        <f>IF(ISBLANK(S5657),"Intersection","Non-Intersection")</f>
        <v>Intersection</v>
      </c>
      <c r="Y5657" t="s">
        <v>4373</v>
      </c>
      <c r="Z5657" t="str">
        <f t="shared" si="1278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279"/>
        <v>41275</v>
      </c>
      <c r="D5658" s="4">
        <f t="shared" si="1280"/>
        <v>0.71780821917808224</v>
      </c>
      <c r="E5658" s="3">
        <f t="shared" si="1281"/>
        <v>2013</v>
      </c>
      <c r="F5658" s="3">
        <f t="shared" si="1282"/>
        <v>9</v>
      </c>
      <c r="G5658" s="3">
        <f t="shared" si="1283"/>
        <v>20</v>
      </c>
      <c r="H5658" s="3">
        <f t="shared" si="1284"/>
        <v>17</v>
      </c>
      <c r="I5658" s="3">
        <f t="shared" si="1285"/>
        <v>42</v>
      </c>
      <c r="J5658" s="3">
        <f t="shared" si="1286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287"/>
        <v>YES</v>
      </c>
      <c r="Q5658" t="str">
        <f t="shared" si="1288"/>
        <v>NO</v>
      </c>
      <c r="R5658" t="str">
        <f t="shared" si="1289"/>
        <v>NO</v>
      </c>
      <c r="T5658" t="s">
        <v>252</v>
      </c>
      <c r="U5658" t="str">
        <f t="shared" si="1276"/>
        <v>Walden St</v>
      </c>
      <c r="V5658" t="s">
        <v>6020</v>
      </c>
      <c r="W5658" t="str">
        <f t="shared" si="1277"/>
        <v>Cypress St</v>
      </c>
      <c r="X5658" t="str">
        <f>IF(ISBLANK(S5658),"Intersection","Non-Intersection")</f>
        <v>Intersection</v>
      </c>
      <c r="Y5658" t="s">
        <v>6021</v>
      </c>
      <c r="Z5658" t="str">
        <f t="shared" si="1278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279"/>
        <v>41275</v>
      </c>
      <c r="D5659" s="4">
        <f t="shared" si="1280"/>
        <v>0.71780821917808224</v>
      </c>
      <c r="E5659" s="3">
        <f t="shared" si="1281"/>
        <v>2013</v>
      </c>
      <c r="F5659" s="3">
        <f t="shared" si="1282"/>
        <v>9</v>
      </c>
      <c r="G5659" s="3">
        <f t="shared" si="1283"/>
        <v>20</v>
      </c>
      <c r="H5659" s="3">
        <f t="shared" si="1284"/>
        <v>18</v>
      </c>
      <c r="I5659" s="3">
        <f t="shared" si="1285"/>
        <v>4</v>
      </c>
      <c r="J5659" s="3">
        <f t="shared" si="1286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287"/>
        <v>YES</v>
      </c>
      <c r="Q5659" t="str">
        <f t="shared" si="1288"/>
        <v>NO</v>
      </c>
      <c r="R5659" t="str">
        <f t="shared" si="1289"/>
        <v>NO</v>
      </c>
      <c r="T5659" t="s">
        <v>269</v>
      </c>
      <c r="U5659" t="str">
        <f t="shared" si="1276"/>
        <v>Porter Sq</v>
      </c>
      <c r="W5659" t="str">
        <f t="shared" si="1277"/>
        <v/>
      </c>
      <c r="X5659" t="str">
        <f>IF(ISBLANK(S5659),"Intersection","Non-Intersection")</f>
        <v>Intersection</v>
      </c>
      <c r="Y5659" t="s">
        <v>923</v>
      </c>
      <c r="Z5659" t="str">
        <f t="shared" si="1278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279"/>
        <v>41275</v>
      </c>
      <c r="D5660" s="4">
        <f t="shared" si="1280"/>
        <v>0.72054794520547949</v>
      </c>
      <c r="E5660" s="3">
        <f t="shared" si="1281"/>
        <v>2013</v>
      </c>
      <c r="F5660" s="3">
        <f t="shared" si="1282"/>
        <v>9</v>
      </c>
      <c r="G5660" s="3">
        <f t="shared" si="1283"/>
        <v>21</v>
      </c>
      <c r="H5660" s="3">
        <f t="shared" si="1284"/>
        <v>23</v>
      </c>
      <c r="I5660" s="3">
        <f t="shared" si="1285"/>
        <v>10</v>
      </c>
      <c r="J5660" s="3">
        <f t="shared" si="1286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287"/>
        <v>YES</v>
      </c>
      <c r="Q5660" t="str">
        <f t="shared" si="1288"/>
        <v>NO</v>
      </c>
      <c r="R5660" t="str">
        <f t="shared" si="1289"/>
        <v>NO</v>
      </c>
      <c r="T5660" t="s">
        <v>14</v>
      </c>
      <c r="U5660" t="str">
        <f t="shared" si="1276"/>
        <v>Massachusetts Ave</v>
      </c>
      <c r="V5660" t="s">
        <v>202</v>
      </c>
      <c r="W5660" t="str">
        <f t="shared" si="1277"/>
        <v>Vassar St</v>
      </c>
      <c r="X5660" t="str">
        <f>IF(ISBLANK(S5660),"Intersection","Non-Intersection")</f>
        <v>Intersection</v>
      </c>
      <c r="Y5660" t="s">
        <v>361</v>
      </c>
      <c r="Z5660" t="str">
        <f t="shared" si="1278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279"/>
        <v>41275</v>
      </c>
      <c r="D5661" s="4">
        <f t="shared" si="1280"/>
        <v>0.72328767123287674</v>
      </c>
      <c r="E5661" s="3">
        <f t="shared" si="1281"/>
        <v>2013</v>
      </c>
      <c r="F5661" s="3">
        <f t="shared" si="1282"/>
        <v>9</v>
      </c>
      <c r="G5661" s="3">
        <f t="shared" si="1283"/>
        <v>22</v>
      </c>
      <c r="H5661" s="3">
        <f t="shared" si="1284"/>
        <v>2</v>
      </c>
      <c r="I5661" s="3">
        <f t="shared" si="1285"/>
        <v>55</v>
      </c>
      <c r="J5661" s="3">
        <f t="shared" si="1286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287"/>
        <v>YES</v>
      </c>
      <c r="Q5661" t="str">
        <f t="shared" si="1288"/>
        <v>NO</v>
      </c>
      <c r="R5661" t="str">
        <f t="shared" si="1289"/>
        <v>NO</v>
      </c>
      <c r="S5661">
        <v>80</v>
      </c>
      <c r="T5661" t="s">
        <v>611</v>
      </c>
      <c r="U5661" t="str">
        <f t="shared" si="1276"/>
        <v>Berkshire St</v>
      </c>
      <c r="W5661" t="str">
        <f t="shared" si="1277"/>
        <v/>
      </c>
      <c r="X5661" t="str">
        <f>IF(ISBLANK(S5661),"Intersection","Non-Intersection")</f>
        <v>Non-Intersection</v>
      </c>
      <c r="Y5661" t="s">
        <v>6023</v>
      </c>
      <c r="Z5661" t="str">
        <f t="shared" si="1278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279"/>
        <v>41275</v>
      </c>
      <c r="D5662" s="4">
        <f t="shared" si="1280"/>
        <v>0.72328767123287674</v>
      </c>
      <c r="E5662" s="3">
        <f t="shared" si="1281"/>
        <v>2013</v>
      </c>
      <c r="F5662" s="3">
        <f t="shared" si="1282"/>
        <v>9</v>
      </c>
      <c r="G5662" s="3">
        <f t="shared" si="1283"/>
        <v>22</v>
      </c>
      <c r="H5662" s="3">
        <f t="shared" si="1284"/>
        <v>12</v>
      </c>
      <c r="I5662" s="3">
        <f t="shared" si="1285"/>
        <v>0</v>
      </c>
      <c r="J5662" s="3">
        <f t="shared" si="1286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287"/>
        <v>YES</v>
      </c>
      <c r="Q5662" t="str">
        <f t="shared" si="1288"/>
        <v>NO</v>
      </c>
      <c r="R5662" t="str">
        <f t="shared" si="1289"/>
        <v>NO</v>
      </c>
      <c r="S5662">
        <v>38</v>
      </c>
      <c r="T5662" t="s">
        <v>42</v>
      </c>
      <c r="U5662" t="str">
        <f t="shared" si="1276"/>
        <v>Putnam Ave</v>
      </c>
      <c r="W5662" t="str">
        <f t="shared" si="1277"/>
        <v/>
      </c>
      <c r="X5662" t="str">
        <f>IF(ISBLANK(S5662),"Intersection","Non-Intersection")</f>
        <v>Non-Intersection</v>
      </c>
      <c r="Y5662" t="s">
        <v>6025</v>
      </c>
      <c r="Z5662" t="str">
        <f t="shared" si="1278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279"/>
        <v>41275</v>
      </c>
      <c r="D5663" s="4">
        <f t="shared" si="1280"/>
        <v>0.72602739726027399</v>
      </c>
      <c r="E5663" s="3">
        <f t="shared" si="1281"/>
        <v>2013</v>
      </c>
      <c r="F5663" s="3">
        <f t="shared" si="1282"/>
        <v>9</v>
      </c>
      <c r="G5663" s="3">
        <f t="shared" si="1283"/>
        <v>23</v>
      </c>
      <c r="H5663" s="3">
        <f t="shared" si="1284"/>
        <v>8</v>
      </c>
      <c r="I5663" s="3">
        <f t="shared" si="1285"/>
        <v>55</v>
      </c>
      <c r="J5663" s="3">
        <f t="shared" si="1286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287"/>
        <v>YES</v>
      </c>
      <c r="Q5663" t="str">
        <f t="shared" si="1288"/>
        <v>NO</v>
      </c>
      <c r="R5663" t="str">
        <f t="shared" si="1289"/>
        <v>NO</v>
      </c>
      <c r="S5663">
        <v>2254</v>
      </c>
      <c r="T5663" t="s">
        <v>2646</v>
      </c>
      <c r="U5663" t="str">
        <f t="shared" si="1276"/>
        <v>Massachusetts Ave Brdg</v>
      </c>
      <c r="W5663" t="str">
        <f t="shared" si="1277"/>
        <v/>
      </c>
      <c r="X5663" t="str">
        <f>IF(ISBLANK(S5663),"Intersection","Non-Intersection")</f>
        <v>Non-Intersection</v>
      </c>
      <c r="Y5663" t="s">
        <v>6027</v>
      </c>
      <c r="Z5663" t="str">
        <f t="shared" si="1278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279"/>
        <v>41275</v>
      </c>
      <c r="D5664" s="4">
        <f t="shared" si="1280"/>
        <v>0.72602739726027399</v>
      </c>
      <c r="E5664" s="3">
        <f t="shared" si="1281"/>
        <v>2013</v>
      </c>
      <c r="F5664" s="3">
        <f t="shared" si="1282"/>
        <v>9</v>
      </c>
      <c r="G5664" s="3">
        <f t="shared" si="1283"/>
        <v>23</v>
      </c>
      <c r="H5664" s="3">
        <f t="shared" si="1284"/>
        <v>8</v>
      </c>
      <c r="I5664" s="3">
        <f t="shared" si="1285"/>
        <v>15</v>
      </c>
      <c r="J5664" s="3">
        <f t="shared" si="1286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287"/>
        <v>YES</v>
      </c>
      <c r="Q5664" t="str">
        <f t="shared" si="1288"/>
        <v>YES</v>
      </c>
      <c r="R5664" t="str">
        <f t="shared" si="1289"/>
        <v>NO</v>
      </c>
      <c r="T5664" t="s">
        <v>2646</v>
      </c>
      <c r="U5664" t="str">
        <f t="shared" si="1276"/>
        <v>Massachusetts Ave Brdg</v>
      </c>
      <c r="V5664" t="s">
        <v>420</v>
      </c>
      <c r="W5664" t="str">
        <f t="shared" si="1277"/>
        <v>Douglass St</v>
      </c>
      <c r="X5664" t="str">
        <f>IF(ISBLANK(S5664),"Intersection","Non-Intersection")</f>
        <v>Intersection</v>
      </c>
      <c r="Y5664" t="s">
        <v>6028</v>
      </c>
      <c r="Z5664" t="str">
        <f t="shared" si="1278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279"/>
        <v>41275</v>
      </c>
      <c r="D5665" s="4">
        <f t="shared" si="1280"/>
        <v>0.72602739726027399</v>
      </c>
      <c r="E5665" s="3">
        <f t="shared" si="1281"/>
        <v>2013</v>
      </c>
      <c r="F5665" s="3">
        <f t="shared" si="1282"/>
        <v>9</v>
      </c>
      <c r="G5665" s="3">
        <f t="shared" si="1283"/>
        <v>23</v>
      </c>
      <c r="H5665" s="3">
        <f t="shared" si="1284"/>
        <v>8</v>
      </c>
      <c r="I5665" s="3">
        <f t="shared" si="1285"/>
        <v>0</v>
      </c>
      <c r="J5665" s="3">
        <f t="shared" si="1286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287"/>
        <v>YES</v>
      </c>
      <c r="Q5665" t="str">
        <f t="shared" si="1288"/>
        <v>NO</v>
      </c>
      <c r="R5665" t="str">
        <f t="shared" si="1289"/>
        <v>YES</v>
      </c>
      <c r="T5665" t="s">
        <v>32</v>
      </c>
      <c r="U5665" t="str">
        <f t="shared" si="1276"/>
        <v>Main St</v>
      </c>
      <c r="V5665" t="s">
        <v>202</v>
      </c>
      <c r="W5665" t="str">
        <f t="shared" si="1277"/>
        <v>Vassar St</v>
      </c>
      <c r="X5665" t="str">
        <f>IF(ISBLANK(S5665),"Intersection","Non-Intersection")</f>
        <v>Intersection</v>
      </c>
      <c r="Y5665" t="s">
        <v>772</v>
      </c>
      <c r="Z5665" t="str">
        <f t="shared" si="1278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279"/>
        <v>41275</v>
      </c>
      <c r="D5666" s="4">
        <f t="shared" si="1280"/>
        <v>0.72602739726027399</v>
      </c>
      <c r="E5666" s="3">
        <f t="shared" si="1281"/>
        <v>2013</v>
      </c>
      <c r="F5666" s="3">
        <f t="shared" si="1282"/>
        <v>9</v>
      </c>
      <c r="G5666" s="3">
        <f t="shared" si="1283"/>
        <v>23</v>
      </c>
      <c r="H5666" s="3">
        <f t="shared" si="1284"/>
        <v>8</v>
      </c>
      <c r="I5666" s="3">
        <f t="shared" si="1285"/>
        <v>29</v>
      </c>
      <c r="J5666" s="3">
        <f t="shared" si="1286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287"/>
        <v>YES</v>
      </c>
      <c r="Q5666" t="str">
        <f t="shared" si="1288"/>
        <v>NO</v>
      </c>
      <c r="R5666" t="str">
        <f t="shared" si="1289"/>
        <v>NO</v>
      </c>
      <c r="T5666" t="s">
        <v>1739</v>
      </c>
      <c r="U5666" t="str">
        <f t="shared" si="1276"/>
        <v>Harding St</v>
      </c>
      <c r="W5666" t="str">
        <f t="shared" si="1277"/>
        <v/>
      </c>
      <c r="X5666" t="str">
        <f>IF(ISBLANK(S5666),"Intersection","Non-Intersection")</f>
        <v>Intersection</v>
      </c>
      <c r="Y5666" t="s">
        <v>4973</v>
      </c>
      <c r="Z5666" t="str">
        <f t="shared" si="1278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279"/>
        <v>41275</v>
      </c>
      <c r="D5667" s="4">
        <f t="shared" si="1280"/>
        <v>0.72602739726027399</v>
      </c>
      <c r="E5667" s="3">
        <f t="shared" si="1281"/>
        <v>2013</v>
      </c>
      <c r="F5667" s="3">
        <f t="shared" si="1282"/>
        <v>9</v>
      </c>
      <c r="G5667" s="3">
        <f t="shared" si="1283"/>
        <v>23</v>
      </c>
      <c r="H5667" s="3">
        <f t="shared" si="1284"/>
        <v>9</v>
      </c>
      <c r="I5667" s="3">
        <f t="shared" si="1285"/>
        <v>0</v>
      </c>
      <c r="J5667" s="3">
        <f t="shared" si="1286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287"/>
        <v>YES</v>
      </c>
      <c r="Q5667" t="str">
        <f t="shared" si="1288"/>
        <v>NO</v>
      </c>
      <c r="R5667" t="str">
        <f t="shared" si="1289"/>
        <v>NO</v>
      </c>
      <c r="T5667" t="s">
        <v>365</v>
      </c>
      <c r="U5667" t="str">
        <f t="shared" si="1276"/>
        <v>Hurley St</v>
      </c>
      <c r="V5667" t="s">
        <v>260</v>
      </c>
      <c r="W5667" t="str">
        <f t="shared" si="1277"/>
        <v>Third St</v>
      </c>
      <c r="X5667" t="str">
        <f>IF(ISBLANK(S5667),"Intersection","Non-Intersection")</f>
        <v>Intersection</v>
      </c>
      <c r="Y5667" t="s">
        <v>5951</v>
      </c>
      <c r="Z5667" t="str">
        <f t="shared" si="1278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279"/>
        <v>41275</v>
      </c>
      <c r="D5668" s="4">
        <f t="shared" si="1280"/>
        <v>0.72876712328767124</v>
      </c>
      <c r="E5668" s="3">
        <f t="shared" si="1281"/>
        <v>2013</v>
      </c>
      <c r="F5668" s="3">
        <f t="shared" si="1282"/>
        <v>9</v>
      </c>
      <c r="G5668" s="3">
        <f t="shared" si="1283"/>
        <v>24</v>
      </c>
      <c r="H5668" s="3">
        <f t="shared" si="1284"/>
        <v>9</v>
      </c>
      <c r="I5668" s="3">
        <f t="shared" si="1285"/>
        <v>59</v>
      </c>
      <c r="J5668" s="3">
        <f t="shared" si="1286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287"/>
        <v>YES</v>
      </c>
      <c r="Q5668" t="str">
        <f t="shared" si="1288"/>
        <v>YES</v>
      </c>
      <c r="R5668" t="str">
        <f t="shared" si="1289"/>
        <v>NO</v>
      </c>
      <c r="T5668" t="s">
        <v>166</v>
      </c>
      <c r="U5668" t="str">
        <f t="shared" si="1276"/>
        <v>Oxford Ave</v>
      </c>
      <c r="V5668" t="s">
        <v>1701</v>
      </c>
      <c r="W5668" t="str">
        <f t="shared" si="1277"/>
        <v>Prentiss St</v>
      </c>
      <c r="X5668" t="str">
        <f>IF(ISBLANK(S5668),"Intersection","Non-Intersection")</f>
        <v>Intersection</v>
      </c>
      <c r="Y5668" t="s">
        <v>3275</v>
      </c>
      <c r="Z5668" t="str">
        <f t="shared" si="1278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279"/>
        <v>41275</v>
      </c>
      <c r="D5669" s="4">
        <f t="shared" si="1280"/>
        <v>0.72876712328767124</v>
      </c>
      <c r="E5669" s="3">
        <f t="shared" si="1281"/>
        <v>2013</v>
      </c>
      <c r="F5669" s="3">
        <f t="shared" si="1282"/>
        <v>9</v>
      </c>
      <c r="G5669" s="3">
        <f t="shared" si="1283"/>
        <v>24</v>
      </c>
      <c r="H5669" s="3">
        <f t="shared" si="1284"/>
        <v>8</v>
      </c>
      <c r="I5669" s="3">
        <f t="shared" si="1285"/>
        <v>25</v>
      </c>
      <c r="J5669" s="3">
        <f t="shared" si="1286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287"/>
        <v>YES</v>
      </c>
      <c r="Q5669" t="str">
        <f t="shared" si="1288"/>
        <v>NO</v>
      </c>
      <c r="R5669" t="str">
        <f t="shared" si="1289"/>
        <v>NO</v>
      </c>
      <c r="S5669">
        <v>318</v>
      </c>
      <c r="T5669" t="s">
        <v>15</v>
      </c>
      <c r="U5669" t="str">
        <f t="shared" si="1276"/>
        <v>Rindge Ave</v>
      </c>
      <c r="W5669" t="str">
        <f t="shared" si="1277"/>
        <v/>
      </c>
      <c r="X5669" t="str">
        <f>IF(ISBLANK(S5669),"Intersection","Non-Intersection")</f>
        <v>Non-Intersection</v>
      </c>
      <c r="Y5669" t="s">
        <v>6030</v>
      </c>
      <c r="Z5669" t="str">
        <f t="shared" si="1278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279"/>
        <v>41275</v>
      </c>
      <c r="D5670" s="4">
        <f t="shared" si="1280"/>
        <v>0.72876712328767124</v>
      </c>
      <c r="E5670" s="3">
        <f t="shared" si="1281"/>
        <v>2013</v>
      </c>
      <c r="F5670" s="3">
        <f t="shared" si="1282"/>
        <v>9</v>
      </c>
      <c r="G5670" s="3">
        <f t="shared" si="1283"/>
        <v>24</v>
      </c>
      <c r="H5670" s="3">
        <f t="shared" si="1284"/>
        <v>16</v>
      </c>
      <c r="I5670" s="3">
        <f t="shared" si="1285"/>
        <v>5</v>
      </c>
      <c r="J5670" s="3">
        <f t="shared" si="1286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287"/>
        <v>YES</v>
      </c>
      <c r="Q5670" t="str">
        <f t="shared" si="1288"/>
        <v>NO</v>
      </c>
      <c r="R5670" t="str">
        <f t="shared" si="1289"/>
        <v>NO</v>
      </c>
      <c r="S5670">
        <v>40</v>
      </c>
      <c r="T5670" t="s">
        <v>20</v>
      </c>
      <c r="U5670" t="str">
        <f t="shared" si="1276"/>
        <v>Sciarappa St</v>
      </c>
      <c r="W5670" t="str">
        <f t="shared" si="1277"/>
        <v/>
      </c>
      <c r="X5670" t="str">
        <f>IF(ISBLANK(S5670),"Intersection","Non-Intersection")</f>
        <v>Non-Intersection</v>
      </c>
      <c r="Y5670" t="s">
        <v>6032</v>
      </c>
      <c r="Z5670" t="str">
        <f t="shared" si="1278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279"/>
        <v>41275</v>
      </c>
      <c r="D5671" s="4">
        <f t="shared" si="1280"/>
        <v>0.72876712328767124</v>
      </c>
      <c r="E5671" s="3">
        <f t="shared" si="1281"/>
        <v>2013</v>
      </c>
      <c r="F5671" s="3">
        <f t="shared" si="1282"/>
        <v>9</v>
      </c>
      <c r="G5671" s="3">
        <f t="shared" si="1283"/>
        <v>24</v>
      </c>
      <c r="H5671" s="3">
        <f t="shared" si="1284"/>
        <v>12</v>
      </c>
      <c r="I5671" s="3">
        <f t="shared" si="1285"/>
        <v>40</v>
      </c>
      <c r="J5671" s="3">
        <f t="shared" si="1286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287"/>
        <v>YES</v>
      </c>
      <c r="Q5671" t="str">
        <f t="shared" si="1288"/>
        <v>NO</v>
      </c>
      <c r="R5671" t="str">
        <f t="shared" si="1289"/>
        <v>NO</v>
      </c>
      <c r="T5671" t="s">
        <v>14</v>
      </c>
      <c r="U5671" t="str">
        <f t="shared" si="1276"/>
        <v>Massachusetts Ave</v>
      </c>
      <c r="V5671" t="s">
        <v>524</v>
      </c>
      <c r="W5671" t="str">
        <f t="shared" si="1277"/>
        <v>Blake St</v>
      </c>
      <c r="X5671" t="str">
        <f>IF(ISBLANK(S5671),"Intersection","Non-Intersection")</f>
        <v>Intersection</v>
      </c>
      <c r="Y5671" t="s">
        <v>3291</v>
      </c>
      <c r="Z5671" t="str">
        <f t="shared" si="1278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279"/>
        <v>41275</v>
      </c>
      <c r="D5672" s="4">
        <f t="shared" si="1280"/>
        <v>0.72876712328767124</v>
      </c>
      <c r="E5672" s="3">
        <f t="shared" si="1281"/>
        <v>2013</v>
      </c>
      <c r="F5672" s="3">
        <f t="shared" si="1282"/>
        <v>9</v>
      </c>
      <c r="G5672" s="3">
        <f t="shared" si="1283"/>
        <v>24</v>
      </c>
      <c r="H5672" s="3">
        <f t="shared" si="1284"/>
        <v>9</v>
      </c>
      <c r="I5672" s="3">
        <f t="shared" si="1285"/>
        <v>45</v>
      </c>
      <c r="J5672" s="3">
        <f t="shared" si="1286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287"/>
        <v>YES</v>
      </c>
      <c r="Q5672" t="str">
        <f t="shared" si="1288"/>
        <v>NO</v>
      </c>
      <c r="R5672" t="str">
        <f t="shared" si="1289"/>
        <v>NO</v>
      </c>
      <c r="T5672" t="s">
        <v>550</v>
      </c>
      <c r="U5672" t="str">
        <f t="shared" si="1276"/>
        <v>Upland Rd</v>
      </c>
      <c r="V5672" t="s">
        <v>2646</v>
      </c>
      <c r="W5672" t="str">
        <f t="shared" si="1277"/>
        <v>Massachusetts Ave Brdg</v>
      </c>
      <c r="X5672" t="str">
        <f>IF(ISBLANK(S5672),"Intersection","Non-Intersection")</f>
        <v>Intersection</v>
      </c>
      <c r="Y5672" t="s">
        <v>6034</v>
      </c>
      <c r="Z5672" t="str">
        <f t="shared" si="1278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279"/>
        <v>41275</v>
      </c>
      <c r="D5673" s="4">
        <f t="shared" si="1280"/>
        <v>0.72876712328767124</v>
      </c>
      <c r="E5673" s="3">
        <f t="shared" si="1281"/>
        <v>2013</v>
      </c>
      <c r="F5673" s="3">
        <f t="shared" si="1282"/>
        <v>9</v>
      </c>
      <c r="G5673" s="3">
        <f t="shared" si="1283"/>
        <v>24</v>
      </c>
      <c r="H5673" s="3">
        <f t="shared" si="1284"/>
        <v>18</v>
      </c>
      <c r="I5673" s="3">
        <f t="shared" si="1285"/>
        <v>40</v>
      </c>
      <c r="J5673" s="3">
        <f t="shared" si="1286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287"/>
        <v>YES</v>
      </c>
      <c r="Q5673" t="str">
        <f t="shared" si="1288"/>
        <v>NO</v>
      </c>
      <c r="R5673" t="str">
        <f t="shared" si="1289"/>
        <v>YES</v>
      </c>
      <c r="T5673" t="s">
        <v>105</v>
      </c>
      <c r="U5673" t="str">
        <f t="shared" si="1276"/>
        <v>Broadway</v>
      </c>
      <c r="V5673" t="s">
        <v>134</v>
      </c>
      <c r="W5673" t="str">
        <f t="shared" si="1277"/>
        <v>Quincy St</v>
      </c>
      <c r="X5673" t="str">
        <f>IF(ISBLANK(S5673),"Intersection","Non-Intersection")</f>
        <v>Intersection</v>
      </c>
      <c r="Y5673" t="s">
        <v>838</v>
      </c>
      <c r="Z5673" t="str">
        <f t="shared" si="1278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279"/>
        <v>41275</v>
      </c>
      <c r="D5674" s="4">
        <f t="shared" si="1280"/>
        <v>0.72876712328767124</v>
      </c>
      <c r="E5674" s="3">
        <f t="shared" si="1281"/>
        <v>2013</v>
      </c>
      <c r="F5674" s="3">
        <f t="shared" si="1282"/>
        <v>9</v>
      </c>
      <c r="G5674" s="3">
        <f t="shared" si="1283"/>
        <v>24</v>
      </c>
      <c r="H5674" s="3">
        <f t="shared" si="1284"/>
        <v>11</v>
      </c>
      <c r="I5674" s="3">
        <f t="shared" si="1285"/>
        <v>0</v>
      </c>
      <c r="J5674" s="3">
        <f t="shared" si="1286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287"/>
        <v>YES</v>
      </c>
      <c r="Q5674" t="str">
        <f t="shared" si="1288"/>
        <v>NO</v>
      </c>
      <c r="R5674" t="str">
        <f t="shared" si="1289"/>
        <v>NO</v>
      </c>
      <c r="T5674" t="s">
        <v>15</v>
      </c>
      <c r="U5674" t="str">
        <f t="shared" si="1276"/>
        <v>Rindge Ave</v>
      </c>
      <c r="V5674" t="s">
        <v>49</v>
      </c>
      <c r="W5674" t="str">
        <f t="shared" si="1277"/>
        <v>Clinton St</v>
      </c>
      <c r="X5674" t="str">
        <f>IF(ISBLANK(S5674),"Intersection","Non-Intersection")</f>
        <v>Intersection</v>
      </c>
      <c r="Y5674" t="s">
        <v>6036</v>
      </c>
      <c r="Z5674" t="str">
        <f t="shared" si="1278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279"/>
        <v>41275</v>
      </c>
      <c r="D5675" s="4">
        <f t="shared" si="1280"/>
        <v>0.72876712328767124</v>
      </c>
      <c r="E5675" s="3">
        <f t="shared" si="1281"/>
        <v>2013</v>
      </c>
      <c r="F5675" s="3">
        <f t="shared" si="1282"/>
        <v>9</v>
      </c>
      <c r="G5675" s="3">
        <f t="shared" si="1283"/>
        <v>24</v>
      </c>
      <c r="H5675" s="3">
        <f t="shared" si="1284"/>
        <v>7</v>
      </c>
      <c r="I5675" s="3">
        <f t="shared" si="1285"/>
        <v>30</v>
      </c>
      <c r="J5675" s="3">
        <f t="shared" si="1286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287"/>
        <v>YES</v>
      </c>
      <c r="Q5675" t="str">
        <f t="shared" si="1288"/>
        <v>NO</v>
      </c>
      <c r="R5675" t="str">
        <f t="shared" si="1289"/>
        <v>NO</v>
      </c>
      <c r="T5675" t="s">
        <v>14</v>
      </c>
      <c r="U5675" t="str">
        <f t="shared" si="1276"/>
        <v>Massachusetts Ave</v>
      </c>
      <c r="V5675" t="s">
        <v>1124</v>
      </c>
      <c r="W5675" t="str">
        <f t="shared" si="1277"/>
        <v>Magoun St</v>
      </c>
      <c r="X5675" t="str">
        <f>IF(ISBLANK(S5675),"Intersection","Non-Intersection")</f>
        <v>Intersection</v>
      </c>
      <c r="Y5675" t="s">
        <v>1125</v>
      </c>
      <c r="Z5675" t="str">
        <f t="shared" si="1278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279"/>
        <v>41275</v>
      </c>
      <c r="D5676" s="4">
        <f t="shared" si="1280"/>
        <v>0.72876712328767124</v>
      </c>
      <c r="E5676" s="3">
        <f t="shared" si="1281"/>
        <v>2013</v>
      </c>
      <c r="F5676" s="3">
        <f t="shared" si="1282"/>
        <v>9</v>
      </c>
      <c r="G5676" s="3">
        <f t="shared" si="1283"/>
        <v>24</v>
      </c>
      <c r="H5676" s="3">
        <f t="shared" si="1284"/>
        <v>10</v>
      </c>
      <c r="I5676" s="3">
        <f t="shared" si="1285"/>
        <v>54</v>
      </c>
      <c r="J5676" s="3">
        <f t="shared" si="1286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287"/>
        <v>YES</v>
      </c>
      <c r="Q5676" t="str">
        <f t="shared" si="1288"/>
        <v>NO</v>
      </c>
      <c r="R5676" t="str">
        <f t="shared" si="1289"/>
        <v>NO</v>
      </c>
      <c r="S5676">
        <v>150</v>
      </c>
      <c r="T5676" t="s">
        <v>1752</v>
      </c>
      <c r="U5676" t="str">
        <f t="shared" si="1276"/>
        <v>Cambridgepark Dr</v>
      </c>
      <c r="W5676" t="str">
        <f t="shared" si="1277"/>
        <v/>
      </c>
      <c r="X5676" t="str">
        <f>IF(ISBLANK(S5676),"Intersection","Non-Intersection")</f>
        <v>Non-Intersection</v>
      </c>
      <c r="Y5676" t="s">
        <v>2080</v>
      </c>
      <c r="Z5676" t="str">
        <f t="shared" si="1278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279"/>
        <v>41275</v>
      </c>
      <c r="D5677" s="4">
        <f t="shared" si="1280"/>
        <v>0.73150684931506849</v>
      </c>
      <c r="E5677" s="3">
        <f t="shared" si="1281"/>
        <v>2013</v>
      </c>
      <c r="F5677" s="3">
        <f t="shared" si="1282"/>
        <v>9</v>
      </c>
      <c r="G5677" s="3">
        <f t="shared" si="1283"/>
        <v>25</v>
      </c>
      <c r="H5677" s="3">
        <f t="shared" si="1284"/>
        <v>17</v>
      </c>
      <c r="I5677" s="3">
        <f t="shared" si="1285"/>
        <v>38</v>
      </c>
      <c r="J5677" s="3">
        <f t="shared" si="1286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287"/>
        <v>YES</v>
      </c>
      <c r="Q5677" t="str">
        <f t="shared" si="1288"/>
        <v>NO</v>
      </c>
      <c r="R5677" t="str">
        <f t="shared" si="1289"/>
        <v>YES</v>
      </c>
      <c r="S5677">
        <v>1667</v>
      </c>
      <c r="T5677" t="s">
        <v>2646</v>
      </c>
      <c r="U5677" t="str">
        <f t="shared" si="1276"/>
        <v>Massachusetts Ave Brdg</v>
      </c>
      <c r="W5677" t="str">
        <f t="shared" si="1277"/>
        <v/>
      </c>
      <c r="X5677" t="str">
        <f>IF(ISBLANK(S5677),"Intersection","Non-Intersection")</f>
        <v>Non-Intersection</v>
      </c>
      <c r="Y5677" t="s">
        <v>6038</v>
      </c>
      <c r="Z5677" t="str">
        <f t="shared" si="1278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279"/>
        <v>41275</v>
      </c>
      <c r="D5678" s="4">
        <f t="shared" si="1280"/>
        <v>0.73150684931506849</v>
      </c>
      <c r="E5678" s="3">
        <f t="shared" si="1281"/>
        <v>2013</v>
      </c>
      <c r="F5678" s="3">
        <f t="shared" si="1282"/>
        <v>9</v>
      </c>
      <c r="G5678" s="3">
        <f t="shared" si="1283"/>
        <v>25</v>
      </c>
      <c r="H5678" s="3">
        <f t="shared" si="1284"/>
        <v>15</v>
      </c>
      <c r="I5678" s="3">
        <f t="shared" si="1285"/>
        <v>0</v>
      </c>
      <c r="J5678" s="3">
        <f t="shared" si="1286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287"/>
        <v>YES</v>
      </c>
      <c r="Q5678" t="str">
        <f t="shared" si="1288"/>
        <v>NO</v>
      </c>
      <c r="R5678" t="str">
        <f t="shared" si="1289"/>
        <v>NO</v>
      </c>
      <c r="S5678">
        <v>47</v>
      </c>
      <c r="U5678" t="str">
        <f t="shared" si="1276"/>
        <v/>
      </c>
      <c r="W5678" t="str">
        <f t="shared" si="1277"/>
        <v/>
      </c>
      <c r="X5678" t="str">
        <f>IF(ISBLANK(S5678),"Intersection","Non-Intersection")</f>
        <v>Non-Intersection</v>
      </c>
      <c r="Y5678" t="s">
        <v>6039</v>
      </c>
      <c r="Z5678" t="str">
        <f t="shared" si="1278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279"/>
        <v>41275</v>
      </c>
      <c r="D5679" s="4">
        <f t="shared" si="1280"/>
        <v>0.73150684931506849</v>
      </c>
      <c r="E5679" s="3">
        <f t="shared" si="1281"/>
        <v>2013</v>
      </c>
      <c r="F5679" s="3">
        <f t="shared" si="1282"/>
        <v>9</v>
      </c>
      <c r="G5679" s="3">
        <f t="shared" si="1283"/>
        <v>25</v>
      </c>
      <c r="H5679" s="3">
        <f t="shared" si="1284"/>
        <v>12</v>
      </c>
      <c r="I5679" s="3">
        <f t="shared" si="1285"/>
        <v>0</v>
      </c>
      <c r="J5679" s="3">
        <f t="shared" si="1286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287"/>
        <v>YES</v>
      </c>
      <c r="Q5679" t="str">
        <f t="shared" si="1288"/>
        <v>NO</v>
      </c>
      <c r="R5679" t="str">
        <f t="shared" si="1289"/>
        <v>YES</v>
      </c>
      <c r="S5679">
        <v>425</v>
      </c>
      <c r="T5679" t="s">
        <v>14</v>
      </c>
      <c r="U5679" t="str">
        <f t="shared" si="1276"/>
        <v>Massachusetts Ave</v>
      </c>
      <c r="W5679" t="str">
        <f t="shared" si="1277"/>
        <v/>
      </c>
      <c r="X5679" t="str">
        <f>IF(ISBLANK(S5679),"Intersection","Non-Intersection")</f>
        <v>Non-Intersection</v>
      </c>
      <c r="Y5679" t="s">
        <v>5018</v>
      </c>
      <c r="Z5679" t="str">
        <f t="shared" si="1278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279"/>
        <v>41275</v>
      </c>
      <c r="D5680" s="4">
        <f t="shared" si="1280"/>
        <v>0.73150684931506849</v>
      </c>
      <c r="E5680" s="3">
        <f t="shared" si="1281"/>
        <v>2013</v>
      </c>
      <c r="F5680" s="3">
        <f t="shared" si="1282"/>
        <v>9</v>
      </c>
      <c r="G5680" s="3">
        <f t="shared" si="1283"/>
        <v>25</v>
      </c>
      <c r="H5680" s="3">
        <f t="shared" si="1284"/>
        <v>9</v>
      </c>
      <c r="I5680" s="3">
        <f t="shared" si="1285"/>
        <v>30</v>
      </c>
      <c r="J5680" s="3">
        <f t="shared" si="1286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287"/>
        <v>YES</v>
      </c>
      <c r="Q5680" t="str">
        <f t="shared" si="1288"/>
        <v>NO</v>
      </c>
      <c r="R5680" t="str">
        <f t="shared" si="1289"/>
        <v>NO</v>
      </c>
      <c r="T5680" t="s">
        <v>202</v>
      </c>
      <c r="U5680" t="str">
        <f t="shared" si="1276"/>
        <v>Vassar St</v>
      </c>
      <c r="V5680" t="s">
        <v>14</v>
      </c>
      <c r="W5680" t="str">
        <f t="shared" si="1277"/>
        <v>Massachusetts Ave</v>
      </c>
      <c r="X5680" t="str">
        <f>IF(ISBLANK(S5680),"Intersection","Non-Intersection")</f>
        <v>Intersection</v>
      </c>
      <c r="Y5680" t="s">
        <v>222</v>
      </c>
      <c r="Z5680" t="str">
        <f t="shared" si="1278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279"/>
        <v>41275</v>
      </c>
      <c r="D5681" s="4">
        <f t="shared" si="1280"/>
        <v>0.73150684931506849</v>
      </c>
      <c r="E5681" s="3">
        <f t="shared" si="1281"/>
        <v>2013</v>
      </c>
      <c r="F5681" s="3">
        <f t="shared" si="1282"/>
        <v>9</v>
      </c>
      <c r="G5681" s="3">
        <f t="shared" si="1283"/>
        <v>25</v>
      </c>
      <c r="H5681" s="3">
        <f t="shared" si="1284"/>
        <v>20</v>
      </c>
      <c r="I5681" s="3">
        <f t="shared" si="1285"/>
        <v>0</v>
      </c>
      <c r="J5681" s="3">
        <f t="shared" si="1286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287"/>
        <v>YES</v>
      </c>
      <c r="Q5681" t="str">
        <f t="shared" si="1288"/>
        <v>NO</v>
      </c>
      <c r="R5681" t="str">
        <f t="shared" si="1289"/>
        <v>NO</v>
      </c>
      <c r="S5681">
        <v>30</v>
      </c>
      <c r="T5681" t="s">
        <v>907</v>
      </c>
      <c r="U5681" t="str">
        <f t="shared" si="1276"/>
        <v>Union St</v>
      </c>
      <c r="W5681" t="str">
        <f t="shared" si="1277"/>
        <v/>
      </c>
      <c r="X5681" t="str">
        <f>IF(ISBLANK(S5681),"Intersection","Non-Intersection")</f>
        <v>Non-Intersection</v>
      </c>
      <c r="Y5681" t="s">
        <v>6040</v>
      </c>
      <c r="Z5681" t="str">
        <f t="shared" si="1278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279"/>
        <v>41275</v>
      </c>
      <c r="D5682" s="4">
        <f t="shared" si="1280"/>
        <v>0.73424657534246573</v>
      </c>
      <c r="E5682" s="3">
        <f t="shared" si="1281"/>
        <v>2013</v>
      </c>
      <c r="F5682" s="3">
        <f t="shared" si="1282"/>
        <v>9</v>
      </c>
      <c r="G5682" s="3">
        <f t="shared" si="1283"/>
        <v>26</v>
      </c>
      <c r="H5682" s="3">
        <f t="shared" si="1284"/>
        <v>7</v>
      </c>
      <c r="I5682" s="3">
        <f t="shared" si="1285"/>
        <v>44</v>
      </c>
      <c r="J5682" s="3">
        <f t="shared" si="1286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287"/>
        <v>YES</v>
      </c>
      <c r="Q5682" t="str">
        <f t="shared" si="1288"/>
        <v>NO</v>
      </c>
      <c r="R5682" t="str">
        <f t="shared" si="1289"/>
        <v>NO</v>
      </c>
      <c r="T5682" t="s">
        <v>105</v>
      </c>
      <c r="U5682" t="str">
        <f t="shared" si="1276"/>
        <v>Broadway</v>
      </c>
      <c r="V5682" t="s">
        <v>189</v>
      </c>
      <c r="W5682" t="str">
        <f t="shared" si="1277"/>
        <v>Windsor St</v>
      </c>
      <c r="X5682" t="str">
        <f>IF(ISBLANK(S5682),"Intersection","Non-Intersection")</f>
        <v>Intersection</v>
      </c>
      <c r="Y5682" t="s">
        <v>477</v>
      </c>
      <c r="Z5682" t="str">
        <f t="shared" si="1278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279"/>
        <v>41275</v>
      </c>
      <c r="D5683" s="4">
        <f t="shared" si="1280"/>
        <v>0.73424657534246573</v>
      </c>
      <c r="E5683" s="3">
        <f t="shared" si="1281"/>
        <v>2013</v>
      </c>
      <c r="F5683" s="3">
        <f t="shared" si="1282"/>
        <v>9</v>
      </c>
      <c r="G5683" s="3">
        <f t="shared" si="1283"/>
        <v>26</v>
      </c>
      <c r="H5683" s="3">
        <f t="shared" si="1284"/>
        <v>14</v>
      </c>
      <c r="I5683" s="3">
        <f t="shared" si="1285"/>
        <v>15</v>
      </c>
      <c r="J5683" s="3">
        <f t="shared" si="1286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287"/>
        <v>YES</v>
      </c>
      <c r="Q5683" t="str">
        <f t="shared" si="1288"/>
        <v>NO</v>
      </c>
      <c r="R5683" t="str">
        <f t="shared" si="1289"/>
        <v>NO</v>
      </c>
      <c r="T5683" t="s">
        <v>351</v>
      </c>
      <c r="U5683" t="str">
        <f t="shared" si="1276"/>
        <v>Cambridge Ctr</v>
      </c>
      <c r="V5683" t="s">
        <v>189</v>
      </c>
      <c r="W5683" t="str">
        <f t="shared" si="1277"/>
        <v>Windsor St</v>
      </c>
      <c r="X5683" t="str">
        <f>IF(ISBLANK(S5683),"Intersection","Non-Intersection")</f>
        <v>Intersection</v>
      </c>
      <c r="Y5683" t="s">
        <v>6042</v>
      </c>
      <c r="Z5683" t="str">
        <f t="shared" si="1278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279"/>
        <v>41275</v>
      </c>
      <c r="D5684" s="4">
        <f t="shared" si="1280"/>
        <v>0.73424657534246573</v>
      </c>
      <c r="E5684" s="3">
        <f t="shared" si="1281"/>
        <v>2013</v>
      </c>
      <c r="F5684" s="3">
        <f t="shared" si="1282"/>
        <v>9</v>
      </c>
      <c r="G5684" s="3">
        <f t="shared" si="1283"/>
        <v>26</v>
      </c>
      <c r="H5684" s="3">
        <f t="shared" si="1284"/>
        <v>17</v>
      </c>
      <c r="I5684" s="3">
        <f t="shared" si="1285"/>
        <v>29</v>
      </c>
      <c r="J5684" s="3">
        <f t="shared" si="1286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287"/>
        <v>YES</v>
      </c>
      <c r="Q5684" t="str">
        <f t="shared" si="1288"/>
        <v>YES</v>
      </c>
      <c r="R5684" t="str">
        <f t="shared" si="1289"/>
        <v>NO</v>
      </c>
      <c r="T5684" t="s">
        <v>453</v>
      </c>
      <c r="U5684" t="str">
        <f t="shared" si="1276"/>
        <v>Brookline St</v>
      </c>
      <c r="V5684" t="s">
        <v>86</v>
      </c>
      <c r="W5684" t="str">
        <f t="shared" si="1277"/>
        <v>Granite St</v>
      </c>
      <c r="X5684" t="str">
        <f>IF(ISBLANK(S5684),"Intersection","Non-Intersection")</f>
        <v>Intersection</v>
      </c>
      <c r="Y5684" t="s">
        <v>6044</v>
      </c>
      <c r="Z5684" t="str">
        <f t="shared" si="1278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279"/>
        <v>41275</v>
      </c>
      <c r="D5685" s="4">
        <f t="shared" si="1280"/>
        <v>0.73424657534246573</v>
      </c>
      <c r="E5685" s="3">
        <f t="shared" si="1281"/>
        <v>2013</v>
      </c>
      <c r="F5685" s="3">
        <f t="shared" si="1282"/>
        <v>9</v>
      </c>
      <c r="G5685" s="3">
        <f t="shared" si="1283"/>
        <v>26</v>
      </c>
      <c r="H5685" s="3">
        <f t="shared" si="1284"/>
        <v>9</v>
      </c>
      <c r="I5685" s="3">
        <f t="shared" si="1285"/>
        <v>45</v>
      </c>
      <c r="J5685" s="3">
        <f t="shared" si="1286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287"/>
        <v>YES</v>
      </c>
      <c r="Q5685" t="str">
        <f t="shared" si="1288"/>
        <v>NO</v>
      </c>
      <c r="R5685" t="str">
        <f t="shared" si="1289"/>
        <v>YES</v>
      </c>
      <c r="T5685" t="s">
        <v>453</v>
      </c>
      <c r="U5685" t="str">
        <f t="shared" si="1276"/>
        <v>Brookline St</v>
      </c>
      <c r="V5685" t="s">
        <v>108</v>
      </c>
      <c r="W5685" t="str">
        <f t="shared" si="1277"/>
        <v>Franklin St</v>
      </c>
      <c r="X5685" t="str">
        <f>IF(ISBLANK(S5685),"Intersection","Non-Intersection")</f>
        <v>Intersection</v>
      </c>
      <c r="Y5685" t="s">
        <v>3184</v>
      </c>
      <c r="Z5685" t="str">
        <f t="shared" si="1278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279"/>
        <v>41275</v>
      </c>
      <c r="D5686" s="4">
        <f t="shared" si="1280"/>
        <v>0.73424657534246573</v>
      </c>
      <c r="E5686" s="3">
        <f t="shared" si="1281"/>
        <v>2013</v>
      </c>
      <c r="F5686" s="3">
        <f t="shared" si="1282"/>
        <v>9</v>
      </c>
      <c r="G5686" s="3">
        <f t="shared" si="1283"/>
        <v>26</v>
      </c>
      <c r="H5686" s="3">
        <f t="shared" si="1284"/>
        <v>7</v>
      </c>
      <c r="I5686" s="3">
        <f t="shared" si="1285"/>
        <v>28</v>
      </c>
      <c r="J5686" s="3">
        <f t="shared" si="1286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287"/>
        <v>YES</v>
      </c>
      <c r="Q5686" t="str">
        <f t="shared" si="1288"/>
        <v>NO</v>
      </c>
      <c r="R5686" t="str">
        <f t="shared" si="1289"/>
        <v>YES</v>
      </c>
      <c r="T5686" t="s">
        <v>238</v>
      </c>
      <c r="U5686" t="str">
        <f t="shared" si="1276"/>
        <v>Kirkland St</v>
      </c>
      <c r="V5686" t="s">
        <v>4918</v>
      </c>
      <c r="W5686" t="str">
        <f t="shared" si="1277"/>
        <v>Holden St</v>
      </c>
      <c r="X5686" t="str">
        <f>IF(ISBLANK(S5686),"Intersection","Non-Intersection")</f>
        <v>Intersection</v>
      </c>
      <c r="Y5686" t="s">
        <v>6045</v>
      </c>
      <c r="Z5686" t="str">
        <f t="shared" si="1278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279"/>
        <v>41275</v>
      </c>
      <c r="D5687" s="4">
        <f t="shared" si="1280"/>
        <v>0.73424657534246573</v>
      </c>
      <c r="E5687" s="3">
        <f t="shared" si="1281"/>
        <v>2013</v>
      </c>
      <c r="F5687" s="3">
        <f t="shared" si="1282"/>
        <v>9</v>
      </c>
      <c r="G5687" s="3">
        <f t="shared" si="1283"/>
        <v>26</v>
      </c>
      <c r="H5687" s="3">
        <f t="shared" si="1284"/>
        <v>9</v>
      </c>
      <c r="I5687" s="3">
        <f t="shared" si="1285"/>
        <v>0</v>
      </c>
      <c r="J5687" s="3">
        <f t="shared" si="1286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287"/>
        <v>YES</v>
      </c>
      <c r="Q5687" t="str">
        <f t="shared" si="1288"/>
        <v>NO</v>
      </c>
      <c r="R5687" t="str">
        <f t="shared" si="1289"/>
        <v>NO</v>
      </c>
      <c r="S5687">
        <v>179</v>
      </c>
      <c r="T5687" t="s">
        <v>146</v>
      </c>
      <c r="U5687" t="str">
        <f t="shared" si="1276"/>
        <v>Spring St</v>
      </c>
      <c r="W5687" t="str">
        <f t="shared" si="1277"/>
        <v/>
      </c>
      <c r="X5687" t="str">
        <f>IF(ISBLANK(S5687),"Intersection","Non-Intersection")</f>
        <v>Non-Intersection</v>
      </c>
      <c r="Y5687" t="s">
        <v>6046</v>
      </c>
      <c r="Z5687" t="str">
        <f t="shared" si="1278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279"/>
        <v>41275</v>
      </c>
      <c r="D5688" s="4">
        <f t="shared" si="1280"/>
        <v>0.73424657534246573</v>
      </c>
      <c r="E5688" s="3">
        <f t="shared" si="1281"/>
        <v>2013</v>
      </c>
      <c r="F5688" s="3">
        <f t="shared" si="1282"/>
        <v>9</v>
      </c>
      <c r="G5688" s="3">
        <f t="shared" si="1283"/>
        <v>26</v>
      </c>
      <c r="H5688" s="3">
        <f t="shared" si="1284"/>
        <v>21</v>
      </c>
      <c r="I5688" s="3">
        <f t="shared" si="1285"/>
        <v>49</v>
      </c>
      <c r="J5688" s="3">
        <f t="shared" si="1286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287"/>
        <v>YES</v>
      </c>
      <c r="Q5688" t="str">
        <f t="shared" si="1288"/>
        <v>NO</v>
      </c>
      <c r="R5688" t="str">
        <f t="shared" si="1289"/>
        <v>NO</v>
      </c>
      <c r="S5688">
        <v>54</v>
      </c>
      <c r="T5688" t="s">
        <v>326</v>
      </c>
      <c r="U5688" t="str">
        <f t="shared" si="1276"/>
        <v>Jfk St</v>
      </c>
      <c r="W5688" t="str">
        <f t="shared" si="1277"/>
        <v/>
      </c>
      <c r="X5688" t="str">
        <f>IF(ISBLANK(S5688),"Intersection","Non-Intersection")</f>
        <v>Non-Intersection</v>
      </c>
      <c r="Y5688" t="s">
        <v>6048</v>
      </c>
      <c r="Z5688" t="str">
        <f t="shared" si="1278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279"/>
        <v>41275</v>
      </c>
      <c r="D5689" s="4">
        <f t="shared" si="1280"/>
        <v>0.73424657534246573</v>
      </c>
      <c r="E5689" s="3">
        <f t="shared" si="1281"/>
        <v>2013</v>
      </c>
      <c r="F5689" s="3">
        <f t="shared" si="1282"/>
        <v>9</v>
      </c>
      <c r="G5689" s="3">
        <f t="shared" si="1283"/>
        <v>26</v>
      </c>
      <c r="H5689" s="3">
        <f t="shared" si="1284"/>
        <v>9</v>
      </c>
      <c r="I5689" s="3">
        <f t="shared" si="1285"/>
        <v>55</v>
      </c>
      <c r="J5689" s="3">
        <f t="shared" si="1286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287"/>
        <v>YES</v>
      </c>
      <c r="Q5689" t="str">
        <f t="shared" si="1288"/>
        <v>NO</v>
      </c>
      <c r="R5689" t="str">
        <f t="shared" si="1289"/>
        <v>NO</v>
      </c>
      <c r="T5689" t="s">
        <v>2646</v>
      </c>
      <c r="U5689" t="str">
        <f t="shared" si="1276"/>
        <v>Massachusetts Ave Brdg</v>
      </c>
      <c r="V5689" t="s">
        <v>252</v>
      </c>
      <c r="W5689" t="str">
        <f t="shared" si="1277"/>
        <v>Walden St</v>
      </c>
      <c r="X5689" t="str">
        <f>IF(ISBLANK(S5689),"Intersection","Non-Intersection")</f>
        <v>Intersection</v>
      </c>
      <c r="Y5689" t="s">
        <v>6050</v>
      </c>
      <c r="Z5689" t="str">
        <f t="shared" si="1278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279"/>
        <v>41275</v>
      </c>
      <c r="D5690" s="4">
        <f t="shared" si="1280"/>
        <v>0.73698630136986298</v>
      </c>
      <c r="E5690" s="3">
        <f t="shared" si="1281"/>
        <v>2013</v>
      </c>
      <c r="F5690" s="3">
        <f t="shared" si="1282"/>
        <v>9</v>
      </c>
      <c r="G5690" s="3">
        <f t="shared" si="1283"/>
        <v>27</v>
      </c>
      <c r="H5690" s="3">
        <f t="shared" si="1284"/>
        <v>20</v>
      </c>
      <c r="I5690" s="3">
        <f t="shared" si="1285"/>
        <v>10</v>
      </c>
      <c r="J5690" s="3">
        <f t="shared" si="1286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287"/>
        <v>YES</v>
      </c>
      <c r="Q5690" t="str">
        <f t="shared" si="1288"/>
        <v>NO</v>
      </c>
      <c r="R5690" t="str">
        <f t="shared" si="1289"/>
        <v>NO</v>
      </c>
      <c r="S5690">
        <v>49</v>
      </c>
      <c r="T5690" t="s">
        <v>268</v>
      </c>
      <c r="U5690" t="str">
        <f t="shared" si="1276"/>
        <v>White St</v>
      </c>
      <c r="W5690" t="str">
        <f t="shared" si="1277"/>
        <v/>
      </c>
      <c r="X5690" t="str">
        <f>IF(ISBLANK(S5690),"Intersection","Non-Intersection")</f>
        <v>Non-Intersection</v>
      </c>
      <c r="Y5690" t="s">
        <v>270</v>
      </c>
      <c r="Z5690" t="str">
        <f t="shared" si="1278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279"/>
        <v>41275</v>
      </c>
      <c r="D5691" s="4">
        <f t="shared" si="1280"/>
        <v>0.73972602739726023</v>
      </c>
      <c r="E5691" s="3">
        <f t="shared" si="1281"/>
        <v>2013</v>
      </c>
      <c r="F5691" s="3">
        <f t="shared" si="1282"/>
        <v>9</v>
      </c>
      <c r="G5691" s="3">
        <f t="shared" si="1283"/>
        <v>28</v>
      </c>
      <c r="H5691" s="3">
        <f t="shared" si="1284"/>
        <v>14</v>
      </c>
      <c r="I5691" s="3">
        <f t="shared" si="1285"/>
        <v>19</v>
      </c>
      <c r="J5691" s="3">
        <f t="shared" si="1286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287"/>
        <v>YES</v>
      </c>
      <c r="Q5691" t="str">
        <f t="shared" si="1288"/>
        <v>NO</v>
      </c>
      <c r="R5691" t="str">
        <f t="shared" si="1289"/>
        <v>NO</v>
      </c>
      <c r="T5691" t="s">
        <v>745</v>
      </c>
      <c r="U5691" t="str">
        <f t="shared" si="1276"/>
        <v>Norfolk St</v>
      </c>
      <c r="W5691" t="str">
        <f t="shared" si="1277"/>
        <v/>
      </c>
      <c r="X5691" t="str">
        <f>IF(ISBLANK(S5691),"Intersection","Non-Intersection")</f>
        <v>Intersection</v>
      </c>
      <c r="Y5691" t="s">
        <v>6052</v>
      </c>
      <c r="Z5691" t="str">
        <f t="shared" si="1278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279"/>
        <v>41275</v>
      </c>
      <c r="D5692" s="4">
        <f t="shared" si="1280"/>
        <v>0.73972602739726023</v>
      </c>
      <c r="E5692" s="3">
        <f t="shared" si="1281"/>
        <v>2013</v>
      </c>
      <c r="F5692" s="3">
        <f t="shared" si="1282"/>
        <v>9</v>
      </c>
      <c r="G5692" s="3">
        <f t="shared" si="1283"/>
        <v>28</v>
      </c>
      <c r="H5692" s="3">
        <f t="shared" si="1284"/>
        <v>18</v>
      </c>
      <c r="I5692" s="3">
        <f t="shared" si="1285"/>
        <v>34</v>
      </c>
      <c r="J5692" s="3">
        <f t="shared" si="1286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287"/>
        <v>YES</v>
      </c>
      <c r="Q5692" t="str">
        <f t="shared" si="1288"/>
        <v>NO</v>
      </c>
      <c r="R5692" t="str">
        <f t="shared" si="1289"/>
        <v>NO</v>
      </c>
      <c r="S5692">
        <v>820</v>
      </c>
      <c r="T5692" t="s">
        <v>203</v>
      </c>
      <c r="U5692" t="str">
        <f t="shared" si="1276"/>
        <v>Memorial Dr</v>
      </c>
      <c r="W5692" t="str">
        <f t="shared" si="1277"/>
        <v/>
      </c>
      <c r="X5692" t="str">
        <f>IF(ISBLANK(S5692),"Intersection","Non-Intersection")</f>
        <v>Non-Intersection</v>
      </c>
      <c r="Y5692" t="s">
        <v>921</v>
      </c>
      <c r="Z5692" t="str">
        <f t="shared" si="1278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279"/>
        <v>41275</v>
      </c>
      <c r="D5693" s="4">
        <f t="shared" si="1280"/>
        <v>0.73972602739726023</v>
      </c>
      <c r="E5693" s="3">
        <f t="shared" si="1281"/>
        <v>2013</v>
      </c>
      <c r="F5693" s="3">
        <f t="shared" si="1282"/>
        <v>9</v>
      </c>
      <c r="G5693" s="3">
        <f t="shared" si="1283"/>
        <v>28</v>
      </c>
      <c r="H5693" s="3">
        <f t="shared" si="1284"/>
        <v>9</v>
      </c>
      <c r="I5693" s="3">
        <f t="shared" si="1285"/>
        <v>0</v>
      </c>
      <c r="J5693" s="3">
        <f t="shared" si="1286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287"/>
        <v>YES</v>
      </c>
      <c r="Q5693" t="str">
        <f t="shared" si="1288"/>
        <v>NO</v>
      </c>
      <c r="R5693" t="str">
        <f t="shared" si="1289"/>
        <v>NO</v>
      </c>
      <c r="S5693">
        <v>2130</v>
      </c>
      <c r="T5693" t="s">
        <v>2646</v>
      </c>
      <c r="U5693" t="str">
        <f t="shared" si="1276"/>
        <v>Massachusetts Ave Brdg</v>
      </c>
      <c r="W5693" t="str">
        <f t="shared" si="1277"/>
        <v/>
      </c>
      <c r="X5693" t="str">
        <f>IF(ISBLANK(S5693),"Intersection","Non-Intersection")</f>
        <v>Non-Intersection</v>
      </c>
      <c r="Y5693" t="s">
        <v>6053</v>
      </c>
      <c r="Z5693" t="str">
        <f t="shared" si="1278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279"/>
        <v>41275</v>
      </c>
      <c r="D5694" s="4">
        <f t="shared" si="1280"/>
        <v>0.74246575342465748</v>
      </c>
      <c r="E5694" s="3">
        <f t="shared" si="1281"/>
        <v>2013</v>
      </c>
      <c r="F5694" s="3">
        <f t="shared" si="1282"/>
        <v>9</v>
      </c>
      <c r="G5694" s="3">
        <f t="shared" si="1283"/>
        <v>29</v>
      </c>
      <c r="H5694" s="3">
        <f t="shared" si="1284"/>
        <v>20</v>
      </c>
      <c r="I5694" s="3">
        <f t="shared" si="1285"/>
        <v>0</v>
      </c>
      <c r="J5694" s="3">
        <f t="shared" si="1286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287"/>
        <v>YES</v>
      </c>
      <c r="Q5694" t="str">
        <f t="shared" si="1288"/>
        <v>NO</v>
      </c>
      <c r="R5694" t="str">
        <f t="shared" si="1289"/>
        <v>NO</v>
      </c>
      <c r="T5694" t="s">
        <v>28</v>
      </c>
      <c r="U5694" t="str">
        <f t="shared" si="1276"/>
        <v>Howard St</v>
      </c>
      <c r="V5694" t="s">
        <v>41</v>
      </c>
      <c r="W5694" t="str">
        <f t="shared" si="1277"/>
        <v>River St</v>
      </c>
      <c r="X5694" t="str">
        <f>IF(ISBLANK(S5694),"Intersection","Non-Intersection")</f>
        <v>Intersection</v>
      </c>
      <c r="Y5694" t="s">
        <v>6054</v>
      </c>
      <c r="Z5694" t="str">
        <f t="shared" si="1278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279"/>
        <v>41275</v>
      </c>
      <c r="D5695" s="4">
        <f t="shared" si="1280"/>
        <v>0.74246575342465748</v>
      </c>
      <c r="E5695" s="3">
        <f t="shared" si="1281"/>
        <v>2013</v>
      </c>
      <c r="F5695" s="3">
        <f t="shared" si="1282"/>
        <v>9</v>
      </c>
      <c r="G5695" s="3">
        <f t="shared" si="1283"/>
        <v>29</v>
      </c>
      <c r="H5695" s="3">
        <f t="shared" si="1284"/>
        <v>12</v>
      </c>
      <c r="I5695" s="3">
        <f t="shared" si="1285"/>
        <v>17</v>
      </c>
      <c r="J5695" s="3">
        <f t="shared" si="1286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287"/>
        <v>YES</v>
      </c>
      <c r="Q5695" t="str">
        <f t="shared" si="1288"/>
        <v>NO</v>
      </c>
      <c r="R5695" t="str">
        <f t="shared" si="1289"/>
        <v>NO</v>
      </c>
      <c r="S5695">
        <v>248</v>
      </c>
      <c r="T5695" t="s">
        <v>453</v>
      </c>
      <c r="U5695" t="str">
        <f t="shared" si="1276"/>
        <v>Brookline St</v>
      </c>
      <c r="W5695" t="str">
        <f t="shared" si="1277"/>
        <v/>
      </c>
      <c r="X5695" t="str">
        <f>IF(ISBLANK(S5695),"Intersection","Non-Intersection")</f>
        <v>Non-Intersection</v>
      </c>
      <c r="Y5695" t="s">
        <v>6055</v>
      </c>
      <c r="Z5695" t="str">
        <f t="shared" si="1278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279"/>
        <v>41275</v>
      </c>
      <c r="D5696" s="4">
        <f t="shared" si="1280"/>
        <v>0.74520547945205484</v>
      </c>
      <c r="E5696" s="3">
        <f t="shared" si="1281"/>
        <v>2013</v>
      </c>
      <c r="F5696" s="3">
        <f t="shared" si="1282"/>
        <v>9</v>
      </c>
      <c r="G5696" s="3">
        <f t="shared" si="1283"/>
        <v>30</v>
      </c>
      <c r="H5696" s="3">
        <f t="shared" si="1284"/>
        <v>9</v>
      </c>
      <c r="I5696" s="3">
        <f t="shared" si="1285"/>
        <v>59</v>
      </c>
      <c r="J5696" s="3">
        <f t="shared" si="1286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287"/>
        <v>YES</v>
      </c>
      <c r="Q5696" t="str">
        <f t="shared" si="1288"/>
        <v>NO</v>
      </c>
      <c r="R5696" t="str">
        <f t="shared" si="1289"/>
        <v>NO</v>
      </c>
      <c r="S5696">
        <v>211</v>
      </c>
      <c r="T5696" t="s">
        <v>170</v>
      </c>
      <c r="U5696" t="str">
        <f t="shared" si="1276"/>
        <v>Alewife Brook Pky</v>
      </c>
      <c r="W5696" t="str">
        <f t="shared" si="1277"/>
        <v/>
      </c>
      <c r="X5696" t="str">
        <f>IF(ISBLANK(S5696),"Intersection","Non-Intersection")</f>
        <v>Non-Intersection</v>
      </c>
      <c r="Y5696" t="s">
        <v>1359</v>
      </c>
      <c r="Z5696" t="str">
        <f t="shared" si="1278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279"/>
        <v>41275</v>
      </c>
      <c r="D5697" s="4">
        <f t="shared" si="1280"/>
        <v>0.74520547945205484</v>
      </c>
      <c r="E5697" s="3">
        <f t="shared" si="1281"/>
        <v>2013</v>
      </c>
      <c r="F5697" s="3">
        <f t="shared" si="1282"/>
        <v>9</v>
      </c>
      <c r="G5697" s="3">
        <f t="shared" si="1283"/>
        <v>30</v>
      </c>
      <c r="H5697" s="3">
        <f t="shared" si="1284"/>
        <v>16</v>
      </c>
      <c r="I5697" s="3">
        <f t="shared" si="1285"/>
        <v>6</v>
      </c>
      <c r="J5697" s="3">
        <f t="shared" si="1286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287"/>
        <v>YES</v>
      </c>
      <c r="Q5697" t="str">
        <f t="shared" si="1288"/>
        <v>NO</v>
      </c>
      <c r="R5697" t="str">
        <f t="shared" si="1289"/>
        <v>YES</v>
      </c>
      <c r="T5697" t="s">
        <v>101</v>
      </c>
      <c r="U5697" t="str">
        <f t="shared" si="1276"/>
        <v>Columbia St</v>
      </c>
      <c r="V5697" t="s">
        <v>1427</v>
      </c>
      <c r="W5697" t="str">
        <f t="shared" si="1277"/>
        <v>Harvard Sq</v>
      </c>
      <c r="X5697" t="str">
        <f>IF(ISBLANK(S5697),"Intersection","Non-Intersection")</f>
        <v>Intersection</v>
      </c>
      <c r="Y5697" t="s">
        <v>6057</v>
      </c>
      <c r="Z5697" t="str">
        <f t="shared" si="1278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279"/>
        <v>41275</v>
      </c>
      <c r="D5698" s="4">
        <f t="shared" si="1280"/>
        <v>0.74520547945205484</v>
      </c>
      <c r="E5698" s="3">
        <f t="shared" si="1281"/>
        <v>2013</v>
      </c>
      <c r="F5698" s="3">
        <f t="shared" si="1282"/>
        <v>9</v>
      </c>
      <c r="G5698" s="3">
        <f t="shared" si="1283"/>
        <v>30</v>
      </c>
      <c r="H5698" s="3">
        <f t="shared" si="1284"/>
        <v>17</v>
      </c>
      <c r="I5698" s="3">
        <f t="shared" si="1285"/>
        <v>19</v>
      </c>
      <c r="J5698" s="3">
        <f t="shared" si="1286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287"/>
        <v>YES</v>
      </c>
      <c r="Q5698" t="str">
        <f t="shared" si="1288"/>
        <v>YES</v>
      </c>
      <c r="R5698" t="str">
        <f t="shared" si="1289"/>
        <v>NO</v>
      </c>
      <c r="S5698">
        <v>15</v>
      </c>
      <c r="T5698" t="s">
        <v>202</v>
      </c>
      <c r="U5698" t="str">
        <f t="shared" si="1276"/>
        <v>Vassar St</v>
      </c>
      <c r="W5698" t="str">
        <f t="shared" si="1277"/>
        <v/>
      </c>
      <c r="X5698" t="str">
        <f>IF(ISBLANK(S5698),"Intersection","Non-Intersection")</f>
        <v>Non-Intersection</v>
      </c>
      <c r="Y5698" t="s">
        <v>3322</v>
      </c>
      <c r="Z5698" t="str">
        <f t="shared" si="1278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279"/>
        <v>41275</v>
      </c>
      <c r="D5699" s="4">
        <f t="shared" si="1280"/>
        <v>0.74520547945205484</v>
      </c>
      <c r="E5699" s="3">
        <f t="shared" si="1281"/>
        <v>2013</v>
      </c>
      <c r="F5699" s="3">
        <f t="shared" si="1282"/>
        <v>9</v>
      </c>
      <c r="G5699" s="3">
        <f t="shared" si="1283"/>
        <v>30</v>
      </c>
      <c r="H5699" s="3">
        <f t="shared" si="1284"/>
        <v>16</v>
      </c>
      <c r="I5699" s="3">
        <f t="shared" si="1285"/>
        <v>50</v>
      </c>
      <c r="J5699" s="3">
        <f t="shared" si="1286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287"/>
        <v>YES</v>
      </c>
      <c r="Q5699" t="str">
        <f t="shared" si="1288"/>
        <v>NO</v>
      </c>
      <c r="R5699" t="str">
        <f t="shared" si="1289"/>
        <v>NO</v>
      </c>
      <c r="T5699" t="s">
        <v>42</v>
      </c>
      <c r="U5699" t="str">
        <f t="shared" ref="U5699:U5762" si="1290">TRIM(PROPER(T5699))</f>
        <v>Putnam Ave</v>
      </c>
      <c r="V5699" t="s">
        <v>178</v>
      </c>
      <c r="W5699" t="str">
        <f t="shared" ref="W5699:W5762" si="1291">TRIM(PROPER(V5699))</f>
        <v>Pleasant St</v>
      </c>
      <c r="X5699" t="str">
        <f>IF(ISBLANK(S5699),"Intersection","Non-Intersection")</f>
        <v>Intersection</v>
      </c>
      <c r="Y5699" t="s">
        <v>179</v>
      </c>
      <c r="Z5699" t="str">
        <f t="shared" ref="Z5699:Z5762" si="129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279"/>
        <v>41275</v>
      </c>
      <c r="D5700" s="4">
        <f t="shared" si="1280"/>
        <v>0.74520547945205484</v>
      </c>
      <c r="E5700" s="3">
        <f t="shared" si="1281"/>
        <v>2013</v>
      </c>
      <c r="F5700" s="3">
        <f t="shared" si="1282"/>
        <v>9</v>
      </c>
      <c r="G5700" s="3">
        <f t="shared" si="1283"/>
        <v>30</v>
      </c>
      <c r="H5700" s="3">
        <f t="shared" si="1284"/>
        <v>13</v>
      </c>
      <c r="I5700" s="3">
        <f t="shared" si="1285"/>
        <v>15</v>
      </c>
      <c r="J5700" s="3">
        <f t="shared" si="1286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287"/>
        <v>YES</v>
      </c>
      <c r="Q5700" t="str">
        <f t="shared" si="1288"/>
        <v>NO</v>
      </c>
      <c r="R5700" t="str">
        <f t="shared" si="1289"/>
        <v>NO</v>
      </c>
      <c r="S5700">
        <v>23</v>
      </c>
      <c r="T5700" t="s">
        <v>4580</v>
      </c>
      <c r="U5700" t="str">
        <f t="shared" si="1290"/>
        <v>Berkeley St</v>
      </c>
      <c r="W5700" t="str">
        <f t="shared" si="1291"/>
        <v/>
      </c>
      <c r="X5700" t="str">
        <f>IF(ISBLANK(S5700),"Intersection","Non-Intersection")</f>
        <v>Non-Intersection</v>
      </c>
      <c r="Y5700" t="s">
        <v>6058</v>
      </c>
      <c r="Z5700" t="str">
        <f t="shared" si="129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279"/>
        <v>41275</v>
      </c>
      <c r="D5701" s="4">
        <f t="shared" si="1280"/>
        <v>0.74794520547945209</v>
      </c>
      <c r="E5701" s="3">
        <f t="shared" si="1281"/>
        <v>2013</v>
      </c>
      <c r="F5701" s="3">
        <f t="shared" si="1282"/>
        <v>10</v>
      </c>
      <c r="G5701" s="3">
        <f t="shared" si="1283"/>
        <v>1</v>
      </c>
      <c r="H5701" s="3">
        <f t="shared" si="1284"/>
        <v>0</v>
      </c>
      <c r="I5701" s="3">
        <f t="shared" si="1285"/>
        <v>30</v>
      </c>
      <c r="J5701" s="3">
        <f t="shared" si="1286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287"/>
        <v>YES</v>
      </c>
      <c r="Q5701" t="str">
        <f t="shared" si="1288"/>
        <v>NO</v>
      </c>
      <c r="R5701" t="str">
        <f t="shared" si="1289"/>
        <v>NO</v>
      </c>
      <c r="S5701">
        <v>515</v>
      </c>
      <c r="T5701" t="s">
        <v>14</v>
      </c>
      <c r="U5701" t="str">
        <f t="shared" si="1290"/>
        <v>Massachusetts Ave</v>
      </c>
      <c r="W5701" t="str">
        <f t="shared" si="1291"/>
        <v/>
      </c>
      <c r="X5701" t="str">
        <f>IF(ISBLANK(S5701),"Intersection","Non-Intersection")</f>
        <v>Non-Intersection</v>
      </c>
      <c r="Y5701" t="s">
        <v>3299</v>
      </c>
      <c r="Z5701" t="str">
        <f t="shared" si="129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279"/>
        <v>41275</v>
      </c>
      <c r="D5702" s="4">
        <f t="shared" si="1280"/>
        <v>0.74794520547945209</v>
      </c>
      <c r="E5702" s="3">
        <f t="shared" si="1281"/>
        <v>2013</v>
      </c>
      <c r="F5702" s="3">
        <f t="shared" si="1282"/>
        <v>10</v>
      </c>
      <c r="G5702" s="3">
        <f t="shared" si="1283"/>
        <v>1</v>
      </c>
      <c r="H5702" s="3">
        <f t="shared" si="1284"/>
        <v>9</v>
      </c>
      <c r="I5702" s="3">
        <f t="shared" si="1285"/>
        <v>0</v>
      </c>
      <c r="J5702" s="3">
        <f t="shared" si="1286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287"/>
        <v>YES</v>
      </c>
      <c r="Q5702" t="str">
        <f t="shared" si="1288"/>
        <v>NO</v>
      </c>
      <c r="R5702" t="str">
        <f t="shared" si="1289"/>
        <v>NO</v>
      </c>
      <c r="S5702">
        <v>80</v>
      </c>
      <c r="T5702" t="s">
        <v>249</v>
      </c>
      <c r="U5702" t="str">
        <f t="shared" si="1290"/>
        <v>Landsdowne St</v>
      </c>
      <c r="W5702" t="str">
        <f t="shared" si="1291"/>
        <v/>
      </c>
      <c r="X5702" t="str">
        <f>IF(ISBLANK(S5702),"Intersection","Non-Intersection")</f>
        <v>Non-Intersection</v>
      </c>
      <c r="Y5702" t="s">
        <v>2357</v>
      </c>
      <c r="Z5702" t="str">
        <f t="shared" si="129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279"/>
        <v>41275</v>
      </c>
      <c r="D5703" s="4">
        <f t="shared" si="1280"/>
        <v>0.74794520547945209</v>
      </c>
      <c r="E5703" s="3">
        <f t="shared" si="1281"/>
        <v>2013</v>
      </c>
      <c r="F5703" s="3">
        <f t="shared" si="1282"/>
        <v>10</v>
      </c>
      <c r="G5703" s="3">
        <f t="shared" si="1283"/>
        <v>1</v>
      </c>
      <c r="H5703" s="3">
        <f t="shared" si="1284"/>
        <v>18</v>
      </c>
      <c r="I5703" s="3">
        <f t="shared" si="1285"/>
        <v>37</v>
      </c>
      <c r="J5703" s="3">
        <f t="shared" si="1286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287"/>
        <v>YES</v>
      </c>
      <c r="Q5703" t="str">
        <f t="shared" si="1288"/>
        <v>NO</v>
      </c>
      <c r="R5703" t="str">
        <f t="shared" si="1289"/>
        <v>NO</v>
      </c>
      <c r="S5703">
        <v>25</v>
      </c>
      <c r="T5703" t="s">
        <v>335</v>
      </c>
      <c r="U5703" t="str">
        <f t="shared" si="1290"/>
        <v>Ware St</v>
      </c>
      <c r="W5703" t="str">
        <f t="shared" si="1291"/>
        <v/>
      </c>
      <c r="X5703" t="str">
        <f>IF(ISBLANK(S5703),"Intersection","Non-Intersection")</f>
        <v>Non-Intersection</v>
      </c>
      <c r="Y5703" t="s">
        <v>6060</v>
      </c>
      <c r="Z5703" t="str">
        <f t="shared" si="129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279"/>
        <v>41275</v>
      </c>
      <c r="D5704" s="4">
        <f t="shared" si="1280"/>
        <v>0.74794520547945209</v>
      </c>
      <c r="E5704" s="3">
        <f t="shared" si="1281"/>
        <v>2013</v>
      </c>
      <c r="F5704" s="3">
        <f t="shared" si="1282"/>
        <v>10</v>
      </c>
      <c r="G5704" s="3">
        <f t="shared" si="1283"/>
        <v>1</v>
      </c>
      <c r="H5704" s="3">
        <f t="shared" si="1284"/>
        <v>12</v>
      </c>
      <c r="I5704" s="3">
        <f t="shared" si="1285"/>
        <v>59</v>
      </c>
      <c r="J5704" s="3">
        <f t="shared" si="1286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287"/>
        <v>YES</v>
      </c>
      <c r="Q5704" t="str">
        <f t="shared" si="1288"/>
        <v>NO</v>
      </c>
      <c r="R5704" t="str">
        <f t="shared" si="1289"/>
        <v>NO</v>
      </c>
      <c r="T5704" t="s">
        <v>2646</v>
      </c>
      <c r="U5704" t="str">
        <f t="shared" si="1290"/>
        <v>Massachusetts Ave Brdg</v>
      </c>
      <c r="V5704" t="s">
        <v>133</v>
      </c>
      <c r="W5704" t="str">
        <f t="shared" si="1291"/>
        <v>Harvard St</v>
      </c>
      <c r="X5704" t="str">
        <f>IF(ISBLANK(S5704),"Intersection","Non-Intersection")</f>
        <v>Intersection</v>
      </c>
      <c r="Y5704" t="s">
        <v>6062</v>
      </c>
      <c r="Z5704" t="str">
        <f t="shared" si="129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279"/>
        <v>41275</v>
      </c>
      <c r="D5705" s="4">
        <f t="shared" si="1280"/>
        <v>0.74794520547945209</v>
      </c>
      <c r="E5705" s="3">
        <f t="shared" si="1281"/>
        <v>2013</v>
      </c>
      <c r="F5705" s="3">
        <f t="shared" si="1282"/>
        <v>10</v>
      </c>
      <c r="G5705" s="3">
        <f t="shared" si="1283"/>
        <v>1</v>
      </c>
      <c r="H5705" s="3">
        <f t="shared" si="1284"/>
        <v>18</v>
      </c>
      <c r="I5705" s="3">
        <f t="shared" si="1285"/>
        <v>59</v>
      </c>
      <c r="J5705" s="3">
        <f t="shared" si="1286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287"/>
        <v>YES</v>
      </c>
      <c r="Q5705" t="str">
        <f t="shared" si="1288"/>
        <v>NO</v>
      </c>
      <c r="R5705" t="str">
        <f t="shared" si="1289"/>
        <v>NO</v>
      </c>
      <c r="S5705">
        <v>413</v>
      </c>
      <c r="T5705" t="s">
        <v>1545</v>
      </c>
      <c r="U5705" t="str">
        <f t="shared" si="1290"/>
        <v>Washington St</v>
      </c>
      <c r="W5705" t="str">
        <f t="shared" si="1291"/>
        <v/>
      </c>
      <c r="X5705" t="str">
        <f>IF(ISBLANK(S5705),"Intersection","Non-Intersection")</f>
        <v>Non-Intersection</v>
      </c>
      <c r="Y5705" t="s">
        <v>6064</v>
      </c>
      <c r="Z5705" t="str">
        <f t="shared" si="129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279"/>
        <v>41275</v>
      </c>
      <c r="D5706" s="4">
        <f t="shared" si="1280"/>
        <v>0.74794520547945209</v>
      </c>
      <c r="E5706" s="3">
        <f t="shared" si="1281"/>
        <v>2013</v>
      </c>
      <c r="F5706" s="3">
        <f t="shared" si="1282"/>
        <v>10</v>
      </c>
      <c r="G5706" s="3">
        <f t="shared" si="1283"/>
        <v>1</v>
      </c>
      <c r="H5706" s="3">
        <f t="shared" si="1284"/>
        <v>16</v>
      </c>
      <c r="I5706" s="3">
        <f t="shared" si="1285"/>
        <v>38</v>
      </c>
      <c r="J5706" s="3">
        <f t="shared" si="1286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287"/>
        <v>YES</v>
      </c>
      <c r="Q5706" t="str">
        <f t="shared" si="1288"/>
        <v>NO</v>
      </c>
      <c r="R5706" t="str">
        <f t="shared" si="1289"/>
        <v>NO</v>
      </c>
      <c r="S5706">
        <v>1762</v>
      </c>
      <c r="T5706" t="s">
        <v>2646</v>
      </c>
      <c r="U5706" t="str">
        <f t="shared" si="1290"/>
        <v>Massachusetts Ave Brdg</v>
      </c>
      <c r="W5706" t="str">
        <f t="shared" si="1291"/>
        <v/>
      </c>
      <c r="X5706" t="str">
        <f>IF(ISBLANK(S5706),"Intersection","Non-Intersection")</f>
        <v>Non-Intersection</v>
      </c>
      <c r="Y5706" t="s">
        <v>6066</v>
      </c>
      <c r="Z5706" t="str">
        <f t="shared" si="129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279"/>
        <v>41275</v>
      </c>
      <c r="D5707" s="4">
        <f t="shared" si="1280"/>
        <v>0.74794520547945209</v>
      </c>
      <c r="E5707" s="3">
        <f t="shared" si="1281"/>
        <v>2013</v>
      </c>
      <c r="F5707" s="3">
        <f t="shared" si="1282"/>
        <v>10</v>
      </c>
      <c r="G5707" s="3">
        <f t="shared" si="1283"/>
        <v>1</v>
      </c>
      <c r="H5707" s="3">
        <f t="shared" si="1284"/>
        <v>8</v>
      </c>
      <c r="I5707" s="3">
        <f t="shared" si="1285"/>
        <v>45</v>
      </c>
      <c r="J5707" s="3">
        <f t="shared" si="1286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287"/>
        <v>YES</v>
      </c>
      <c r="Q5707" t="str">
        <f t="shared" si="1288"/>
        <v>NO</v>
      </c>
      <c r="R5707" t="str">
        <f t="shared" si="1289"/>
        <v>NO</v>
      </c>
      <c r="S5707">
        <v>19</v>
      </c>
      <c r="T5707" t="s">
        <v>335</v>
      </c>
      <c r="U5707" t="str">
        <f t="shared" si="1290"/>
        <v>Ware St</v>
      </c>
      <c r="W5707" t="str">
        <f t="shared" si="1291"/>
        <v/>
      </c>
      <c r="X5707" t="str">
        <f>IF(ISBLANK(S5707),"Intersection","Non-Intersection")</f>
        <v>Non-Intersection</v>
      </c>
      <c r="Y5707" t="s">
        <v>5183</v>
      </c>
      <c r="Z5707" t="str">
        <f t="shared" si="129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279"/>
        <v>41275</v>
      </c>
      <c r="D5708" s="4">
        <f t="shared" si="1280"/>
        <v>0.74794520547945209</v>
      </c>
      <c r="E5708" s="3">
        <f t="shared" si="1281"/>
        <v>2013</v>
      </c>
      <c r="F5708" s="3">
        <f t="shared" si="1282"/>
        <v>10</v>
      </c>
      <c r="G5708" s="3">
        <f t="shared" si="1283"/>
        <v>1</v>
      </c>
      <c r="H5708" s="3">
        <f t="shared" si="1284"/>
        <v>17</v>
      </c>
      <c r="I5708" s="3">
        <f t="shared" si="1285"/>
        <v>46</v>
      </c>
      <c r="J5708" s="3">
        <f t="shared" si="1286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287"/>
        <v>YES</v>
      </c>
      <c r="Q5708" t="str">
        <f t="shared" si="1288"/>
        <v>NO</v>
      </c>
      <c r="R5708" t="str">
        <f t="shared" si="1289"/>
        <v>NO</v>
      </c>
      <c r="S5708">
        <v>2192</v>
      </c>
      <c r="T5708" t="s">
        <v>14</v>
      </c>
      <c r="U5708" t="str">
        <f t="shared" si="1290"/>
        <v>Massachusetts Ave</v>
      </c>
      <c r="W5708" t="str">
        <f t="shared" si="1291"/>
        <v/>
      </c>
      <c r="X5708" t="str">
        <f>IF(ISBLANK(S5708),"Intersection","Non-Intersection")</f>
        <v>Non-Intersection</v>
      </c>
      <c r="Y5708" t="s">
        <v>6067</v>
      </c>
      <c r="Z5708" t="str">
        <f t="shared" si="129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279"/>
        <v>41275</v>
      </c>
      <c r="D5709" s="4">
        <f t="shared" si="1280"/>
        <v>0.74794520547945209</v>
      </c>
      <c r="E5709" s="3">
        <f t="shared" si="1281"/>
        <v>2013</v>
      </c>
      <c r="F5709" s="3">
        <f t="shared" si="1282"/>
        <v>10</v>
      </c>
      <c r="G5709" s="3">
        <f t="shared" si="1283"/>
        <v>1</v>
      </c>
      <c r="H5709" s="3">
        <f t="shared" si="1284"/>
        <v>8</v>
      </c>
      <c r="I5709" s="3">
        <f t="shared" si="1285"/>
        <v>0</v>
      </c>
      <c r="J5709" s="3">
        <f t="shared" si="1286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287"/>
        <v>YES</v>
      </c>
      <c r="Q5709" t="str">
        <f t="shared" si="1288"/>
        <v>NO</v>
      </c>
      <c r="R5709" t="str">
        <f t="shared" si="1289"/>
        <v>NO</v>
      </c>
      <c r="S5709">
        <v>25</v>
      </c>
      <c r="T5709" t="s">
        <v>3879</v>
      </c>
      <c r="U5709" t="str">
        <f t="shared" si="1290"/>
        <v>Ericsson St</v>
      </c>
      <c r="W5709" t="str">
        <f t="shared" si="1291"/>
        <v/>
      </c>
      <c r="X5709" t="str">
        <f>IF(ISBLANK(S5709),"Intersection","Non-Intersection")</f>
        <v>Non-Intersection</v>
      </c>
      <c r="Y5709" t="s">
        <v>6069</v>
      </c>
      <c r="Z5709" t="str">
        <f t="shared" si="129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279"/>
        <v>41275</v>
      </c>
      <c r="D5710" s="4">
        <f t="shared" si="1280"/>
        <v>0.75068493150684934</v>
      </c>
      <c r="E5710" s="3">
        <f t="shared" si="1281"/>
        <v>2013</v>
      </c>
      <c r="F5710" s="3">
        <f t="shared" si="1282"/>
        <v>10</v>
      </c>
      <c r="G5710" s="3">
        <f t="shared" si="1283"/>
        <v>2</v>
      </c>
      <c r="H5710" s="3">
        <f t="shared" si="1284"/>
        <v>7</v>
      </c>
      <c r="I5710" s="3">
        <f t="shared" si="1285"/>
        <v>50</v>
      </c>
      <c r="J5710" s="3">
        <f t="shared" si="1286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287"/>
        <v>YES</v>
      </c>
      <c r="Q5710" t="str">
        <f t="shared" si="1288"/>
        <v>YES</v>
      </c>
      <c r="R5710" t="str">
        <f t="shared" si="1289"/>
        <v>NO</v>
      </c>
      <c r="S5710">
        <v>96</v>
      </c>
      <c r="T5710" t="s">
        <v>186</v>
      </c>
      <c r="U5710" t="str">
        <f t="shared" si="1290"/>
        <v>Concord Ave</v>
      </c>
      <c r="W5710" t="str">
        <f t="shared" si="1291"/>
        <v/>
      </c>
      <c r="X5710" t="str">
        <f>IF(ISBLANK(S5710),"Intersection","Non-Intersection")</f>
        <v>Non-Intersection</v>
      </c>
      <c r="Y5710" t="s">
        <v>4025</v>
      </c>
      <c r="Z5710" t="str">
        <f t="shared" si="129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279"/>
        <v>41275</v>
      </c>
      <c r="D5711" s="4">
        <f t="shared" si="1280"/>
        <v>0.75068493150684934</v>
      </c>
      <c r="E5711" s="3">
        <f t="shared" si="1281"/>
        <v>2013</v>
      </c>
      <c r="F5711" s="3">
        <f t="shared" si="1282"/>
        <v>10</v>
      </c>
      <c r="G5711" s="3">
        <f t="shared" si="1283"/>
        <v>2</v>
      </c>
      <c r="H5711" s="3">
        <f t="shared" si="1284"/>
        <v>8</v>
      </c>
      <c r="I5711" s="3">
        <f t="shared" si="1285"/>
        <v>29</v>
      </c>
      <c r="J5711" s="3">
        <f t="shared" si="1286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287"/>
        <v>YES</v>
      </c>
      <c r="Q5711" t="str">
        <f t="shared" si="1288"/>
        <v>NO</v>
      </c>
      <c r="R5711" t="str">
        <f t="shared" si="1289"/>
        <v>NO</v>
      </c>
      <c r="S5711">
        <v>11</v>
      </c>
      <c r="T5711" t="s">
        <v>459</v>
      </c>
      <c r="U5711" t="str">
        <f t="shared" si="1290"/>
        <v>Fayerweather St</v>
      </c>
      <c r="W5711" t="str">
        <f t="shared" si="1291"/>
        <v/>
      </c>
      <c r="X5711" t="str">
        <f>IF(ISBLANK(S5711),"Intersection","Non-Intersection")</f>
        <v>Non-Intersection</v>
      </c>
      <c r="Y5711" t="s">
        <v>6071</v>
      </c>
      <c r="Z5711" t="str">
        <f t="shared" si="129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279"/>
        <v>41275</v>
      </c>
      <c r="D5712" s="4">
        <f t="shared" si="1280"/>
        <v>0.75068493150684934</v>
      </c>
      <c r="E5712" s="3">
        <f t="shared" si="1281"/>
        <v>2013</v>
      </c>
      <c r="F5712" s="3">
        <f t="shared" si="1282"/>
        <v>10</v>
      </c>
      <c r="G5712" s="3">
        <f t="shared" si="1283"/>
        <v>2</v>
      </c>
      <c r="H5712" s="3">
        <f t="shared" si="1284"/>
        <v>16</v>
      </c>
      <c r="I5712" s="3">
        <f t="shared" si="1285"/>
        <v>15</v>
      </c>
      <c r="J5712" s="3">
        <f t="shared" si="1286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287"/>
        <v>YES</v>
      </c>
      <c r="Q5712" t="str">
        <f t="shared" si="1288"/>
        <v>NO</v>
      </c>
      <c r="R5712" t="str">
        <f t="shared" si="1289"/>
        <v>NO</v>
      </c>
      <c r="T5712" t="s">
        <v>198</v>
      </c>
      <c r="U5712" t="str">
        <f t="shared" si="1290"/>
        <v>Mount Auburn St</v>
      </c>
      <c r="V5712" t="s">
        <v>464</v>
      </c>
      <c r="W5712" t="str">
        <f t="shared" si="1291"/>
        <v>Aberdeen Way</v>
      </c>
      <c r="X5712" t="str">
        <f>IF(ISBLANK(S5712),"Intersection","Non-Intersection")</f>
        <v>Intersection</v>
      </c>
      <c r="Y5712" t="s">
        <v>1666</v>
      </c>
      <c r="Z5712" t="str">
        <f t="shared" si="129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279"/>
        <v>41275</v>
      </c>
      <c r="D5713" s="4">
        <f t="shared" si="1280"/>
        <v>0.75068493150684934</v>
      </c>
      <c r="E5713" s="3">
        <f t="shared" si="1281"/>
        <v>2013</v>
      </c>
      <c r="F5713" s="3">
        <f t="shared" si="1282"/>
        <v>10</v>
      </c>
      <c r="G5713" s="3">
        <f t="shared" si="1283"/>
        <v>2</v>
      </c>
      <c r="H5713" s="3">
        <f t="shared" si="1284"/>
        <v>17</v>
      </c>
      <c r="I5713" s="3">
        <f t="shared" si="1285"/>
        <v>0</v>
      </c>
      <c r="J5713" s="3">
        <f t="shared" si="1286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287"/>
        <v>YES</v>
      </c>
      <c r="Q5713" t="str">
        <f t="shared" si="1288"/>
        <v>NO</v>
      </c>
      <c r="R5713" t="str">
        <f t="shared" si="1289"/>
        <v>NO</v>
      </c>
      <c r="T5713" t="s">
        <v>316</v>
      </c>
      <c r="U5713" t="str">
        <f t="shared" si="1290"/>
        <v>Bishop Allen Dr</v>
      </c>
      <c r="W5713" t="str">
        <f t="shared" si="1291"/>
        <v/>
      </c>
      <c r="X5713" t="str">
        <f>IF(ISBLANK(S5713),"Intersection","Non-Intersection")</f>
        <v>Intersection</v>
      </c>
      <c r="Y5713" t="s">
        <v>1374</v>
      </c>
      <c r="Z5713" t="str">
        <f t="shared" si="129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279"/>
        <v>41275</v>
      </c>
      <c r="D5714" s="4">
        <f t="shared" si="1280"/>
        <v>0.75068493150684934</v>
      </c>
      <c r="E5714" s="3">
        <f t="shared" si="1281"/>
        <v>2013</v>
      </c>
      <c r="F5714" s="3">
        <f t="shared" si="1282"/>
        <v>10</v>
      </c>
      <c r="G5714" s="3">
        <f t="shared" si="1283"/>
        <v>2</v>
      </c>
      <c r="H5714" s="3">
        <f t="shared" si="1284"/>
        <v>12</v>
      </c>
      <c r="I5714" s="3">
        <f t="shared" si="1285"/>
        <v>4</v>
      </c>
      <c r="J5714" s="3">
        <f t="shared" si="1286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287"/>
        <v>YES</v>
      </c>
      <c r="Q5714" t="str">
        <f t="shared" si="1288"/>
        <v>NO</v>
      </c>
      <c r="R5714" t="str">
        <f t="shared" si="1289"/>
        <v>NO</v>
      </c>
      <c r="S5714">
        <v>640</v>
      </c>
      <c r="T5714" t="s">
        <v>186</v>
      </c>
      <c r="U5714" t="str">
        <f t="shared" si="1290"/>
        <v>Concord Ave</v>
      </c>
      <c r="W5714" t="str">
        <f t="shared" si="1291"/>
        <v/>
      </c>
      <c r="X5714" t="str">
        <f>IF(ISBLANK(S5714),"Intersection","Non-Intersection")</f>
        <v>Non-Intersection</v>
      </c>
      <c r="Y5714" t="s">
        <v>3838</v>
      </c>
      <c r="Z5714" t="str">
        <f t="shared" si="129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279"/>
        <v>41275</v>
      </c>
      <c r="D5715" s="4">
        <f t="shared" si="1280"/>
        <v>0.75068493150684934</v>
      </c>
      <c r="E5715" s="3">
        <f t="shared" si="1281"/>
        <v>2013</v>
      </c>
      <c r="F5715" s="3">
        <f t="shared" si="1282"/>
        <v>10</v>
      </c>
      <c r="G5715" s="3">
        <f t="shared" si="1283"/>
        <v>2</v>
      </c>
      <c r="H5715" s="3">
        <f t="shared" si="1284"/>
        <v>9</v>
      </c>
      <c r="I5715" s="3">
        <f t="shared" si="1285"/>
        <v>59</v>
      </c>
      <c r="J5715" s="3">
        <f t="shared" si="1286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287"/>
        <v>YES</v>
      </c>
      <c r="Q5715" t="str">
        <f t="shared" si="1288"/>
        <v>NO</v>
      </c>
      <c r="R5715" t="str">
        <f t="shared" si="1289"/>
        <v>NO</v>
      </c>
      <c r="S5715">
        <v>59</v>
      </c>
      <c r="T5715" t="s">
        <v>101</v>
      </c>
      <c r="U5715" t="str">
        <f t="shared" si="1290"/>
        <v>Columbia St</v>
      </c>
      <c r="V5715" t="s">
        <v>4564</v>
      </c>
      <c r="W5715" t="str">
        <f t="shared" si="1291"/>
        <v>Clement Cir</v>
      </c>
      <c r="X5715" t="str">
        <f>IF(ISBLANK(S5715),"Intersection","Non-Intersection")</f>
        <v>Non-Intersection</v>
      </c>
      <c r="Y5715" t="s">
        <v>6073</v>
      </c>
      <c r="Z5715" t="str">
        <f t="shared" si="129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279"/>
        <v>41275</v>
      </c>
      <c r="D5716" s="4">
        <f t="shared" si="1280"/>
        <v>0.75068493150684934</v>
      </c>
      <c r="E5716" s="3">
        <f t="shared" si="1281"/>
        <v>2013</v>
      </c>
      <c r="F5716" s="3">
        <f t="shared" si="1282"/>
        <v>10</v>
      </c>
      <c r="G5716" s="3">
        <f t="shared" si="1283"/>
        <v>2</v>
      </c>
      <c r="H5716" s="3">
        <f t="shared" si="1284"/>
        <v>13</v>
      </c>
      <c r="I5716" s="3">
        <f t="shared" si="1285"/>
        <v>19</v>
      </c>
      <c r="J5716" s="3">
        <f t="shared" si="1286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287"/>
        <v>YES</v>
      </c>
      <c r="Q5716" t="str">
        <f t="shared" si="1288"/>
        <v>NO</v>
      </c>
      <c r="R5716" t="str">
        <f t="shared" si="1289"/>
        <v>YES</v>
      </c>
      <c r="T5716" t="s">
        <v>126</v>
      </c>
      <c r="U5716" t="str">
        <f t="shared" si="1290"/>
        <v>Somerville Ave</v>
      </c>
      <c r="V5716" t="s">
        <v>14</v>
      </c>
      <c r="W5716" t="str">
        <f t="shared" si="1291"/>
        <v>Massachusetts Ave</v>
      </c>
      <c r="X5716" t="str">
        <f>IF(ISBLANK(S5716),"Intersection","Non-Intersection")</f>
        <v>Intersection</v>
      </c>
      <c r="Y5716" t="s">
        <v>1859</v>
      </c>
      <c r="Z5716" t="str">
        <f t="shared" si="129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293">EOMONTH(B5717,MONTH(B5717)*-1)+1</f>
        <v>41275</v>
      </c>
      <c r="D5717" s="4">
        <f t="shared" ref="D5717:D5777" si="1294">YEARFRAC(C5717,B5717,1)</f>
        <v>0.75342465753424659</v>
      </c>
      <c r="E5717" s="3">
        <f t="shared" ref="E5717:E5777" si="1295">YEAR(B5717)</f>
        <v>2013</v>
      </c>
      <c r="F5717" s="3">
        <f t="shared" ref="F5717:F5777" si="1296">MONTH(B5717)</f>
        <v>10</v>
      </c>
      <c r="G5717" s="3">
        <f t="shared" ref="G5717:G5777" si="1297">DAY(B5717)</f>
        <v>3</v>
      </c>
      <c r="H5717" s="3">
        <f t="shared" ref="H5717:H5777" si="1298">HOUR(B5717)</f>
        <v>8</v>
      </c>
      <c r="I5717" s="3">
        <f t="shared" ref="I5717:I5777" si="1299">MINUTE(B5717)</f>
        <v>0</v>
      </c>
      <c r="J5717" s="3">
        <f t="shared" ref="J5717:J5777" si="130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01">IF(OR(N5717="Auto",O5717="Auto"),"YES",IF(OR(N5717="Taxi",O5717="Taxi"),"YES",IF(OR(N5717="Van",O5717="Van"),"YES",IF(OR(N5717="Truck",O5717="Truck"),"YES","NO"))))</f>
        <v>YES</v>
      </c>
      <c r="Q5717" t="str">
        <f t="shared" ref="Q5717:Q5777" si="1302">IF(OR(N5717="Bicycle",O5717="Bicycle"),"YES","NO")</f>
        <v>NO</v>
      </c>
      <c r="R5717" t="str">
        <f t="shared" ref="R5717:R5777" si="1303">IF(OR(N5717="Pedestrian",O5717="Pedestrian"),"YES","NO")</f>
        <v>NO</v>
      </c>
      <c r="T5717" t="s">
        <v>19</v>
      </c>
      <c r="U5717" t="str">
        <f t="shared" si="1290"/>
        <v>Cambridge St</v>
      </c>
      <c r="V5717" t="s">
        <v>189</v>
      </c>
      <c r="W5717" t="str">
        <f t="shared" si="1291"/>
        <v>Windsor St</v>
      </c>
      <c r="X5717" t="str">
        <f>IF(ISBLANK(S5717),"Intersection","Non-Intersection")</f>
        <v>Intersection</v>
      </c>
      <c r="Y5717" t="s">
        <v>244</v>
      </c>
      <c r="Z5717" t="str">
        <f t="shared" si="129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293"/>
        <v>41275</v>
      </c>
      <c r="D5718" s="4">
        <f t="shared" si="1294"/>
        <v>0.75342465753424659</v>
      </c>
      <c r="E5718" s="3">
        <f t="shared" si="1295"/>
        <v>2013</v>
      </c>
      <c r="F5718" s="3">
        <f t="shared" si="1296"/>
        <v>10</v>
      </c>
      <c r="G5718" s="3">
        <f t="shared" si="1297"/>
        <v>3</v>
      </c>
      <c r="H5718" s="3">
        <f t="shared" si="1298"/>
        <v>14</v>
      </c>
      <c r="I5718" s="3">
        <f t="shared" si="1299"/>
        <v>45</v>
      </c>
      <c r="J5718" s="3">
        <f t="shared" si="130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01"/>
        <v>YES</v>
      </c>
      <c r="Q5718" t="str">
        <f t="shared" si="1302"/>
        <v>NO</v>
      </c>
      <c r="R5718" t="str">
        <f t="shared" si="1303"/>
        <v>NO</v>
      </c>
      <c r="T5718" t="s">
        <v>4236</v>
      </c>
      <c r="U5718" t="str">
        <f t="shared" si="1290"/>
        <v>Water St</v>
      </c>
      <c r="V5718" t="s">
        <v>53</v>
      </c>
      <c r="W5718" t="str">
        <f t="shared" si="1291"/>
        <v>Monsignor Obrien Hwy</v>
      </c>
      <c r="X5718" t="str">
        <f>IF(ISBLANK(S5718),"Intersection","Non-Intersection")</f>
        <v>Intersection</v>
      </c>
      <c r="Y5718" t="s">
        <v>6075</v>
      </c>
      <c r="Z5718" t="str">
        <f t="shared" si="129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293"/>
        <v>41275</v>
      </c>
      <c r="D5719" s="4">
        <f t="shared" si="1294"/>
        <v>0.75342465753424659</v>
      </c>
      <c r="E5719" s="3">
        <f t="shared" si="1295"/>
        <v>2013</v>
      </c>
      <c r="F5719" s="3">
        <f t="shared" si="1296"/>
        <v>10</v>
      </c>
      <c r="G5719" s="3">
        <f t="shared" si="1297"/>
        <v>3</v>
      </c>
      <c r="H5719" s="3">
        <f t="shared" si="1298"/>
        <v>17</v>
      </c>
      <c r="I5719" s="3">
        <f t="shared" si="1299"/>
        <v>29</v>
      </c>
      <c r="J5719" s="3">
        <f t="shared" si="130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01"/>
        <v>YES</v>
      </c>
      <c r="Q5719" t="str">
        <f t="shared" si="1302"/>
        <v>NO</v>
      </c>
      <c r="R5719" t="str">
        <f t="shared" si="1303"/>
        <v>NO</v>
      </c>
      <c r="T5719" t="s">
        <v>601</v>
      </c>
      <c r="U5719" t="str">
        <f t="shared" si="1290"/>
        <v>Cedar St</v>
      </c>
      <c r="V5719" t="s">
        <v>6077</v>
      </c>
      <c r="W5719" t="str">
        <f t="shared" si="1291"/>
        <v>Mclean Pl</v>
      </c>
      <c r="X5719" t="str">
        <f>IF(ISBLANK(S5719),"Intersection","Non-Intersection")</f>
        <v>Intersection</v>
      </c>
      <c r="Y5719" t="s">
        <v>6078</v>
      </c>
      <c r="Z5719" t="str">
        <f t="shared" si="129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293"/>
        <v>41275</v>
      </c>
      <c r="D5720" s="4">
        <f t="shared" si="1294"/>
        <v>0.75342465753424659</v>
      </c>
      <c r="E5720" s="3">
        <f t="shared" si="1295"/>
        <v>2013</v>
      </c>
      <c r="F5720" s="3">
        <f t="shared" si="1296"/>
        <v>10</v>
      </c>
      <c r="G5720" s="3">
        <f t="shared" si="1297"/>
        <v>3</v>
      </c>
      <c r="H5720" s="3">
        <f t="shared" si="1298"/>
        <v>18</v>
      </c>
      <c r="I5720" s="3">
        <f t="shared" si="1299"/>
        <v>0</v>
      </c>
      <c r="J5720" s="3">
        <f t="shared" si="130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01"/>
        <v>YES</v>
      </c>
      <c r="Q5720" t="str">
        <f t="shared" si="1302"/>
        <v>YES</v>
      </c>
      <c r="R5720" t="str">
        <f t="shared" si="1303"/>
        <v>NO</v>
      </c>
      <c r="T5720" t="s">
        <v>19</v>
      </c>
      <c r="U5720" t="str">
        <f t="shared" si="1290"/>
        <v>Cambridge St</v>
      </c>
      <c r="V5720" t="s">
        <v>685</v>
      </c>
      <c r="W5720" t="str">
        <f t="shared" si="1291"/>
        <v>Warren St</v>
      </c>
      <c r="X5720" t="str">
        <f>IF(ISBLANK(S5720),"Intersection","Non-Intersection")</f>
        <v>Intersection</v>
      </c>
      <c r="Y5720" t="s">
        <v>1217</v>
      </c>
      <c r="Z5720" t="str">
        <f t="shared" si="129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293"/>
        <v>41275</v>
      </c>
      <c r="D5721" s="4">
        <f t="shared" si="1294"/>
        <v>0.75616438356164384</v>
      </c>
      <c r="E5721" s="3">
        <f t="shared" si="1295"/>
        <v>2013</v>
      </c>
      <c r="F5721" s="3">
        <f t="shared" si="1296"/>
        <v>10</v>
      </c>
      <c r="G5721" s="3">
        <f t="shared" si="1297"/>
        <v>4</v>
      </c>
      <c r="H5721" s="3">
        <f t="shared" si="1298"/>
        <v>14</v>
      </c>
      <c r="I5721" s="3">
        <f t="shared" si="1299"/>
        <v>10</v>
      </c>
      <c r="J5721" s="3">
        <f t="shared" si="130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01"/>
        <v>YES</v>
      </c>
      <c r="Q5721" t="str">
        <f t="shared" si="1302"/>
        <v>NO</v>
      </c>
      <c r="R5721" t="str">
        <f t="shared" si="1303"/>
        <v>NO</v>
      </c>
      <c r="T5721" t="s">
        <v>27</v>
      </c>
      <c r="U5721" t="str">
        <f t="shared" si="1290"/>
        <v>Western Ave</v>
      </c>
      <c r="V5721" t="s">
        <v>178</v>
      </c>
      <c r="W5721" t="str">
        <f t="shared" si="1291"/>
        <v>Pleasant St</v>
      </c>
      <c r="X5721" t="str">
        <f>IF(ISBLANK(S5721),"Intersection","Non-Intersection")</f>
        <v>Intersection</v>
      </c>
      <c r="Y5721" t="s">
        <v>950</v>
      </c>
      <c r="Z5721" t="str">
        <f t="shared" si="129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293"/>
        <v>41275</v>
      </c>
      <c r="D5722" s="4">
        <f t="shared" si="1294"/>
        <v>0.75616438356164384</v>
      </c>
      <c r="E5722" s="3">
        <f t="shared" si="1295"/>
        <v>2013</v>
      </c>
      <c r="F5722" s="3">
        <f t="shared" si="1296"/>
        <v>10</v>
      </c>
      <c r="G5722" s="3">
        <f t="shared" si="1297"/>
        <v>4</v>
      </c>
      <c r="H5722" s="3">
        <f t="shared" si="1298"/>
        <v>9</v>
      </c>
      <c r="I5722" s="3">
        <f t="shared" si="1299"/>
        <v>0</v>
      </c>
      <c r="J5722" s="3">
        <f t="shared" si="130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01"/>
        <v>YES</v>
      </c>
      <c r="Q5722" t="str">
        <f t="shared" si="1302"/>
        <v>NO</v>
      </c>
      <c r="R5722" t="str">
        <f t="shared" si="1303"/>
        <v>NO</v>
      </c>
      <c r="S5722">
        <v>90</v>
      </c>
      <c r="T5722" t="s">
        <v>192</v>
      </c>
      <c r="U5722" t="str">
        <f t="shared" si="1290"/>
        <v>Hancock St</v>
      </c>
      <c r="W5722" t="str">
        <f t="shared" si="1291"/>
        <v/>
      </c>
      <c r="X5722" t="str">
        <f>IF(ISBLANK(S5722),"Intersection","Non-Intersection")</f>
        <v>Non-Intersection</v>
      </c>
      <c r="Y5722" t="s">
        <v>2791</v>
      </c>
      <c r="Z5722" t="str">
        <f t="shared" si="129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293"/>
        <v>41275</v>
      </c>
      <c r="D5723" s="4">
        <f t="shared" si="1294"/>
        <v>0.75616438356164384</v>
      </c>
      <c r="E5723" s="3">
        <f t="shared" si="1295"/>
        <v>2013</v>
      </c>
      <c r="F5723" s="3">
        <f t="shared" si="1296"/>
        <v>10</v>
      </c>
      <c r="G5723" s="3">
        <f t="shared" si="1297"/>
        <v>4</v>
      </c>
      <c r="H5723" s="3">
        <f t="shared" si="1298"/>
        <v>18</v>
      </c>
      <c r="I5723" s="3">
        <f t="shared" si="1299"/>
        <v>26</v>
      </c>
      <c r="J5723" s="3">
        <f t="shared" si="130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01"/>
        <v>YES</v>
      </c>
      <c r="Q5723" t="str">
        <f t="shared" si="1302"/>
        <v>YES</v>
      </c>
      <c r="R5723" t="str">
        <f t="shared" si="1303"/>
        <v>NO</v>
      </c>
      <c r="T5723" t="s">
        <v>14</v>
      </c>
      <c r="U5723" t="str">
        <f t="shared" si="1290"/>
        <v>Massachusetts Ave</v>
      </c>
      <c r="V5723" t="s">
        <v>189</v>
      </c>
      <c r="W5723" t="str">
        <f t="shared" si="1291"/>
        <v>Windsor St</v>
      </c>
      <c r="X5723" t="str">
        <f>IF(ISBLANK(S5723),"Intersection","Non-Intersection")</f>
        <v>Intersection</v>
      </c>
      <c r="Y5723" t="s">
        <v>595</v>
      </c>
      <c r="Z5723" t="str">
        <f t="shared" si="129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293"/>
        <v>41275</v>
      </c>
      <c r="D5724" s="4">
        <f t="shared" si="1294"/>
        <v>0.75616438356164384</v>
      </c>
      <c r="E5724" s="3">
        <f t="shared" si="1295"/>
        <v>2013</v>
      </c>
      <c r="F5724" s="3">
        <f t="shared" si="1296"/>
        <v>10</v>
      </c>
      <c r="G5724" s="3">
        <f t="shared" si="1297"/>
        <v>4</v>
      </c>
      <c r="H5724" s="3">
        <f t="shared" si="1298"/>
        <v>8</v>
      </c>
      <c r="I5724" s="3">
        <f t="shared" si="1299"/>
        <v>29</v>
      </c>
      <c r="J5724" s="3">
        <f t="shared" si="130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01"/>
        <v>YES</v>
      </c>
      <c r="Q5724" t="str">
        <f t="shared" si="1302"/>
        <v>NO</v>
      </c>
      <c r="R5724" t="str">
        <f t="shared" si="1303"/>
        <v>NO</v>
      </c>
      <c r="S5724">
        <v>197</v>
      </c>
      <c r="T5724" t="s">
        <v>577</v>
      </c>
      <c r="U5724" t="str">
        <f t="shared" si="1290"/>
        <v>Vassal Ln</v>
      </c>
      <c r="W5724" t="str">
        <f t="shared" si="1291"/>
        <v/>
      </c>
      <c r="X5724" t="str">
        <f>IF(ISBLANK(S5724),"Intersection","Non-Intersection")</f>
        <v>Non-Intersection</v>
      </c>
      <c r="Y5724" t="s">
        <v>630</v>
      </c>
      <c r="Z5724" t="str">
        <f t="shared" si="129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293"/>
        <v>41275</v>
      </c>
      <c r="D5725" s="4">
        <f t="shared" si="1294"/>
        <v>0.75616438356164384</v>
      </c>
      <c r="E5725" s="3">
        <f t="shared" si="1295"/>
        <v>2013</v>
      </c>
      <c r="F5725" s="3">
        <f t="shared" si="1296"/>
        <v>10</v>
      </c>
      <c r="G5725" s="3">
        <f t="shared" si="1297"/>
        <v>4</v>
      </c>
      <c r="H5725" s="3">
        <f t="shared" si="1298"/>
        <v>9</v>
      </c>
      <c r="I5725" s="3">
        <f t="shared" si="1299"/>
        <v>59</v>
      </c>
      <c r="J5725" s="3">
        <f t="shared" si="130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01"/>
        <v>YES</v>
      </c>
      <c r="Q5725" t="str">
        <f t="shared" si="1302"/>
        <v>NO</v>
      </c>
      <c r="R5725" t="str">
        <f t="shared" si="1303"/>
        <v>NO</v>
      </c>
      <c r="T5725" t="s">
        <v>189</v>
      </c>
      <c r="U5725" t="str">
        <f t="shared" si="1290"/>
        <v>Windsor St</v>
      </c>
      <c r="V5725" t="s">
        <v>74</v>
      </c>
      <c r="W5725" t="str">
        <f t="shared" si="1291"/>
        <v>Hampshire St</v>
      </c>
      <c r="X5725" t="str">
        <f>IF(ISBLANK(S5725),"Intersection","Non-Intersection")</f>
        <v>Intersection</v>
      </c>
      <c r="Y5725" t="s">
        <v>2424</v>
      </c>
      <c r="Z5725" t="str">
        <f t="shared" si="129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293"/>
        <v>41275</v>
      </c>
      <c r="D5726" s="4">
        <f t="shared" si="1294"/>
        <v>0.75616438356164384</v>
      </c>
      <c r="E5726" s="3">
        <f t="shared" si="1295"/>
        <v>2013</v>
      </c>
      <c r="F5726" s="3">
        <f t="shared" si="1296"/>
        <v>10</v>
      </c>
      <c r="G5726" s="3">
        <f t="shared" si="1297"/>
        <v>4</v>
      </c>
      <c r="H5726" s="3">
        <f t="shared" si="1298"/>
        <v>11</v>
      </c>
      <c r="I5726" s="3">
        <f t="shared" si="1299"/>
        <v>45</v>
      </c>
      <c r="J5726" s="3">
        <f t="shared" si="130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01"/>
        <v>YES</v>
      </c>
      <c r="Q5726" t="str">
        <f t="shared" si="1302"/>
        <v>NO</v>
      </c>
      <c r="R5726" t="str">
        <f t="shared" si="1303"/>
        <v>NO</v>
      </c>
      <c r="S5726">
        <v>266</v>
      </c>
      <c r="T5726" t="s">
        <v>14</v>
      </c>
      <c r="U5726" t="str">
        <f t="shared" si="1290"/>
        <v>Massachusetts Ave</v>
      </c>
      <c r="W5726" t="str">
        <f t="shared" si="1291"/>
        <v/>
      </c>
      <c r="X5726" t="str">
        <f>IF(ISBLANK(S5726),"Intersection","Non-Intersection")</f>
        <v>Non-Intersection</v>
      </c>
      <c r="Y5726" t="s">
        <v>2853</v>
      </c>
      <c r="Z5726" t="str">
        <f t="shared" si="129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293"/>
        <v>41275</v>
      </c>
      <c r="D5727" s="4">
        <f t="shared" si="1294"/>
        <v>0.75616438356164384</v>
      </c>
      <c r="E5727" s="3">
        <f t="shared" si="1295"/>
        <v>2013</v>
      </c>
      <c r="F5727" s="3">
        <f t="shared" si="1296"/>
        <v>10</v>
      </c>
      <c r="G5727" s="3">
        <f t="shared" si="1297"/>
        <v>4</v>
      </c>
      <c r="H5727" s="3">
        <f t="shared" si="1298"/>
        <v>17</v>
      </c>
      <c r="I5727" s="3">
        <f t="shared" si="1299"/>
        <v>39</v>
      </c>
      <c r="J5727" s="3">
        <f t="shared" si="130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01"/>
        <v>YES</v>
      </c>
      <c r="Q5727" t="str">
        <f t="shared" si="1302"/>
        <v>NO</v>
      </c>
      <c r="R5727" t="str">
        <f t="shared" si="1303"/>
        <v>NO</v>
      </c>
      <c r="S5727">
        <v>10</v>
      </c>
      <c r="T5727" t="s">
        <v>2754</v>
      </c>
      <c r="U5727" t="str">
        <f t="shared" si="1290"/>
        <v>Fawcett St</v>
      </c>
      <c r="W5727" t="str">
        <f t="shared" si="1291"/>
        <v/>
      </c>
      <c r="X5727" t="str">
        <f>IF(ISBLANK(S5727),"Intersection","Non-Intersection")</f>
        <v>Non-Intersection</v>
      </c>
      <c r="Y5727" t="s">
        <v>6079</v>
      </c>
      <c r="Z5727" t="str">
        <f t="shared" si="129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293"/>
        <v>41275</v>
      </c>
      <c r="D5728" s="4">
        <f t="shared" si="1294"/>
        <v>0.75616438356164384</v>
      </c>
      <c r="E5728" s="3">
        <f t="shared" si="1295"/>
        <v>2013</v>
      </c>
      <c r="F5728" s="3">
        <f t="shared" si="1296"/>
        <v>10</v>
      </c>
      <c r="G5728" s="3">
        <f t="shared" si="1297"/>
        <v>4</v>
      </c>
      <c r="H5728" s="3">
        <f t="shared" si="1298"/>
        <v>15</v>
      </c>
      <c r="I5728" s="3">
        <f t="shared" si="1299"/>
        <v>26</v>
      </c>
      <c r="J5728" s="3">
        <f t="shared" si="130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01"/>
        <v>YES</v>
      </c>
      <c r="Q5728" t="str">
        <f t="shared" si="1302"/>
        <v>NO</v>
      </c>
      <c r="R5728" t="str">
        <f t="shared" si="1303"/>
        <v>NO</v>
      </c>
      <c r="T5728" t="s">
        <v>14</v>
      </c>
      <c r="U5728" t="str">
        <f t="shared" si="1290"/>
        <v>Massachusetts Ave</v>
      </c>
      <c r="V5728" t="s">
        <v>202</v>
      </c>
      <c r="W5728" t="str">
        <f t="shared" si="1291"/>
        <v>Vassar St</v>
      </c>
      <c r="X5728" t="str">
        <f>IF(ISBLANK(S5728),"Intersection","Non-Intersection")</f>
        <v>Intersection</v>
      </c>
      <c r="Y5728" t="s">
        <v>361</v>
      </c>
      <c r="Z5728" t="str">
        <f t="shared" si="129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293"/>
        <v>41275</v>
      </c>
      <c r="D5729" s="4">
        <f t="shared" si="1294"/>
        <v>0.75616438356164384</v>
      </c>
      <c r="E5729" s="3">
        <f t="shared" si="1295"/>
        <v>2013</v>
      </c>
      <c r="F5729" s="3">
        <f t="shared" si="1296"/>
        <v>10</v>
      </c>
      <c r="G5729" s="3">
        <f t="shared" si="1297"/>
        <v>4</v>
      </c>
      <c r="H5729" s="3">
        <f t="shared" si="1298"/>
        <v>19</v>
      </c>
      <c r="I5729" s="3">
        <f t="shared" si="1299"/>
        <v>44</v>
      </c>
      <c r="J5729" s="3">
        <f t="shared" si="130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01"/>
        <v>YES</v>
      </c>
      <c r="Q5729" t="str">
        <f t="shared" si="1302"/>
        <v>NO</v>
      </c>
      <c r="R5729" t="str">
        <f t="shared" si="1303"/>
        <v>NO</v>
      </c>
      <c r="S5729">
        <v>54</v>
      </c>
      <c r="T5729" t="s">
        <v>587</v>
      </c>
      <c r="U5729" t="str">
        <f t="shared" si="1290"/>
        <v>Webster Ave</v>
      </c>
      <c r="W5729" t="str">
        <f t="shared" si="1291"/>
        <v/>
      </c>
      <c r="X5729" t="str">
        <f>IF(ISBLANK(S5729),"Intersection","Non-Intersection")</f>
        <v>Non-Intersection</v>
      </c>
      <c r="Y5729" t="s">
        <v>6081</v>
      </c>
      <c r="Z5729" t="str">
        <f t="shared" si="129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293"/>
        <v>41275</v>
      </c>
      <c r="D5730" s="4">
        <f t="shared" si="1294"/>
        <v>0.75616438356164384</v>
      </c>
      <c r="E5730" s="3">
        <f t="shared" si="1295"/>
        <v>2013</v>
      </c>
      <c r="F5730" s="3">
        <f t="shared" si="1296"/>
        <v>10</v>
      </c>
      <c r="G5730" s="3">
        <f t="shared" si="1297"/>
        <v>4</v>
      </c>
      <c r="H5730" s="3">
        <f t="shared" si="1298"/>
        <v>23</v>
      </c>
      <c r="I5730" s="3">
        <f t="shared" si="1299"/>
        <v>32</v>
      </c>
      <c r="J5730" s="3">
        <f t="shared" si="130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01"/>
        <v>YES</v>
      </c>
      <c r="Q5730" t="str">
        <f t="shared" si="1302"/>
        <v>NO</v>
      </c>
      <c r="R5730" t="str">
        <f t="shared" si="1303"/>
        <v>NO</v>
      </c>
      <c r="T5730" t="s">
        <v>3893</v>
      </c>
      <c r="U5730" t="str">
        <f t="shared" si="1290"/>
        <v>North Point Blvd</v>
      </c>
      <c r="V5730" t="s">
        <v>4331</v>
      </c>
      <c r="W5730" t="str">
        <f t="shared" si="1291"/>
        <v>Leighton</v>
      </c>
      <c r="X5730" t="str">
        <f>IF(ISBLANK(S5730),"Intersection","Non-Intersection")</f>
        <v>Intersection</v>
      </c>
      <c r="Y5730" t="s">
        <v>6083</v>
      </c>
      <c r="Z5730" t="str">
        <f t="shared" si="129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293"/>
        <v>41275</v>
      </c>
      <c r="D5731" s="4">
        <f t="shared" si="1294"/>
        <v>0.75616438356164384</v>
      </c>
      <c r="E5731" s="3">
        <f t="shared" si="1295"/>
        <v>2013</v>
      </c>
      <c r="F5731" s="3">
        <f t="shared" si="1296"/>
        <v>10</v>
      </c>
      <c r="G5731" s="3">
        <f t="shared" si="1297"/>
        <v>4</v>
      </c>
      <c r="H5731" s="3">
        <f t="shared" si="1298"/>
        <v>23</v>
      </c>
      <c r="I5731" s="3">
        <f t="shared" si="1299"/>
        <v>36</v>
      </c>
      <c r="J5731" s="3">
        <f t="shared" si="130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01"/>
        <v>YES</v>
      </c>
      <c r="Q5731" t="str">
        <f t="shared" si="1302"/>
        <v>NO</v>
      </c>
      <c r="R5731" t="str">
        <f t="shared" si="1303"/>
        <v>NO</v>
      </c>
      <c r="S5731">
        <v>630</v>
      </c>
      <c r="T5731" t="s">
        <v>14</v>
      </c>
      <c r="U5731" t="str">
        <f t="shared" si="1290"/>
        <v>Massachusetts Ave</v>
      </c>
      <c r="W5731" t="str">
        <f t="shared" si="1291"/>
        <v/>
      </c>
      <c r="X5731" t="str">
        <f>IF(ISBLANK(S5731),"Intersection","Non-Intersection")</f>
        <v>Non-Intersection</v>
      </c>
      <c r="Y5731" t="s">
        <v>1627</v>
      </c>
      <c r="Z5731" t="str">
        <f t="shared" si="129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293"/>
        <v>41275</v>
      </c>
      <c r="D5732" s="4">
        <f t="shared" si="1294"/>
        <v>0.75890410958904109</v>
      </c>
      <c r="E5732" s="3">
        <f t="shared" si="1295"/>
        <v>2013</v>
      </c>
      <c r="F5732" s="3">
        <f t="shared" si="1296"/>
        <v>10</v>
      </c>
      <c r="G5732" s="3">
        <f t="shared" si="1297"/>
        <v>5</v>
      </c>
      <c r="H5732" s="3">
        <f t="shared" si="1298"/>
        <v>3</v>
      </c>
      <c r="I5732" s="3">
        <f t="shared" si="1299"/>
        <v>21</v>
      </c>
      <c r="J5732" s="3">
        <f t="shared" si="130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01"/>
        <v>YES</v>
      </c>
      <c r="Q5732" t="str">
        <f t="shared" si="1302"/>
        <v>NO</v>
      </c>
      <c r="R5732" t="str">
        <f t="shared" si="1303"/>
        <v>NO</v>
      </c>
      <c r="T5732" t="s">
        <v>14</v>
      </c>
      <c r="U5732" t="str">
        <f t="shared" si="1290"/>
        <v>Massachusetts Ave</v>
      </c>
      <c r="V5732" t="s">
        <v>840</v>
      </c>
      <c r="W5732" t="str">
        <f t="shared" si="1291"/>
        <v>Church St</v>
      </c>
      <c r="X5732" t="str">
        <f>IF(ISBLANK(S5732),"Intersection","Non-Intersection")</f>
        <v>Intersection</v>
      </c>
      <c r="Y5732" t="s">
        <v>1264</v>
      </c>
      <c r="Z5732" t="str">
        <f t="shared" si="129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293"/>
        <v>41275</v>
      </c>
      <c r="D5733" s="4">
        <f t="shared" si="1294"/>
        <v>0.75890410958904109</v>
      </c>
      <c r="E5733" s="3">
        <f t="shared" si="1295"/>
        <v>2013</v>
      </c>
      <c r="F5733" s="3">
        <f t="shared" si="1296"/>
        <v>10</v>
      </c>
      <c r="G5733" s="3">
        <f t="shared" si="1297"/>
        <v>5</v>
      </c>
      <c r="H5733" s="3">
        <f t="shared" si="1298"/>
        <v>2</v>
      </c>
      <c r="I5733" s="3">
        <f t="shared" si="1299"/>
        <v>26</v>
      </c>
      <c r="J5733" s="3">
        <f t="shared" si="130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01"/>
        <v>YES</v>
      </c>
      <c r="Q5733" t="str">
        <f t="shared" si="1302"/>
        <v>NO</v>
      </c>
      <c r="R5733" t="str">
        <f t="shared" si="1303"/>
        <v>NO</v>
      </c>
      <c r="S5733">
        <v>7</v>
      </c>
      <c r="T5733" t="s">
        <v>553</v>
      </c>
      <c r="U5733" t="str">
        <f t="shared" si="1290"/>
        <v>Cameron Ave</v>
      </c>
      <c r="W5733" t="str">
        <f t="shared" si="1291"/>
        <v/>
      </c>
      <c r="X5733" t="str">
        <f>IF(ISBLANK(S5733),"Intersection","Non-Intersection")</f>
        <v>Non-Intersection</v>
      </c>
      <c r="Y5733" t="s">
        <v>6085</v>
      </c>
      <c r="Z5733" t="str">
        <f t="shared" si="129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293"/>
        <v>41275</v>
      </c>
      <c r="D5734" s="4">
        <f t="shared" si="1294"/>
        <v>0.75890410958904109</v>
      </c>
      <c r="E5734" s="3">
        <f t="shared" si="1295"/>
        <v>2013</v>
      </c>
      <c r="F5734" s="3">
        <f t="shared" si="1296"/>
        <v>10</v>
      </c>
      <c r="G5734" s="3">
        <f t="shared" si="1297"/>
        <v>5</v>
      </c>
      <c r="H5734" s="3">
        <f t="shared" si="1298"/>
        <v>6</v>
      </c>
      <c r="I5734" s="3">
        <f t="shared" si="1299"/>
        <v>14</v>
      </c>
      <c r="J5734" s="3">
        <f t="shared" si="130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01"/>
        <v>YES</v>
      </c>
      <c r="Q5734" t="str">
        <f t="shared" si="1302"/>
        <v>NO</v>
      </c>
      <c r="R5734" t="str">
        <f t="shared" si="1303"/>
        <v>NO</v>
      </c>
      <c r="S5734">
        <v>1900</v>
      </c>
      <c r="T5734" t="s">
        <v>14</v>
      </c>
      <c r="U5734" t="str">
        <f t="shared" si="1290"/>
        <v>Massachusetts Ave</v>
      </c>
      <c r="W5734" t="str">
        <f t="shared" si="1291"/>
        <v/>
      </c>
      <c r="X5734" t="str">
        <f>IF(ISBLANK(S5734),"Intersection","Non-Intersection")</f>
        <v>Non-Intersection</v>
      </c>
      <c r="Y5734" t="s">
        <v>4543</v>
      </c>
      <c r="Z5734" t="str">
        <f t="shared" si="129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293"/>
        <v>41275</v>
      </c>
      <c r="D5735" s="4">
        <f t="shared" si="1294"/>
        <v>0.75890410958904109</v>
      </c>
      <c r="E5735" s="3">
        <f t="shared" si="1295"/>
        <v>2013</v>
      </c>
      <c r="F5735" s="3">
        <f t="shared" si="1296"/>
        <v>10</v>
      </c>
      <c r="G5735" s="3">
        <f t="shared" si="1297"/>
        <v>5</v>
      </c>
      <c r="H5735" s="3">
        <f t="shared" si="1298"/>
        <v>23</v>
      </c>
      <c r="I5735" s="3">
        <f t="shared" si="1299"/>
        <v>58</v>
      </c>
      <c r="J5735" s="3">
        <f t="shared" si="130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01"/>
        <v>YES</v>
      </c>
      <c r="Q5735" t="str">
        <f t="shared" si="1302"/>
        <v>YES</v>
      </c>
      <c r="R5735" t="str">
        <f t="shared" si="1303"/>
        <v>NO</v>
      </c>
      <c r="T5735" t="s">
        <v>198</v>
      </c>
      <c r="U5735" t="str">
        <f t="shared" si="1290"/>
        <v>Mount Auburn St</v>
      </c>
      <c r="V5735" t="s">
        <v>1906</v>
      </c>
      <c r="W5735" t="str">
        <f t="shared" si="1291"/>
        <v>Holyoke St</v>
      </c>
      <c r="X5735" t="str">
        <f>IF(ISBLANK(S5735),"Intersection","Non-Intersection")</f>
        <v>Intersection</v>
      </c>
      <c r="Y5735" t="s">
        <v>3827</v>
      </c>
      <c r="Z5735" t="str">
        <f t="shared" si="129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293"/>
        <v>41275</v>
      </c>
      <c r="D5736" s="4">
        <f t="shared" si="1294"/>
        <v>0.75890410958904109</v>
      </c>
      <c r="E5736" s="3">
        <f t="shared" si="1295"/>
        <v>2013</v>
      </c>
      <c r="F5736" s="3">
        <f t="shared" si="1296"/>
        <v>10</v>
      </c>
      <c r="G5736" s="3">
        <f t="shared" si="1297"/>
        <v>5</v>
      </c>
      <c r="H5736" s="3">
        <f t="shared" si="1298"/>
        <v>0</v>
      </c>
      <c r="I5736" s="3">
        <f t="shared" si="1299"/>
        <v>7</v>
      </c>
      <c r="J5736" s="3">
        <f t="shared" si="130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01"/>
        <v>YES</v>
      </c>
      <c r="Q5736" t="str">
        <f t="shared" si="1302"/>
        <v>NO</v>
      </c>
      <c r="R5736" t="str">
        <f t="shared" si="1303"/>
        <v>NO</v>
      </c>
      <c r="T5736" t="s">
        <v>326</v>
      </c>
      <c r="U5736" t="str">
        <f t="shared" si="1290"/>
        <v>Jfk St</v>
      </c>
      <c r="V5736" t="s">
        <v>498</v>
      </c>
      <c r="W5736" t="str">
        <f t="shared" si="1291"/>
        <v>Ellery St</v>
      </c>
      <c r="X5736" t="str">
        <f>IF(ISBLANK(S5736),"Intersection","Non-Intersection")</f>
        <v>Intersection</v>
      </c>
      <c r="Y5736" t="s">
        <v>6087</v>
      </c>
      <c r="Z5736" t="str">
        <f t="shared" si="129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293"/>
        <v>41275</v>
      </c>
      <c r="D5737" s="4">
        <f t="shared" si="1294"/>
        <v>0.75890410958904109</v>
      </c>
      <c r="E5737" s="3">
        <f t="shared" si="1295"/>
        <v>2013</v>
      </c>
      <c r="F5737" s="3">
        <f t="shared" si="1296"/>
        <v>10</v>
      </c>
      <c r="G5737" s="3">
        <f t="shared" si="1297"/>
        <v>5</v>
      </c>
      <c r="H5737" s="3">
        <f t="shared" si="1298"/>
        <v>23</v>
      </c>
      <c r="I5737" s="3">
        <f t="shared" si="1299"/>
        <v>0</v>
      </c>
      <c r="J5737" s="3">
        <f t="shared" si="130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01"/>
        <v>YES</v>
      </c>
      <c r="Q5737" t="str">
        <f t="shared" si="1302"/>
        <v>NO</v>
      </c>
      <c r="R5737" t="str">
        <f t="shared" si="1303"/>
        <v>YES</v>
      </c>
      <c r="T5737" t="s">
        <v>14</v>
      </c>
      <c r="U5737" t="str">
        <f t="shared" si="1290"/>
        <v>Massachusetts Ave</v>
      </c>
      <c r="V5737" t="s">
        <v>1177</v>
      </c>
      <c r="W5737" t="str">
        <f t="shared" si="1291"/>
        <v>Plympton St</v>
      </c>
      <c r="X5737" t="str">
        <f>IF(ISBLANK(S5737),"Intersection","Non-Intersection")</f>
        <v>Intersection</v>
      </c>
      <c r="Y5737" t="s">
        <v>2108</v>
      </c>
      <c r="Z5737" t="str">
        <f t="shared" si="129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293"/>
        <v>41275</v>
      </c>
      <c r="D5738" s="4">
        <f t="shared" si="1294"/>
        <v>0.76164383561643834</v>
      </c>
      <c r="E5738" s="3">
        <f t="shared" si="1295"/>
        <v>2013</v>
      </c>
      <c r="F5738" s="3">
        <f t="shared" si="1296"/>
        <v>10</v>
      </c>
      <c r="G5738" s="3">
        <f t="shared" si="1297"/>
        <v>6</v>
      </c>
      <c r="H5738" s="3">
        <f t="shared" si="1298"/>
        <v>15</v>
      </c>
      <c r="I5738" s="3">
        <f t="shared" si="1299"/>
        <v>15</v>
      </c>
      <c r="J5738" s="3">
        <f t="shared" si="130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01"/>
        <v>YES</v>
      </c>
      <c r="Q5738" t="str">
        <f t="shared" si="1302"/>
        <v>NO</v>
      </c>
      <c r="R5738" t="str">
        <f t="shared" si="1303"/>
        <v>NO</v>
      </c>
      <c r="S5738">
        <v>1624</v>
      </c>
      <c r="T5738" t="s">
        <v>14</v>
      </c>
      <c r="U5738" t="str">
        <f t="shared" si="1290"/>
        <v>Massachusetts Ave</v>
      </c>
      <c r="W5738" t="str">
        <f t="shared" si="1291"/>
        <v/>
      </c>
      <c r="X5738" t="str">
        <f>IF(ISBLANK(S5738),"Intersection","Non-Intersection")</f>
        <v>Non-Intersection</v>
      </c>
      <c r="Y5738" t="s">
        <v>6088</v>
      </c>
      <c r="Z5738" t="str">
        <f t="shared" si="129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293"/>
        <v>41275</v>
      </c>
      <c r="D5739" s="4">
        <f t="shared" si="1294"/>
        <v>0.76164383561643834</v>
      </c>
      <c r="E5739" s="3">
        <f t="shared" si="1295"/>
        <v>2013</v>
      </c>
      <c r="F5739" s="3">
        <f t="shared" si="1296"/>
        <v>10</v>
      </c>
      <c r="G5739" s="3">
        <f t="shared" si="1297"/>
        <v>6</v>
      </c>
      <c r="H5739" s="3">
        <f t="shared" si="1298"/>
        <v>12</v>
      </c>
      <c r="I5739" s="3">
        <f t="shared" si="1299"/>
        <v>45</v>
      </c>
      <c r="J5739" s="3">
        <f t="shared" si="130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01"/>
        <v>YES</v>
      </c>
      <c r="Q5739" t="str">
        <f t="shared" si="1302"/>
        <v>NO</v>
      </c>
      <c r="R5739" t="str">
        <f t="shared" si="1303"/>
        <v>NO</v>
      </c>
      <c r="T5739" t="s">
        <v>32</v>
      </c>
      <c r="U5739" t="str">
        <f t="shared" si="1290"/>
        <v>Main St</v>
      </c>
      <c r="V5739" t="s">
        <v>316</v>
      </c>
      <c r="W5739" t="str">
        <f t="shared" si="1291"/>
        <v>Bishop Allen Dr</v>
      </c>
      <c r="X5739" t="str">
        <f>IF(ISBLANK(S5739),"Intersection","Non-Intersection")</f>
        <v>Intersection</v>
      </c>
      <c r="Y5739" t="s">
        <v>1268</v>
      </c>
      <c r="Z5739" t="str">
        <f t="shared" si="129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293"/>
        <v>41275</v>
      </c>
      <c r="D5740" s="4">
        <f t="shared" si="1294"/>
        <v>0.76164383561643834</v>
      </c>
      <c r="E5740" s="3">
        <f t="shared" si="1295"/>
        <v>2013</v>
      </c>
      <c r="F5740" s="3">
        <f t="shared" si="1296"/>
        <v>10</v>
      </c>
      <c r="G5740" s="3">
        <f t="shared" si="1297"/>
        <v>6</v>
      </c>
      <c r="H5740" s="3">
        <f t="shared" si="1298"/>
        <v>15</v>
      </c>
      <c r="I5740" s="3">
        <f t="shared" si="1299"/>
        <v>21</v>
      </c>
      <c r="J5740" s="3">
        <f t="shared" si="130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01"/>
        <v>YES</v>
      </c>
      <c r="Q5740" t="str">
        <f t="shared" si="1302"/>
        <v>NO</v>
      </c>
      <c r="R5740" t="str">
        <f t="shared" si="1303"/>
        <v>NO</v>
      </c>
      <c r="T5740" t="s">
        <v>105</v>
      </c>
      <c r="U5740" t="str">
        <f t="shared" si="1290"/>
        <v>Broadway</v>
      </c>
      <c r="V5740" t="s">
        <v>5004</v>
      </c>
      <c r="W5740" t="str">
        <f t="shared" si="1291"/>
        <v>Inman Sq</v>
      </c>
      <c r="X5740" t="str">
        <f>IF(ISBLANK(S5740),"Intersection","Non-Intersection")</f>
        <v>Intersection</v>
      </c>
      <c r="Y5740" t="s">
        <v>5005</v>
      </c>
      <c r="Z5740" t="str">
        <f t="shared" si="129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293"/>
        <v>41275</v>
      </c>
      <c r="D5741" s="4">
        <f t="shared" si="1294"/>
        <v>0.76164383561643834</v>
      </c>
      <c r="E5741" s="3">
        <f t="shared" si="1295"/>
        <v>2013</v>
      </c>
      <c r="F5741" s="3">
        <f t="shared" si="1296"/>
        <v>10</v>
      </c>
      <c r="G5741" s="3">
        <f t="shared" si="1297"/>
        <v>6</v>
      </c>
      <c r="H5741" s="3">
        <f t="shared" si="1298"/>
        <v>6</v>
      </c>
      <c r="I5741" s="3">
        <f t="shared" si="1299"/>
        <v>30</v>
      </c>
      <c r="J5741" s="3">
        <f t="shared" si="130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01"/>
        <v>YES</v>
      </c>
      <c r="Q5741" t="str">
        <f t="shared" si="1302"/>
        <v>NO</v>
      </c>
      <c r="R5741" t="str">
        <f t="shared" si="1303"/>
        <v>NO</v>
      </c>
      <c r="T5741" t="s">
        <v>667</v>
      </c>
      <c r="U5741" t="str">
        <f t="shared" si="1290"/>
        <v>Tremont St</v>
      </c>
      <c r="V5741" t="s">
        <v>105</v>
      </c>
      <c r="W5741" t="str">
        <f t="shared" si="1291"/>
        <v>Broadway</v>
      </c>
      <c r="X5741" t="str">
        <f>IF(ISBLANK(S5741),"Intersection","Non-Intersection")</f>
        <v>Intersection</v>
      </c>
      <c r="Y5741" t="s">
        <v>6089</v>
      </c>
      <c r="Z5741" t="str">
        <f t="shared" si="129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293"/>
        <v>41275</v>
      </c>
      <c r="D5742" s="4">
        <f t="shared" si="1294"/>
        <v>0.76438356164383559</v>
      </c>
      <c r="E5742" s="3">
        <f t="shared" si="1295"/>
        <v>2013</v>
      </c>
      <c r="F5742" s="3">
        <f t="shared" si="1296"/>
        <v>10</v>
      </c>
      <c r="G5742" s="3">
        <f t="shared" si="1297"/>
        <v>7</v>
      </c>
      <c r="H5742" s="3">
        <f t="shared" si="1298"/>
        <v>9</v>
      </c>
      <c r="I5742" s="3">
        <f t="shared" si="1299"/>
        <v>14</v>
      </c>
      <c r="J5742" s="3">
        <f t="shared" si="130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01"/>
        <v>YES</v>
      </c>
      <c r="Q5742" t="str">
        <f t="shared" si="1302"/>
        <v>NO</v>
      </c>
      <c r="R5742" t="str">
        <f t="shared" si="1303"/>
        <v>NO</v>
      </c>
      <c r="T5742" t="s">
        <v>105</v>
      </c>
      <c r="U5742" t="str">
        <f t="shared" si="1290"/>
        <v>Broadway</v>
      </c>
      <c r="V5742" t="s">
        <v>74</v>
      </c>
      <c r="W5742" t="str">
        <f t="shared" si="1291"/>
        <v>Hampshire St</v>
      </c>
      <c r="X5742" t="str">
        <f>IF(ISBLANK(S5742),"Intersection","Non-Intersection")</f>
        <v>Intersection</v>
      </c>
      <c r="Y5742" t="s">
        <v>878</v>
      </c>
      <c r="Z5742" t="str">
        <f t="shared" si="129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293"/>
        <v>41275</v>
      </c>
      <c r="D5743" s="4">
        <f t="shared" si="1294"/>
        <v>0.76438356164383559</v>
      </c>
      <c r="E5743" s="3">
        <f t="shared" si="1295"/>
        <v>2013</v>
      </c>
      <c r="F5743" s="3">
        <f t="shared" si="1296"/>
        <v>10</v>
      </c>
      <c r="G5743" s="3">
        <f t="shared" si="1297"/>
        <v>7</v>
      </c>
      <c r="H5743" s="3">
        <f t="shared" si="1298"/>
        <v>10</v>
      </c>
      <c r="I5743" s="3">
        <f t="shared" si="1299"/>
        <v>30</v>
      </c>
      <c r="J5743" s="3">
        <f t="shared" si="130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01"/>
        <v>YES</v>
      </c>
      <c r="Q5743" t="str">
        <f t="shared" si="1302"/>
        <v>NO</v>
      </c>
      <c r="R5743" t="str">
        <f t="shared" si="1303"/>
        <v>NO</v>
      </c>
      <c r="T5743" t="s">
        <v>116</v>
      </c>
      <c r="U5743" t="str">
        <f t="shared" si="1290"/>
        <v>Chestnut St</v>
      </c>
      <c r="V5743" t="s">
        <v>6090</v>
      </c>
      <c r="W5743" t="str">
        <f t="shared" si="1291"/>
        <v>Whitney Ave</v>
      </c>
      <c r="X5743" t="str">
        <f>IF(ISBLANK(S5743),"Intersection","Non-Intersection")</f>
        <v>Intersection</v>
      </c>
      <c r="Y5743" t="s">
        <v>6091</v>
      </c>
      <c r="Z5743" t="str">
        <f t="shared" si="129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293"/>
        <v>41275</v>
      </c>
      <c r="D5744" s="4">
        <f t="shared" si="1294"/>
        <v>0.76438356164383559</v>
      </c>
      <c r="E5744" s="3">
        <f t="shared" si="1295"/>
        <v>2013</v>
      </c>
      <c r="F5744" s="3">
        <f t="shared" si="1296"/>
        <v>10</v>
      </c>
      <c r="G5744" s="3">
        <f t="shared" si="1297"/>
        <v>7</v>
      </c>
      <c r="H5744" s="3">
        <f t="shared" si="1298"/>
        <v>12</v>
      </c>
      <c r="I5744" s="3">
        <f t="shared" si="1299"/>
        <v>11</v>
      </c>
      <c r="J5744" s="3">
        <f t="shared" si="130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01"/>
        <v>YES</v>
      </c>
      <c r="Q5744" t="str">
        <f t="shared" si="1302"/>
        <v>YES</v>
      </c>
      <c r="R5744" t="str">
        <f t="shared" si="1303"/>
        <v>NO</v>
      </c>
      <c r="S5744">
        <v>130</v>
      </c>
      <c r="T5744" t="s">
        <v>2475</v>
      </c>
      <c r="U5744" t="str">
        <f t="shared" si="1290"/>
        <v>Waverly St</v>
      </c>
      <c r="W5744" t="str">
        <f t="shared" si="1291"/>
        <v/>
      </c>
      <c r="X5744" t="str">
        <f>IF(ISBLANK(S5744),"Intersection","Non-Intersection")</f>
        <v>Non-Intersection</v>
      </c>
      <c r="Y5744" t="s">
        <v>2846</v>
      </c>
      <c r="Z5744" t="str">
        <f t="shared" si="129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293"/>
        <v>41275</v>
      </c>
      <c r="D5745" s="4">
        <f t="shared" si="1294"/>
        <v>0.76438356164383559</v>
      </c>
      <c r="E5745" s="3">
        <f t="shared" si="1295"/>
        <v>2013</v>
      </c>
      <c r="F5745" s="3">
        <f t="shared" si="1296"/>
        <v>10</v>
      </c>
      <c r="G5745" s="3">
        <f t="shared" si="1297"/>
        <v>7</v>
      </c>
      <c r="H5745" s="3">
        <f t="shared" si="1298"/>
        <v>21</v>
      </c>
      <c r="I5745" s="3">
        <f t="shared" si="1299"/>
        <v>20</v>
      </c>
      <c r="J5745" s="3">
        <f t="shared" si="130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01"/>
        <v>YES</v>
      </c>
      <c r="Q5745" t="str">
        <f t="shared" si="1302"/>
        <v>NO</v>
      </c>
      <c r="R5745" t="str">
        <f t="shared" si="1303"/>
        <v>NO</v>
      </c>
      <c r="S5745">
        <v>306</v>
      </c>
      <c r="T5745" t="s">
        <v>133</v>
      </c>
      <c r="U5745" t="str">
        <f t="shared" si="1290"/>
        <v>Harvard St</v>
      </c>
      <c r="W5745" t="str">
        <f t="shared" si="1291"/>
        <v/>
      </c>
      <c r="X5745" t="str">
        <f>IF(ISBLANK(S5745),"Intersection","Non-Intersection")</f>
        <v>Non-Intersection</v>
      </c>
      <c r="Y5745" t="s">
        <v>6093</v>
      </c>
      <c r="Z5745" t="str">
        <f t="shared" si="129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293"/>
        <v>41275</v>
      </c>
      <c r="D5746" s="4">
        <f t="shared" si="1294"/>
        <v>0.76438356164383559</v>
      </c>
      <c r="E5746" s="3">
        <f t="shared" si="1295"/>
        <v>2013</v>
      </c>
      <c r="F5746" s="3">
        <f t="shared" si="1296"/>
        <v>10</v>
      </c>
      <c r="G5746" s="3">
        <f t="shared" si="1297"/>
        <v>7</v>
      </c>
      <c r="H5746" s="3">
        <f t="shared" si="1298"/>
        <v>15</v>
      </c>
      <c r="I5746" s="3">
        <f t="shared" si="1299"/>
        <v>0</v>
      </c>
      <c r="J5746" s="3">
        <f t="shared" si="130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01"/>
        <v>YES</v>
      </c>
      <c r="Q5746" t="str">
        <f t="shared" si="1302"/>
        <v>NO</v>
      </c>
      <c r="R5746" t="str">
        <f t="shared" si="1303"/>
        <v>NO</v>
      </c>
      <c r="S5746">
        <v>748</v>
      </c>
      <c r="T5746" t="s">
        <v>203</v>
      </c>
      <c r="U5746" t="str">
        <f t="shared" si="1290"/>
        <v>Memorial Dr</v>
      </c>
      <c r="W5746" t="str">
        <f t="shared" si="1291"/>
        <v/>
      </c>
      <c r="X5746" t="str">
        <f>IF(ISBLANK(S5746),"Intersection","Non-Intersection")</f>
        <v>Non-Intersection</v>
      </c>
      <c r="Y5746" t="s">
        <v>1731</v>
      </c>
      <c r="Z5746" t="str">
        <f t="shared" si="129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293"/>
        <v>41275</v>
      </c>
      <c r="D5747" s="4">
        <f t="shared" si="1294"/>
        <v>0.76438356164383559</v>
      </c>
      <c r="E5747" s="3">
        <f t="shared" si="1295"/>
        <v>2013</v>
      </c>
      <c r="F5747" s="3">
        <f t="shared" si="1296"/>
        <v>10</v>
      </c>
      <c r="G5747" s="3">
        <f t="shared" si="1297"/>
        <v>7</v>
      </c>
      <c r="H5747" s="3">
        <f t="shared" si="1298"/>
        <v>16</v>
      </c>
      <c r="I5747" s="3">
        <f t="shared" si="1299"/>
        <v>19</v>
      </c>
      <c r="J5747" s="3">
        <f t="shared" si="130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01"/>
        <v>YES</v>
      </c>
      <c r="Q5747" t="str">
        <f t="shared" si="1302"/>
        <v>NO</v>
      </c>
      <c r="R5747" t="str">
        <f t="shared" si="1303"/>
        <v>NO</v>
      </c>
      <c r="T5747" t="s">
        <v>185</v>
      </c>
      <c r="U5747" t="str">
        <f t="shared" si="1290"/>
        <v>Garden St</v>
      </c>
      <c r="V5747" t="s">
        <v>14</v>
      </c>
      <c r="W5747" t="str">
        <f t="shared" si="1291"/>
        <v>Massachusetts Ave</v>
      </c>
      <c r="X5747" t="str">
        <f>IF(ISBLANK(S5747),"Intersection","Non-Intersection")</f>
        <v>Intersection</v>
      </c>
      <c r="Y5747" t="s">
        <v>1003</v>
      </c>
      <c r="Z5747" t="str">
        <f t="shared" si="129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293"/>
        <v>41275</v>
      </c>
      <c r="D5748" s="4">
        <f t="shared" si="1294"/>
        <v>0.76986301369863008</v>
      </c>
      <c r="E5748" s="3">
        <f t="shared" si="1295"/>
        <v>2013</v>
      </c>
      <c r="F5748" s="3">
        <f t="shared" si="1296"/>
        <v>10</v>
      </c>
      <c r="G5748" s="3">
        <f t="shared" si="1297"/>
        <v>9</v>
      </c>
      <c r="H5748" s="3">
        <f t="shared" si="1298"/>
        <v>18</v>
      </c>
      <c r="I5748" s="3">
        <f t="shared" si="1299"/>
        <v>10</v>
      </c>
      <c r="J5748" s="3">
        <f t="shared" si="130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01"/>
        <v>YES</v>
      </c>
      <c r="Q5748" t="str">
        <f t="shared" si="1302"/>
        <v>YES</v>
      </c>
      <c r="R5748" t="str">
        <f t="shared" si="1303"/>
        <v>NO</v>
      </c>
      <c r="T5748" t="s">
        <v>326</v>
      </c>
      <c r="U5748" t="str">
        <f t="shared" si="1290"/>
        <v>Jfk St</v>
      </c>
      <c r="V5748" t="s">
        <v>3966</v>
      </c>
      <c r="W5748" t="str">
        <f t="shared" si="1291"/>
        <v>South St</v>
      </c>
      <c r="X5748" t="str">
        <f>IF(ISBLANK(S5748),"Intersection","Non-Intersection")</f>
        <v>Intersection</v>
      </c>
      <c r="Y5748" t="s">
        <v>3967</v>
      </c>
      <c r="Z5748" t="str">
        <f t="shared" si="129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293"/>
        <v>41275</v>
      </c>
      <c r="D5749" s="4">
        <f t="shared" si="1294"/>
        <v>0.77260273972602744</v>
      </c>
      <c r="E5749" s="3">
        <f t="shared" si="1295"/>
        <v>2013</v>
      </c>
      <c r="F5749" s="3">
        <f t="shared" si="1296"/>
        <v>10</v>
      </c>
      <c r="G5749" s="3">
        <f t="shared" si="1297"/>
        <v>10</v>
      </c>
      <c r="H5749" s="3">
        <f t="shared" si="1298"/>
        <v>8</v>
      </c>
      <c r="I5749" s="3">
        <f t="shared" si="1299"/>
        <v>0</v>
      </c>
      <c r="J5749" s="3">
        <f t="shared" si="130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01"/>
        <v>YES</v>
      </c>
      <c r="Q5749" t="str">
        <f t="shared" si="1302"/>
        <v>YES</v>
      </c>
      <c r="R5749" t="str">
        <f t="shared" si="1303"/>
        <v>NO</v>
      </c>
      <c r="T5749" t="s">
        <v>14</v>
      </c>
      <c r="U5749" t="str">
        <f t="shared" si="1290"/>
        <v>Massachusetts Ave</v>
      </c>
      <c r="V5749" t="s">
        <v>15</v>
      </c>
      <c r="W5749" t="str">
        <f t="shared" si="1291"/>
        <v>Rindge Ave</v>
      </c>
      <c r="X5749" t="str">
        <f>IF(ISBLANK(S5749),"Intersection","Non-Intersection")</f>
        <v>Intersection</v>
      </c>
      <c r="Y5749" t="s">
        <v>16</v>
      </c>
      <c r="Z5749" t="str">
        <f t="shared" si="129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293"/>
        <v>41275</v>
      </c>
      <c r="D5750" s="4">
        <f t="shared" si="1294"/>
        <v>0.77260273972602744</v>
      </c>
      <c r="E5750" s="3">
        <f t="shared" si="1295"/>
        <v>2013</v>
      </c>
      <c r="F5750" s="3">
        <f t="shared" si="1296"/>
        <v>10</v>
      </c>
      <c r="G5750" s="3">
        <f t="shared" si="1297"/>
        <v>10</v>
      </c>
      <c r="H5750" s="3">
        <f t="shared" si="1298"/>
        <v>8</v>
      </c>
      <c r="I5750" s="3">
        <f t="shared" si="1299"/>
        <v>0</v>
      </c>
      <c r="J5750" s="3">
        <f t="shared" si="130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01"/>
        <v>YES</v>
      </c>
      <c r="Q5750" t="str">
        <f t="shared" si="1302"/>
        <v>YES</v>
      </c>
      <c r="R5750" t="str">
        <f t="shared" si="1303"/>
        <v>NO</v>
      </c>
      <c r="T5750" t="s">
        <v>185</v>
      </c>
      <c r="U5750" t="str">
        <f t="shared" si="1290"/>
        <v>Garden St</v>
      </c>
      <c r="V5750" t="s">
        <v>988</v>
      </c>
      <c r="W5750" t="str">
        <f t="shared" si="1291"/>
        <v>Bond St</v>
      </c>
      <c r="X5750" t="str">
        <f>IF(ISBLANK(S5750),"Intersection","Non-Intersection")</f>
        <v>Intersection</v>
      </c>
      <c r="Y5750" t="s">
        <v>3716</v>
      </c>
      <c r="Z5750" t="str">
        <f t="shared" si="129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293"/>
        <v>41275</v>
      </c>
      <c r="D5751" s="4">
        <f t="shared" si="1294"/>
        <v>0.77260273972602744</v>
      </c>
      <c r="E5751" s="3">
        <f t="shared" si="1295"/>
        <v>2013</v>
      </c>
      <c r="F5751" s="3">
        <f t="shared" si="1296"/>
        <v>10</v>
      </c>
      <c r="G5751" s="3">
        <f t="shared" si="1297"/>
        <v>10</v>
      </c>
      <c r="H5751" s="3">
        <f t="shared" si="1298"/>
        <v>12</v>
      </c>
      <c r="I5751" s="3">
        <f t="shared" si="1299"/>
        <v>0</v>
      </c>
      <c r="J5751" s="3">
        <f t="shared" si="130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01"/>
        <v>YES</v>
      </c>
      <c r="Q5751" t="str">
        <f t="shared" si="1302"/>
        <v>NO</v>
      </c>
      <c r="R5751" t="str">
        <f t="shared" si="1303"/>
        <v>NO</v>
      </c>
      <c r="S5751">
        <v>2564</v>
      </c>
      <c r="T5751" t="s">
        <v>14</v>
      </c>
      <c r="U5751" t="str">
        <f t="shared" si="1290"/>
        <v>Massachusetts Ave</v>
      </c>
      <c r="W5751" t="str">
        <f t="shared" si="1291"/>
        <v/>
      </c>
      <c r="X5751" t="str">
        <f>IF(ISBLANK(S5751),"Intersection","Non-Intersection")</f>
        <v>Non-Intersection</v>
      </c>
      <c r="Y5751" t="s">
        <v>6095</v>
      </c>
      <c r="Z5751" t="str">
        <f t="shared" si="129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293"/>
        <v>41275</v>
      </c>
      <c r="D5752" s="4">
        <f t="shared" si="1294"/>
        <v>0.77260273972602744</v>
      </c>
      <c r="E5752" s="3">
        <f t="shared" si="1295"/>
        <v>2013</v>
      </c>
      <c r="F5752" s="3">
        <f t="shared" si="1296"/>
        <v>10</v>
      </c>
      <c r="G5752" s="3">
        <f t="shared" si="1297"/>
        <v>10</v>
      </c>
      <c r="H5752" s="3">
        <f t="shared" si="1298"/>
        <v>12</v>
      </c>
      <c r="I5752" s="3">
        <f t="shared" si="1299"/>
        <v>55</v>
      </c>
      <c r="J5752" s="3">
        <f t="shared" si="130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01"/>
        <v>YES</v>
      </c>
      <c r="Q5752" t="str">
        <f t="shared" si="1302"/>
        <v>YES</v>
      </c>
      <c r="R5752" t="str">
        <f t="shared" si="1303"/>
        <v>NO</v>
      </c>
      <c r="T5752" t="s">
        <v>15</v>
      </c>
      <c r="U5752" t="str">
        <f t="shared" si="1290"/>
        <v>Rindge Ave</v>
      </c>
      <c r="V5752" t="s">
        <v>3188</v>
      </c>
      <c r="W5752" t="str">
        <f t="shared" si="1291"/>
        <v>Montgomery St</v>
      </c>
      <c r="X5752" t="str">
        <f>IF(ISBLANK(S5752),"Intersection","Non-Intersection")</f>
        <v>Intersection</v>
      </c>
      <c r="Y5752" t="s">
        <v>6097</v>
      </c>
      <c r="Z5752" t="str">
        <f t="shared" si="129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293"/>
        <v>41275</v>
      </c>
      <c r="D5753" s="4">
        <f t="shared" si="1294"/>
        <v>0.77260273972602744</v>
      </c>
      <c r="E5753" s="3">
        <f t="shared" si="1295"/>
        <v>2013</v>
      </c>
      <c r="F5753" s="3">
        <f t="shared" si="1296"/>
        <v>10</v>
      </c>
      <c r="G5753" s="3">
        <f t="shared" si="1297"/>
        <v>10</v>
      </c>
      <c r="H5753" s="3">
        <f t="shared" si="1298"/>
        <v>15</v>
      </c>
      <c r="I5753" s="3">
        <f t="shared" si="1299"/>
        <v>0</v>
      </c>
      <c r="J5753" s="3">
        <f t="shared" si="130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01"/>
        <v>YES</v>
      </c>
      <c r="Q5753" t="str">
        <f t="shared" si="1302"/>
        <v>NO</v>
      </c>
      <c r="R5753" t="str">
        <f t="shared" si="1303"/>
        <v>NO</v>
      </c>
      <c r="T5753" t="s">
        <v>6099</v>
      </c>
      <c r="U5753" t="str">
        <f t="shared" si="1290"/>
        <v>Hollis Park</v>
      </c>
      <c r="V5753" t="s">
        <v>142</v>
      </c>
      <c r="W5753" t="str">
        <f t="shared" si="1291"/>
        <v>Huron Ave</v>
      </c>
      <c r="X5753" t="str">
        <f>IF(ISBLANK(S5753),"Intersection","Non-Intersection")</f>
        <v>Intersection</v>
      </c>
      <c r="Y5753" t="s">
        <v>6100</v>
      </c>
      <c r="Z5753" t="str">
        <f t="shared" si="129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293"/>
        <v>41275</v>
      </c>
      <c r="D5754" s="4">
        <f t="shared" si="1294"/>
        <v>0.77260273972602744</v>
      </c>
      <c r="E5754" s="3">
        <f t="shared" si="1295"/>
        <v>2013</v>
      </c>
      <c r="F5754" s="3">
        <f t="shared" si="1296"/>
        <v>10</v>
      </c>
      <c r="G5754" s="3">
        <f t="shared" si="1297"/>
        <v>10</v>
      </c>
      <c r="H5754" s="3">
        <f t="shared" si="1298"/>
        <v>18</v>
      </c>
      <c r="I5754" s="3">
        <f t="shared" si="1299"/>
        <v>46</v>
      </c>
      <c r="J5754" s="3">
        <f t="shared" si="130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01"/>
        <v>YES</v>
      </c>
      <c r="Q5754" t="str">
        <f t="shared" si="1302"/>
        <v>YES</v>
      </c>
      <c r="R5754" t="str">
        <f t="shared" si="1303"/>
        <v>NO</v>
      </c>
      <c r="S5754">
        <v>1637</v>
      </c>
      <c r="T5754" t="s">
        <v>14</v>
      </c>
      <c r="U5754" t="str">
        <f t="shared" si="1290"/>
        <v>Massachusetts Ave</v>
      </c>
      <c r="W5754" t="str">
        <f t="shared" si="1291"/>
        <v/>
      </c>
      <c r="X5754" t="str">
        <f>IF(ISBLANK(S5754),"Intersection","Non-Intersection")</f>
        <v>Non-Intersection</v>
      </c>
      <c r="Y5754" t="s">
        <v>6101</v>
      </c>
      <c r="Z5754" t="str">
        <f t="shared" si="129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293"/>
        <v>41275</v>
      </c>
      <c r="D5755" s="4">
        <f t="shared" si="1294"/>
        <v>0.77260273972602744</v>
      </c>
      <c r="E5755" s="3">
        <f t="shared" si="1295"/>
        <v>2013</v>
      </c>
      <c r="F5755" s="3">
        <f t="shared" si="1296"/>
        <v>10</v>
      </c>
      <c r="G5755" s="3">
        <f t="shared" si="1297"/>
        <v>10</v>
      </c>
      <c r="H5755" s="3">
        <f t="shared" si="1298"/>
        <v>17</v>
      </c>
      <c r="I5755" s="3">
        <f t="shared" si="1299"/>
        <v>19</v>
      </c>
      <c r="J5755" s="3">
        <f t="shared" si="130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01"/>
        <v>YES</v>
      </c>
      <c r="Q5755" t="str">
        <f t="shared" si="1302"/>
        <v>YES</v>
      </c>
      <c r="R5755" t="str">
        <f t="shared" si="1303"/>
        <v>NO</v>
      </c>
      <c r="S5755">
        <v>189</v>
      </c>
      <c r="T5755" t="s">
        <v>74</v>
      </c>
      <c r="U5755" t="str">
        <f t="shared" si="1290"/>
        <v>Hampshire St</v>
      </c>
      <c r="W5755" t="str">
        <f t="shared" si="1291"/>
        <v/>
      </c>
      <c r="X5755" t="str">
        <f>IF(ISBLANK(S5755),"Intersection","Non-Intersection")</f>
        <v>Non-Intersection</v>
      </c>
      <c r="Y5755" t="s">
        <v>6103</v>
      </c>
      <c r="Z5755" t="str">
        <f t="shared" si="129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293"/>
        <v>41275</v>
      </c>
      <c r="D5756" s="4">
        <f t="shared" si="1294"/>
        <v>0.77260273972602744</v>
      </c>
      <c r="E5756" s="3">
        <f t="shared" si="1295"/>
        <v>2013</v>
      </c>
      <c r="F5756" s="3">
        <f t="shared" si="1296"/>
        <v>10</v>
      </c>
      <c r="G5756" s="3">
        <f t="shared" si="1297"/>
        <v>10</v>
      </c>
      <c r="H5756" s="3">
        <f t="shared" si="1298"/>
        <v>22</v>
      </c>
      <c r="I5756" s="3">
        <f t="shared" si="1299"/>
        <v>5</v>
      </c>
      <c r="J5756" s="3">
        <f t="shared" si="130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01"/>
        <v>YES</v>
      </c>
      <c r="Q5756" t="str">
        <f t="shared" si="1302"/>
        <v>NO</v>
      </c>
      <c r="R5756" t="str">
        <f t="shared" si="1303"/>
        <v>NO</v>
      </c>
      <c r="T5756" t="s">
        <v>186</v>
      </c>
      <c r="U5756" t="str">
        <f t="shared" si="1290"/>
        <v>Concord Ave</v>
      </c>
      <c r="V5756" t="s">
        <v>4933</v>
      </c>
      <c r="W5756" t="str">
        <f t="shared" si="1291"/>
        <v>Griswold St</v>
      </c>
      <c r="X5756" t="str">
        <f>IF(ISBLANK(S5756),"Intersection","Non-Intersection")</f>
        <v>Intersection</v>
      </c>
      <c r="Y5756" t="s">
        <v>4934</v>
      </c>
      <c r="Z5756" t="str">
        <f t="shared" si="129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293"/>
        <v>41275</v>
      </c>
      <c r="D5757" s="4">
        <f t="shared" si="1294"/>
        <v>0.77534246575342469</v>
      </c>
      <c r="E5757" s="3">
        <f t="shared" si="1295"/>
        <v>2013</v>
      </c>
      <c r="F5757" s="3">
        <f t="shared" si="1296"/>
        <v>10</v>
      </c>
      <c r="G5757" s="3">
        <f t="shared" si="1297"/>
        <v>11</v>
      </c>
      <c r="H5757" s="3">
        <f t="shared" si="1298"/>
        <v>9</v>
      </c>
      <c r="I5757" s="3">
        <f t="shared" si="1299"/>
        <v>0</v>
      </c>
      <c r="J5757" s="3">
        <f t="shared" si="130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01"/>
        <v>YES</v>
      </c>
      <c r="Q5757" t="str">
        <f t="shared" si="1302"/>
        <v>YES</v>
      </c>
      <c r="R5757" t="str">
        <f t="shared" si="1303"/>
        <v>NO</v>
      </c>
      <c r="T5757" t="s">
        <v>186</v>
      </c>
      <c r="U5757" t="str">
        <f t="shared" si="1290"/>
        <v>Concord Ave</v>
      </c>
      <c r="V5757" t="s">
        <v>233</v>
      </c>
      <c r="W5757" t="str">
        <f t="shared" si="1291"/>
        <v>Chilton St</v>
      </c>
      <c r="X5757" t="str">
        <f>IF(ISBLANK(S5757),"Intersection","Non-Intersection")</f>
        <v>Intersection</v>
      </c>
      <c r="Y5757" t="s">
        <v>6105</v>
      </c>
      <c r="Z5757" t="str">
        <f t="shared" si="129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293"/>
        <v>41275</v>
      </c>
      <c r="D5758" s="4">
        <f t="shared" si="1294"/>
        <v>0.77534246575342469</v>
      </c>
      <c r="E5758" s="3">
        <f t="shared" si="1295"/>
        <v>2013</v>
      </c>
      <c r="F5758" s="3">
        <f t="shared" si="1296"/>
        <v>10</v>
      </c>
      <c r="G5758" s="3">
        <f t="shared" si="1297"/>
        <v>11</v>
      </c>
      <c r="H5758" s="3">
        <f t="shared" si="1298"/>
        <v>13</v>
      </c>
      <c r="I5758" s="3">
        <f t="shared" si="1299"/>
        <v>44</v>
      </c>
      <c r="J5758" s="3">
        <f t="shared" si="130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01"/>
        <v>YES</v>
      </c>
      <c r="Q5758" t="str">
        <f t="shared" si="1302"/>
        <v>NO</v>
      </c>
      <c r="R5758" t="str">
        <f t="shared" si="1303"/>
        <v>NO</v>
      </c>
      <c r="S5758">
        <v>139</v>
      </c>
      <c r="T5758" t="s">
        <v>387</v>
      </c>
      <c r="U5758" t="str">
        <f t="shared" si="1290"/>
        <v>Antrim St</v>
      </c>
      <c r="W5758" t="str">
        <f t="shared" si="1291"/>
        <v/>
      </c>
      <c r="X5758" t="str">
        <f>IF(ISBLANK(S5758),"Intersection","Non-Intersection")</f>
        <v>Non-Intersection</v>
      </c>
      <c r="Y5758" t="s">
        <v>6107</v>
      </c>
      <c r="Z5758" t="str">
        <f t="shared" si="129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293"/>
        <v>41275</v>
      </c>
      <c r="D5759" s="4">
        <f t="shared" si="1294"/>
        <v>0.77534246575342469</v>
      </c>
      <c r="E5759" s="3">
        <f t="shared" si="1295"/>
        <v>2013</v>
      </c>
      <c r="F5759" s="3">
        <f t="shared" si="1296"/>
        <v>10</v>
      </c>
      <c r="G5759" s="3">
        <f t="shared" si="1297"/>
        <v>11</v>
      </c>
      <c r="H5759" s="3">
        <f t="shared" si="1298"/>
        <v>14</v>
      </c>
      <c r="I5759" s="3">
        <f t="shared" si="1299"/>
        <v>45</v>
      </c>
      <c r="J5759" s="3">
        <f t="shared" si="130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01"/>
        <v>YES</v>
      </c>
      <c r="Q5759" t="str">
        <f t="shared" si="1302"/>
        <v>NO</v>
      </c>
      <c r="R5759" t="str">
        <f t="shared" si="1303"/>
        <v>NO</v>
      </c>
      <c r="S5759">
        <v>13</v>
      </c>
      <c r="T5759" t="s">
        <v>832</v>
      </c>
      <c r="U5759" t="str">
        <f t="shared" si="1290"/>
        <v>Fairmont Ave</v>
      </c>
      <c r="W5759" t="str">
        <f t="shared" si="1291"/>
        <v/>
      </c>
      <c r="X5759" t="str">
        <f>IF(ISBLANK(S5759),"Intersection","Non-Intersection")</f>
        <v>Non-Intersection</v>
      </c>
      <c r="Y5759" t="s">
        <v>6109</v>
      </c>
      <c r="Z5759" t="str">
        <f t="shared" si="129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293"/>
        <v>41275</v>
      </c>
      <c r="D5760" s="4">
        <f t="shared" si="1294"/>
        <v>0.77534246575342469</v>
      </c>
      <c r="E5760" s="3">
        <f t="shared" si="1295"/>
        <v>2013</v>
      </c>
      <c r="F5760" s="3">
        <f t="shared" si="1296"/>
        <v>10</v>
      </c>
      <c r="G5760" s="3">
        <f t="shared" si="1297"/>
        <v>11</v>
      </c>
      <c r="H5760" s="3">
        <f t="shared" si="1298"/>
        <v>19</v>
      </c>
      <c r="I5760" s="3">
        <f t="shared" si="1299"/>
        <v>30</v>
      </c>
      <c r="J5760" s="3">
        <f t="shared" si="130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01"/>
        <v>YES</v>
      </c>
      <c r="Q5760" t="str">
        <f t="shared" si="1302"/>
        <v>NO</v>
      </c>
      <c r="R5760" t="str">
        <f t="shared" si="1303"/>
        <v>NO</v>
      </c>
      <c r="T5760" t="s">
        <v>108</v>
      </c>
      <c r="U5760" t="str">
        <f t="shared" si="1290"/>
        <v>Franklin St</v>
      </c>
      <c r="V5760" t="s">
        <v>70</v>
      </c>
      <c r="W5760" t="str">
        <f t="shared" si="1291"/>
        <v>Pearl St</v>
      </c>
      <c r="X5760" t="str">
        <f>IF(ISBLANK(S5760),"Intersection","Non-Intersection")</f>
        <v>Intersection</v>
      </c>
      <c r="Y5760" t="s">
        <v>645</v>
      </c>
      <c r="Z5760" t="str">
        <f t="shared" si="129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293"/>
        <v>41275</v>
      </c>
      <c r="D5761" s="4">
        <f t="shared" si="1294"/>
        <v>0.77534246575342469</v>
      </c>
      <c r="E5761" s="3">
        <f t="shared" si="1295"/>
        <v>2013</v>
      </c>
      <c r="F5761" s="3">
        <f t="shared" si="1296"/>
        <v>10</v>
      </c>
      <c r="G5761" s="3">
        <f t="shared" si="1297"/>
        <v>11</v>
      </c>
      <c r="H5761" s="3">
        <f t="shared" si="1298"/>
        <v>21</v>
      </c>
      <c r="I5761" s="3">
        <f t="shared" si="1299"/>
        <v>0</v>
      </c>
      <c r="J5761" s="3">
        <f t="shared" si="130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01"/>
        <v>YES</v>
      </c>
      <c r="Q5761" t="str">
        <f t="shared" si="1302"/>
        <v>NO</v>
      </c>
      <c r="R5761" t="str">
        <f t="shared" si="1303"/>
        <v>NO</v>
      </c>
      <c r="T5761" t="s">
        <v>108</v>
      </c>
      <c r="U5761" t="str">
        <f t="shared" si="1290"/>
        <v>Franklin St</v>
      </c>
      <c r="V5761" t="s">
        <v>70</v>
      </c>
      <c r="W5761" t="str">
        <f t="shared" si="1291"/>
        <v>Pearl St</v>
      </c>
      <c r="X5761" t="str">
        <f>IF(ISBLANK(S5761),"Intersection","Non-Intersection")</f>
        <v>Intersection</v>
      </c>
      <c r="Y5761" t="s">
        <v>645</v>
      </c>
      <c r="Z5761" t="str">
        <f t="shared" si="129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293"/>
        <v>41275</v>
      </c>
      <c r="D5762" s="4">
        <f t="shared" si="1294"/>
        <v>0.77534246575342469</v>
      </c>
      <c r="E5762" s="3">
        <f t="shared" si="1295"/>
        <v>2013</v>
      </c>
      <c r="F5762" s="3">
        <f t="shared" si="1296"/>
        <v>10</v>
      </c>
      <c r="G5762" s="3">
        <f t="shared" si="1297"/>
        <v>11</v>
      </c>
      <c r="H5762" s="3">
        <f t="shared" si="1298"/>
        <v>21</v>
      </c>
      <c r="I5762" s="3">
        <f t="shared" si="1299"/>
        <v>49</v>
      </c>
      <c r="J5762" s="3">
        <f t="shared" si="130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01"/>
        <v>YES</v>
      </c>
      <c r="Q5762" t="str">
        <f t="shared" si="1302"/>
        <v>YES</v>
      </c>
      <c r="R5762" t="str">
        <f t="shared" si="1303"/>
        <v>NO</v>
      </c>
      <c r="S5762">
        <v>306</v>
      </c>
      <c r="T5762" t="s">
        <v>587</v>
      </c>
      <c r="U5762" t="str">
        <f t="shared" si="1290"/>
        <v>Webster Ave</v>
      </c>
      <c r="W5762" t="str">
        <f t="shared" si="1291"/>
        <v/>
      </c>
      <c r="X5762" t="str">
        <f>IF(ISBLANK(S5762),"Intersection","Non-Intersection")</f>
        <v>Non-Intersection</v>
      </c>
      <c r="Y5762" t="s">
        <v>4570</v>
      </c>
      <c r="Z5762" t="str">
        <f t="shared" si="129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293"/>
        <v>41275</v>
      </c>
      <c r="D5763" s="4">
        <f t="shared" si="1294"/>
        <v>0.77808219178082194</v>
      </c>
      <c r="E5763" s="3">
        <f t="shared" si="1295"/>
        <v>2013</v>
      </c>
      <c r="F5763" s="3">
        <f t="shared" si="1296"/>
        <v>10</v>
      </c>
      <c r="G5763" s="3">
        <f t="shared" si="1297"/>
        <v>12</v>
      </c>
      <c r="H5763" s="3">
        <f t="shared" si="1298"/>
        <v>2</v>
      </c>
      <c r="I5763" s="3">
        <f t="shared" si="1299"/>
        <v>46</v>
      </c>
      <c r="J5763" s="3">
        <f t="shared" si="130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01"/>
        <v>YES</v>
      </c>
      <c r="Q5763" t="str">
        <f t="shared" si="1302"/>
        <v>NO</v>
      </c>
      <c r="R5763" t="str">
        <f t="shared" si="1303"/>
        <v>NO</v>
      </c>
      <c r="S5763">
        <v>181</v>
      </c>
      <c r="T5763" t="s">
        <v>260</v>
      </c>
      <c r="U5763" t="str">
        <f t="shared" ref="U5763:U5826" si="1304">TRIM(PROPER(T5763))</f>
        <v>Third St</v>
      </c>
      <c r="W5763" t="str">
        <f t="shared" ref="W5763:W5826" si="1305">TRIM(PROPER(V5763))</f>
        <v/>
      </c>
      <c r="X5763" t="str">
        <f>IF(ISBLANK(S5763),"Intersection","Non-Intersection")</f>
        <v>Non-Intersection</v>
      </c>
      <c r="Y5763" t="s">
        <v>6111</v>
      </c>
      <c r="Z5763" t="str">
        <f t="shared" ref="Z5763:Z5826" si="1306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293"/>
        <v>41275</v>
      </c>
      <c r="D5764" s="4">
        <f t="shared" si="1294"/>
        <v>0.77808219178082194</v>
      </c>
      <c r="E5764" s="3">
        <f t="shared" si="1295"/>
        <v>2013</v>
      </c>
      <c r="F5764" s="3">
        <f t="shared" si="1296"/>
        <v>10</v>
      </c>
      <c r="G5764" s="3">
        <f t="shared" si="1297"/>
        <v>12</v>
      </c>
      <c r="H5764" s="3">
        <f t="shared" si="1298"/>
        <v>10</v>
      </c>
      <c r="I5764" s="3">
        <f t="shared" si="1299"/>
        <v>50</v>
      </c>
      <c r="J5764" s="3">
        <f t="shared" si="130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01"/>
        <v>YES</v>
      </c>
      <c r="Q5764" t="str">
        <f t="shared" si="1302"/>
        <v>NO</v>
      </c>
      <c r="R5764" t="str">
        <f t="shared" si="1303"/>
        <v>NO</v>
      </c>
      <c r="T5764" t="s">
        <v>326</v>
      </c>
      <c r="U5764" t="str">
        <f t="shared" si="1304"/>
        <v>Jfk St</v>
      </c>
      <c r="V5764" t="s">
        <v>3966</v>
      </c>
      <c r="W5764" t="str">
        <f t="shared" si="1305"/>
        <v>South St</v>
      </c>
      <c r="X5764" t="str">
        <f>IF(ISBLANK(S5764),"Intersection","Non-Intersection")</f>
        <v>Intersection</v>
      </c>
      <c r="Y5764" t="s">
        <v>3967</v>
      </c>
      <c r="Z5764" t="str">
        <f t="shared" si="1306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293"/>
        <v>41275</v>
      </c>
      <c r="D5765" s="4">
        <f t="shared" si="1294"/>
        <v>0.77808219178082194</v>
      </c>
      <c r="E5765" s="3">
        <f t="shared" si="1295"/>
        <v>2013</v>
      </c>
      <c r="F5765" s="3">
        <f t="shared" si="1296"/>
        <v>10</v>
      </c>
      <c r="G5765" s="3">
        <f t="shared" si="1297"/>
        <v>12</v>
      </c>
      <c r="H5765" s="3">
        <f t="shared" si="1298"/>
        <v>2</v>
      </c>
      <c r="I5765" s="3">
        <f t="shared" si="1299"/>
        <v>46</v>
      </c>
      <c r="J5765" s="3">
        <f t="shared" si="130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01"/>
        <v>YES</v>
      </c>
      <c r="Q5765" t="str">
        <f t="shared" si="1302"/>
        <v>NO</v>
      </c>
      <c r="R5765" t="str">
        <f t="shared" si="1303"/>
        <v>NO</v>
      </c>
      <c r="S5765">
        <v>181</v>
      </c>
      <c r="T5765" t="s">
        <v>260</v>
      </c>
      <c r="U5765" t="str">
        <f t="shared" si="1304"/>
        <v>Third St</v>
      </c>
      <c r="W5765" t="str">
        <f t="shared" si="1305"/>
        <v/>
      </c>
      <c r="X5765" t="str">
        <f>IF(ISBLANK(S5765),"Intersection","Non-Intersection")</f>
        <v>Non-Intersection</v>
      </c>
      <c r="Y5765" t="s">
        <v>6111</v>
      </c>
      <c r="Z5765" t="str">
        <f t="shared" si="1306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293"/>
        <v>41275</v>
      </c>
      <c r="D5766" s="4">
        <f t="shared" si="1294"/>
        <v>0.78082191780821919</v>
      </c>
      <c r="E5766" s="3">
        <f t="shared" si="1295"/>
        <v>2013</v>
      </c>
      <c r="F5766" s="3">
        <f t="shared" si="1296"/>
        <v>10</v>
      </c>
      <c r="G5766" s="3">
        <f t="shared" si="1297"/>
        <v>13</v>
      </c>
      <c r="H5766" s="3">
        <f t="shared" si="1298"/>
        <v>13</v>
      </c>
      <c r="I5766" s="3">
        <f t="shared" si="1299"/>
        <v>30</v>
      </c>
      <c r="J5766" s="3">
        <f t="shared" si="130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01"/>
        <v>YES</v>
      </c>
      <c r="Q5766" t="str">
        <f t="shared" si="1302"/>
        <v>NO</v>
      </c>
      <c r="R5766" t="str">
        <f t="shared" si="1303"/>
        <v>NO</v>
      </c>
      <c r="S5766">
        <v>1558</v>
      </c>
      <c r="T5766" t="s">
        <v>14</v>
      </c>
      <c r="U5766" t="str">
        <f t="shared" si="1304"/>
        <v>Massachusetts Ave</v>
      </c>
      <c r="W5766" t="str">
        <f t="shared" si="1305"/>
        <v/>
      </c>
      <c r="X5766" t="str">
        <f>IF(ISBLANK(S5766),"Intersection","Non-Intersection")</f>
        <v>Non-Intersection</v>
      </c>
      <c r="Y5766" t="s">
        <v>4473</v>
      </c>
      <c r="Z5766" t="str">
        <f t="shared" si="1306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293"/>
        <v>41275</v>
      </c>
      <c r="D5767" s="4">
        <f t="shared" si="1294"/>
        <v>0.78082191780821919</v>
      </c>
      <c r="E5767" s="3">
        <f t="shared" si="1295"/>
        <v>2013</v>
      </c>
      <c r="F5767" s="3">
        <f t="shared" si="1296"/>
        <v>10</v>
      </c>
      <c r="G5767" s="3">
        <f t="shared" si="1297"/>
        <v>13</v>
      </c>
      <c r="H5767" s="3">
        <f t="shared" si="1298"/>
        <v>16</v>
      </c>
      <c r="I5767" s="3">
        <f t="shared" si="1299"/>
        <v>15</v>
      </c>
      <c r="J5767" s="3">
        <f t="shared" si="130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01"/>
        <v>YES</v>
      </c>
      <c r="Q5767" t="str">
        <f t="shared" si="1302"/>
        <v>NO</v>
      </c>
      <c r="R5767" t="str">
        <f t="shared" si="1303"/>
        <v>NO</v>
      </c>
      <c r="T5767" t="s">
        <v>316</v>
      </c>
      <c r="U5767" t="str">
        <f t="shared" si="1304"/>
        <v>Bishop Allen Dr</v>
      </c>
      <c r="V5767" t="s">
        <v>315</v>
      </c>
      <c r="W5767" t="str">
        <f t="shared" si="1305"/>
        <v>Essex St</v>
      </c>
      <c r="X5767" t="str">
        <f>IF(ISBLANK(S5767),"Intersection","Non-Intersection")</f>
        <v>Intersection</v>
      </c>
      <c r="Y5767" t="s">
        <v>3185</v>
      </c>
      <c r="Z5767" t="str">
        <f t="shared" si="1306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293"/>
        <v>41275</v>
      </c>
      <c r="D5768" s="4">
        <f t="shared" si="1294"/>
        <v>0.78082191780821919</v>
      </c>
      <c r="E5768" s="3">
        <f t="shared" si="1295"/>
        <v>2013</v>
      </c>
      <c r="F5768" s="3">
        <f t="shared" si="1296"/>
        <v>10</v>
      </c>
      <c r="G5768" s="3">
        <f t="shared" si="1297"/>
        <v>13</v>
      </c>
      <c r="H5768" s="3">
        <f t="shared" si="1298"/>
        <v>17</v>
      </c>
      <c r="I5768" s="3">
        <f t="shared" si="1299"/>
        <v>29</v>
      </c>
      <c r="J5768" s="3">
        <f t="shared" si="130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01"/>
        <v>YES</v>
      </c>
      <c r="Q5768" t="str">
        <f t="shared" si="1302"/>
        <v>NO</v>
      </c>
      <c r="R5768" t="str">
        <f t="shared" si="1303"/>
        <v>YES</v>
      </c>
      <c r="S5768">
        <v>2055</v>
      </c>
      <c r="T5768" t="s">
        <v>14</v>
      </c>
      <c r="U5768" t="str">
        <f t="shared" si="1304"/>
        <v>Massachusetts Ave</v>
      </c>
      <c r="W5768" t="str">
        <f t="shared" si="1305"/>
        <v/>
      </c>
      <c r="X5768" t="str">
        <f>IF(ISBLANK(S5768),"Intersection","Non-Intersection")</f>
        <v>Non-Intersection</v>
      </c>
      <c r="Y5768" t="s">
        <v>3399</v>
      </c>
      <c r="Z5768" t="str">
        <f t="shared" si="1306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293"/>
        <v>41275</v>
      </c>
      <c r="D5769" s="4">
        <f t="shared" si="1294"/>
        <v>0.78082191780821919</v>
      </c>
      <c r="E5769" s="3">
        <f t="shared" si="1295"/>
        <v>2013</v>
      </c>
      <c r="F5769" s="3">
        <f t="shared" si="1296"/>
        <v>10</v>
      </c>
      <c r="G5769" s="3">
        <f t="shared" si="1297"/>
        <v>13</v>
      </c>
      <c r="H5769" s="3">
        <f t="shared" si="1298"/>
        <v>17</v>
      </c>
      <c r="I5769" s="3">
        <f t="shared" si="1299"/>
        <v>0</v>
      </c>
      <c r="J5769" s="3">
        <f t="shared" si="130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01"/>
        <v>YES</v>
      </c>
      <c r="Q5769" t="str">
        <f t="shared" si="1302"/>
        <v>YES</v>
      </c>
      <c r="R5769" t="str">
        <f t="shared" si="1303"/>
        <v>NO</v>
      </c>
      <c r="T5769" t="s">
        <v>1065</v>
      </c>
      <c r="U5769" t="str">
        <f t="shared" si="1304"/>
        <v>Fern St</v>
      </c>
      <c r="V5769" t="s">
        <v>186</v>
      </c>
      <c r="W5769" t="str">
        <f t="shared" si="1305"/>
        <v>Concord Ave</v>
      </c>
      <c r="X5769" t="str">
        <f>IF(ISBLANK(S5769),"Intersection","Non-Intersection")</f>
        <v>Intersection</v>
      </c>
      <c r="Y5769" t="s">
        <v>6113</v>
      </c>
      <c r="Z5769" t="str">
        <f t="shared" si="1306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293"/>
        <v>41275</v>
      </c>
      <c r="D5770" s="4">
        <f t="shared" si="1294"/>
        <v>0.78356164383561644</v>
      </c>
      <c r="E5770" s="3">
        <f t="shared" si="1295"/>
        <v>2013</v>
      </c>
      <c r="F5770" s="3">
        <f t="shared" si="1296"/>
        <v>10</v>
      </c>
      <c r="G5770" s="3">
        <f t="shared" si="1297"/>
        <v>14</v>
      </c>
      <c r="H5770" s="3">
        <f t="shared" si="1298"/>
        <v>1</v>
      </c>
      <c r="I5770" s="3">
        <f t="shared" si="1299"/>
        <v>2</v>
      </c>
      <c r="J5770" s="3">
        <f t="shared" si="130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01"/>
        <v>YES</v>
      </c>
      <c r="Q5770" t="str">
        <f t="shared" si="1302"/>
        <v>NO</v>
      </c>
      <c r="R5770" t="str">
        <f t="shared" si="1303"/>
        <v>NO</v>
      </c>
      <c r="T5770" t="s">
        <v>342</v>
      </c>
      <c r="U5770" t="str">
        <f t="shared" si="1304"/>
        <v>Prospect St</v>
      </c>
      <c r="V5770" t="s">
        <v>19</v>
      </c>
      <c r="W5770" t="str">
        <f t="shared" si="1305"/>
        <v>Cambridge St</v>
      </c>
      <c r="X5770" t="str">
        <f>IF(ISBLANK(S5770),"Intersection","Non-Intersection")</f>
        <v>Intersection</v>
      </c>
      <c r="Y5770" t="s">
        <v>3214</v>
      </c>
      <c r="Z5770" t="str">
        <f t="shared" si="1306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293"/>
        <v>41275</v>
      </c>
      <c r="D5771" s="4">
        <f t="shared" si="1294"/>
        <v>0.78356164383561644</v>
      </c>
      <c r="E5771" s="3">
        <f t="shared" si="1295"/>
        <v>2013</v>
      </c>
      <c r="F5771" s="3">
        <f t="shared" si="1296"/>
        <v>10</v>
      </c>
      <c r="G5771" s="3">
        <f t="shared" si="1297"/>
        <v>14</v>
      </c>
      <c r="H5771" s="3">
        <f t="shared" si="1298"/>
        <v>9</v>
      </c>
      <c r="I5771" s="3">
        <f t="shared" si="1299"/>
        <v>30</v>
      </c>
      <c r="J5771" s="3">
        <f t="shared" si="130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01"/>
        <v>YES</v>
      </c>
      <c r="Q5771" t="str">
        <f t="shared" si="1302"/>
        <v>NO</v>
      </c>
      <c r="R5771" t="str">
        <f t="shared" si="1303"/>
        <v>NO</v>
      </c>
      <c r="T5771" t="s">
        <v>19</v>
      </c>
      <c r="U5771" t="str">
        <f t="shared" si="1304"/>
        <v>Cambridge St</v>
      </c>
      <c r="V5771" t="s">
        <v>101</v>
      </c>
      <c r="W5771" t="str">
        <f t="shared" si="1305"/>
        <v>Columbia St</v>
      </c>
      <c r="X5771" t="str">
        <f>IF(ISBLANK(S5771),"Intersection","Non-Intersection")</f>
        <v>Intersection</v>
      </c>
      <c r="Y5771" t="s">
        <v>438</v>
      </c>
      <c r="Z5771" t="str">
        <f t="shared" si="1306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293"/>
        <v>41275</v>
      </c>
      <c r="D5772" s="4">
        <f t="shared" si="1294"/>
        <v>0.78356164383561644</v>
      </c>
      <c r="E5772" s="3">
        <f t="shared" si="1295"/>
        <v>2013</v>
      </c>
      <c r="F5772" s="3">
        <f t="shared" si="1296"/>
        <v>10</v>
      </c>
      <c r="G5772" s="3">
        <f t="shared" si="1297"/>
        <v>14</v>
      </c>
      <c r="H5772" s="3">
        <f t="shared" si="1298"/>
        <v>16</v>
      </c>
      <c r="I5772" s="3">
        <f t="shared" si="1299"/>
        <v>40</v>
      </c>
      <c r="J5772" s="3">
        <f t="shared" si="130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01"/>
        <v>YES</v>
      </c>
      <c r="Q5772" t="str">
        <f t="shared" si="1302"/>
        <v>NO</v>
      </c>
      <c r="R5772" t="str">
        <f t="shared" si="1303"/>
        <v>NO</v>
      </c>
      <c r="S5772">
        <v>100</v>
      </c>
      <c r="T5772" t="s">
        <v>1062</v>
      </c>
      <c r="U5772" t="str">
        <f t="shared" si="1304"/>
        <v>Cambridgeside Pl</v>
      </c>
      <c r="W5772" t="str">
        <f t="shared" si="1305"/>
        <v/>
      </c>
      <c r="X5772" t="str">
        <f>IF(ISBLANK(S5772),"Intersection","Non-Intersection")</f>
        <v>Non-Intersection</v>
      </c>
      <c r="Y5772" t="s">
        <v>1143</v>
      </c>
      <c r="Z5772" t="str">
        <f t="shared" si="1306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293"/>
        <v>41275</v>
      </c>
      <c r="D5773" s="4">
        <f t="shared" si="1294"/>
        <v>0.78630136986301369</v>
      </c>
      <c r="E5773" s="3">
        <f t="shared" si="1295"/>
        <v>2013</v>
      </c>
      <c r="F5773" s="3">
        <f t="shared" si="1296"/>
        <v>10</v>
      </c>
      <c r="G5773" s="3">
        <f t="shared" si="1297"/>
        <v>15</v>
      </c>
      <c r="H5773" s="3">
        <f t="shared" si="1298"/>
        <v>11</v>
      </c>
      <c r="I5773" s="3">
        <f t="shared" si="1299"/>
        <v>49</v>
      </c>
      <c r="J5773" s="3">
        <f t="shared" si="130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01"/>
        <v>YES</v>
      </c>
      <c r="Q5773" t="str">
        <f t="shared" si="1302"/>
        <v>NO</v>
      </c>
      <c r="R5773" t="str">
        <f t="shared" si="1303"/>
        <v>NO</v>
      </c>
      <c r="T5773" t="s">
        <v>675</v>
      </c>
      <c r="U5773" t="str">
        <f t="shared" si="1304"/>
        <v>Roseland St</v>
      </c>
      <c r="V5773" t="s">
        <v>14</v>
      </c>
      <c r="W5773" t="str">
        <f t="shared" si="1305"/>
        <v>Massachusetts Ave</v>
      </c>
      <c r="X5773" t="str">
        <f>IF(ISBLANK(S5773),"Intersection","Non-Intersection")</f>
        <v>Intersection</v>
      </c>
      <c r="Y5773" t="s">
        <v>1221</v>
      </c>
      <c r="Z5773" t="str">
        <f t="shared" si="1306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293"/>
        <v>41275</v>
      </c>
      <c r="D5774" s="4">
        <f t="shared" si="1294"/>
        <v>0.78630136986301369</v>
      </c>
      <c r="E5774" s="3">
        <f t="shared" si="1295"/>
        <v>2013</v>
      </c>
      <c r="F5774" s="3">
        <f t="shared" si="1296"/>
        <v>10</v>
      </c>
      <c r="G5774" s="3">
        <f t="shared" si="1297"/>
        <v>15</v>
      </c>
      <c r="H5774" s="3">
        <f t="shared" si="1298"/>
        <v>17</v>
      </c>
      <c r="I5774" s="3">
        <f t="shared" si="1299"/>
        <v>38</v>
      </c>
      <c r="J5774" s="3">
        <f t="shared" si="130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01"/>
        <v>YES</v>
      </c>
      <c r="Q5774" t="str">
        <f t="shared" si="1302"/>
        <v>YES</v>
      </c>
      <c r="R5774" t="str">
        <f t="shared" si="1303"/>
        <v>NO</v>
      </c>
      <c r="T5774" t="s">
        <v>105</v>
      </c>
      <c r="U5774" t="str">
        <f t="shared" si="1304"/>
        <v>Broadway</v>
      </c>
      <c r="V5774" t="s">
        <v>745</v>
      </c>
      <c r="W5774" t="str">
        <f t="shared" si="1305"/>
        <v>Norfolk St</v>
      </c>
      <c r="X5774" t="str">
        <f>IF(ISBLANK(S5774),"Intersection","Non-Intersection")</f>
        <v>Intersection</v>
      </c>
      <c r="Y5774" t="s">
        <v>1070</v>
      </c>
      <c r="Z5774" t="str">
        <f t="shared" si="1306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293"/>
        <v>41275</v>
      </c>
      <c r="D5775" s="4">
        <f t="shared" si="1294"/>
        <v>0.78630136986301369</v>
      </c>
      <c r="E5775" s="3">
        <f t="shared" si="1295"/>
        <v>2013</v>
      </c>
      <c r="F5775" s="3">
        <f t="shared" si="1296"/>
        <v>10</v>
      </c>
      <c r="G5775" s="3">
        <f t="shared" si="1297"/>
        <v>15</v>
      </c>
      <c r="H5775" s="3">
        <f t="shared" si="1298"/>
        <v>14</v>
      </c>
      <c r="I5775" s="3">
        <f t="shared" si="1299"/>
        <v>39</v>
      </c>
      <c r="J5775" s="3">
        <f t="shared" si="130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01"/>
        <v>YES</v>
      </c>
      <c r="Q5775" t="str">
        <f t="shared" si="1302"/>
        <v>NO</v>
      </c>
      <c r="R5775" t="str">
        <f t="shared" si="1303"/>
        <v>NO</v>
      </c>
      <c r="T5775" t="s">
        <v>199</v>
      </c>
      <c r="U5775" t="str">
        <f t="shared" si="1304"/>
        <v>Brattle St</v>
      </c>
      <c r="V5775" t="s">
        <v>326</v>
      </c>
      <c r="W5775" t="str">
        <f t="shared" si="1305"/>
        <v>Jfk St</v>
      </c>
      <c r="X5775" t="str">
        <f>IF(ISBLANK(S5775),"Intersection","Non-Intersection")</f>
        <v>Intersection</v>
      </c>
      <c r="Y5775" t="s">
        <v>574</v>
      </c>
      <c r="Z5775" t="str">
        <f t="shared" si="1306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293"/>
        <v>41275</v>
      </c>
      <c r="D5776" s="4">
        <f t="shared" si="1294"/>
        <v>0.78904109589041094</v>
      </c>
      <c r="E5776" s="3">
        <f t="shared" si="1295"/>
        <v>2013</v>
      </c>
      <c r="F5776" s="3">
        <f t="shared" si="1296"/>
        <v>10</v>
      </c>
      <c r="G5776" s="3">
        <f t="shared" si="1297"/>
        <v>16</v>
      </c>
      <c r="H5776" s="3">
        <f t="shared" si="1298"/>
        <v>18</v>
      </c>
      <c r="I5776" s="3">
        <f t="shared" si="1299"/>
        <v>23</v>
      </c>
      <c r="J5776" s="3">
        <f t="shared" si="130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01"/>
        <v>YES</v>
      </c>
      <c r="Q5776" t="str">
        <f t="shared" si="1302"/>
        <v>YES</v>
      </c>
      <c r="R5776" t="str">
        <f t="shared" si="1303"/>
        <v>NO</v>
      </c>
      <c r="T5776" t="s">
        <v>186</v>
      </c>
      <c r="U5776" t="str">
        <f t="shared" si="1304"/>
        <v>Concord Ave</v>
      </c>
      <c r="V5776" t="s">
        <v>459</v>
      </c>
      <c r="W5776" t="str">
        <f t="shared" si="1305"/>
        <v>Fayerweather St</v>
      </c>
      <c r="X5776" t="str">
        <f>IF(ISBLANK(S5776),"Intersection","Non-Intersection")</f>
        <v>Intersection</v>
      </c>
      <c r="Y5776" t="s">
        <v>4392</v>
      </c>
      <c r="Z5776" t="str">
        <f t="shared" si="1306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293"/>
        <v>41275</v>
      </c>
      <c r="D5777" s="4">
        <f t="shared" si="1294"/>
        <v>0.78904109589041094</v>
      </c>
      <c r="E5777" s="3">
        <f t="shared" si="1295"/>
        <v>2013</v>
      </c>
      <c r="F5777" s="3">
        <f t="shared" si="1296"/>
        <v>10</v>
      </c>
      <c r="G5777" s="3">
        <f t="shared" si="1297"/>
        <v>16</v>
      </c>
      <c r="H5777" s="3">
        <f t="shared" si="1298"/>
        <v>11</v>
      </c>
      <c r="I5777" s="3">
        <f t="shared" si="1299"/>
        <v>39</v>
      </c>
      <c r="J5777" s="3">
        <f t="shared" si="130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01"/>
        <v>YES</v>
      </c>
      <c r="Q5777" t="str">
        <f t="shared" si="1302"/>
        <v>NO</v>
      </c>
      <c r="R5777" t="str">
        <f t="shared" si="1303"/>
        <v>NO</v>
      </c>
      <c r="S5777">
        <v>71</v>
      </c>
      <c r="T5777" t="s">
        <v>198</v>
      </c>
      <c r="U5777" t="str">
        <f t="shared" si="1304"/>
        <v>Mount Auburn St</v>
      </c>
      <c r="W5777" t="str">
        <f t="shared" si="1305"/>
        <v/>
      </c>
      <c r="X5777" t="str">
        <f>IF(ISBLANK(S5777),"Intersection","Non-Intersection")</f>
        <v>Non-Intersection</v>
      </c>
      <c r="Y5777" t="s">
        <v>6114</v>
      </c>
      <c r="Z5777" t="str">
        <f t="shared" si="1306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07">EOMONTH(B5778,MONTH(B5778)*-1)+1</f>
        <v>41275</v>
      </c>
      <c r="D5778" s="4">
        <f t="shared" ref="D5778:D5839" si="1308">YEARFRAC(C5778,B5778,1)</f>
        <v>0.78904109589041094</v>
      </c>
      <c r="E5778" s="3">
        <f t="shared" ref="E5778:E5839" si="1309">YEAR(B5778)</f>
        <v>2013</v>
      </c>
      <c r="F5778" s="3">
        <f t="shared" ref="F5778:F5839" si="1310">MONTH(B5778)</f>
        <v>10</v>
      </c>
      <c r="G5778" s="3">
        <f t="shared" ref="G5778:G5839" si="1311">DAY(B5778)</f>
        <v>16</v>
      </c>
      <c r="H5778" s="3">
        <f t="shared" ref="H5778:H5839" si="1312">HOUR(B5778)</f>
        <v>15</v>
      </c>
      <c r="I5778" s="3">
        <f t="shared" ref="I5778:I5839" si="1313">MINUTE(B5778)</f>
        <v>0</v>
      </c>
      <c r="J5778" s="3">
        <f t="shared" ref="J5778:J5839" si="1314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315">IF(OR(N5778="Auto",O5778="Auto"),"YES",IF(OR(N5778="Taxi",O5778="Taxi"),"YES",IF(OR(N5778="Van",O5778="Van"),"YES",IF(OR(N5778="Truck",O5778="Truck"),"YES","NO"))))</f>
        <v>YES</v>
      </c>
      <c r="Q5778" t="str">
        <f t="shared" ref="Q5778:Q5839" si="1316">IF(OR(N5778="Bicycle",O5778="Bicycle"),"YES","NO")</f>
        <v>NO</v>
      </c>
      <c r="R5778" t="str">
        <f t="shared" ref="R5778:R5839" si="1317">IF(OR(N5778="Pedestrian",O5778="Pedestrian"),"YES","NO")</f>
        <v>NO</v>
      </c>
      <c r="S5778">
        <v>200</v>
      </c>
      <c r="T5778" t="s">
        <v>170</v>
      </c>
      <c r="U5778" t="str">
        <f t="shared" si="1304"/>
        <v>Alewife Brook Pky</v>
      </c>
      <c r="W5778" t="str">
        <f t="shared" si="1305"/>
        <v/>
      </c>
      <c r="X5778" t="str">
        <f>IF(ISBLANK(S5778),"Intersection","Non-Intersection")</f>
        <v>Non-Intersection</v>
      </c>
      <c r="Y5778" t="s">
        <v>2274</v>
      </c>
      <c r="Z5778" t="str">
        <f t="shared" si="1306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07"/>
        <v>41275</v>
      </c>
      <c r="D5779" s="4">
        <f t="shared" si="1308"/>
        <v>0.79178082191780819</v>
      </c>
      <c r="E5779" s="3">
        <f t="shared" si="1309"/>
        <v>2013</v>
      </c>
      <c r="F5779" s="3">
        <f t="shared" si="1310"/>
        <v>10</v>
      </c>
      <c r="G5779" s="3">
        <f t="shared" si="1311"/>
        <v>17</v>
      </c>
      <c r="H5779" s="3">
        <f t="shared" si="1312"/>
        <v>15</v>
      </c>
      <c r="I5779" s="3">
        <f t="shared" si="1313"/>
        <v>56</v>
      </c>
      <c r="J5779" s="3">
        <f t="shared" si="1314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315"/>
        <v>NO</v>
      </c>
      <c r="Q5779" t="str">
        <f t="shared" si="1316"/>
        <v>YES</v>
      </c>
      <c r="R5779" t="str">
        <f t="shared" si="1317"/>
        <v>YES</v>
      </c>
      <c r="T5779" t="s">
        <v>74</v>
      </c>
      <c r="U5779" t="str">
        <f t="shared" si="1304"/>
        <v>Hampshire St</v>
      </c>
      <c r="V5779" t="s">
        <v>19</v>
      </c>
      <c r="W5779" t="str">
        <f t="shared" si="1305"/>
        <v>Cambridge St</v>
      </c>
      <c r="X5779" t="str">
        <f>IF(ISBLANK(S5779),"Intersection","Non-Intersection")</f>
        <v>Intersection</v>
      </c>
      <c r="Y5779" t="s">
        <v>2236</v>
      </c>
      <c r="Z5779" t="str">
        <f t="shared" si="1306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07"/>
        <v>41275</v>
      </c>
      <c r="D5780" s="4">
        <f t="shared" si="1308"/>
        <v>0.79178082191780819</v>
      </c>
      <c r="E5780" s="3">
        <f t="shared" si="1309"/>
        <v>2013</v>
      </c>
      <c r="F5780" s="3">
        <f t="shared" si="1310"/>
        <v>10</v>
      </c>
      <c r="G5780" s="3">
        <f t="shared" si="1311"/>
        <v>17</v>
      </c>
      <c r="H5780" s="3">
        <f t="shared" si="1312"/>
        <v>14</v>
      </c>
      <c r="I5780" s="3">
        <f t="shared" si="1313"/>
        <v>58</v>
      </c>
      <c r="J5780" s="3">
        <f t="shared" si="1314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315"/>
        <v>YES</v>
      </c>
      <c r="Q5780" t="str">
        <f t="shared" si="1316"/>
        <v>NO</v>
      </c>
      <c r="R5780" t="str">
        <f t="shared" si="1317"/>
        <v>YES</v>
      </c>
      <c r="S5780">
        <v>1</v>
      </c>
      <c r="T5780" t="s">
        <v>268</v>
      </c>
      <c r="U5780" t="str">
        <f t="shared" si="1304"/>
        <v>White St</v>
      </c>
      <c r="W5780" t="str">
        <f t="shared" si="1305"/>
        <v/>
      </c>
      <c r="X5780" t="str">
        <f>IF(ISBLANK(S5780),"Intersection","Non-Intersection")</f>
        <v>Non-Intersection</v>
      </c>
      <c r="Y5780" t="s">
        <v>272</v>
      </c>
      <c r="Z5780" t="str">
        <f t="shared" si="1306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07"/>
        <v>41275</v>
      </c>
      <c r="D5781" s="4">
        <f t="shared" si="1308"/>
        <v>0.79178082191780819</v>
      </c>
      <c r="E5781" s="3">
        <f t="shared" si="1309"/>
        <v>2013</v>
      </c>
      <c r="F5781" s="3">
        <f t="shared" si="1310"/>
        <v>10</v>
      </c>
      <c r="G5781" s="3">
        <f t="shared" si="1311"/>
        <v>17</v>
      </c>
      <c r="H5781" s="3">
        <f t="shared" si="1312"/>
        <v>20</v>
      </c>
      <c r="I5781" s="3">
        <f t="shared" si="1313"/>
        <v>10</v>
      </c>
      <c r="J5781" s="3">
        <f t="shared" si="1314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315"/>
        <v>YES</v>
      </c>
      <c r="Q5781" t="str">
        <f t="shared" si="1316"/>
        <v>NO</v>
      </c>
      <c r="R5781" t="str">
        <f t="shared" si="1317"/>
        <v>YES</v>
      </c>
      <c r="T5781" t="s">
        <v>453</v>
      </c>
      <c r="U5781" t="str">
        <f t="shared" si="1304"/>
        <v>Brookline St</v>
      </c>
      <c r="V5781" t="s">
        <v>108</v>
      </c>
      <c r="W5781" t="str">
        <f t="shared" si="1305"/>
        <v>Franklin St</v>
      </c>
      <c r="X5781" t="str">
        <f>IF(ISBLANK(S5781),"Intersection","Non-Intersection")</f>
        <v>Intersection</v>
      </c>
      <c r="Y5781" t="s">
        <v>3184</v>
      </c>
      <c r="Z5781" t="str">
        <f t="shared" si="1306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07"/>
        <v>41275</v>
      </c>
      <c r="D5782" s="4">
        <f t="shared" si="1308"/>
        <v>0.79178082191780819</v>
      </c>
      <c r="E5782" s="3">
        <f t="shared" si="1309"/>
        <v>2013</v>
      </c>
      <c r="F5782" s="3">
        <f t="shared" si="1310"/>
        <v>10</v>
      </c>
      <c r="G5782" s="3">
        <f t="shared" si="1311"/>
        <v>17</v>
      </c>
      <c r="H5782" s="3">
        <f t="shared" si="1312"/>
        <v>18</v>
      </c>
      <c r="I5782" s="3">
        <f t="shared" si="1313"/>
        <v>30</v>
      </c>
      <c r="J5782" s="3">
        <f t="shared" si="1314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315"/>
        <v>YES</v>
      </c>
      <c r="Q5782" t="str">
        <f t="shared" si="1316"/>
        <v>YES</v>
      </c>
      <c r="R5782" t="str">
        <f t="shared" si="1317"/>
        <v>NO</v>
      </c>
      <c r="T5782" t="s">
        <v>186</v>
      </c>
      <c r="U5782" t="str">
        <f t="shared" si="1304"/>
        <v>Concord Ave</v>
      </c>
      <c r="V5782" t="s">
        <v>1320</v>
      </c>
      <c r="W5782" t="str">
        <f t="shared" si="1305"/>
        <v>Craigie St</v>
      </c>
      <c r="X5782" t="str">
        <f>IF(ISBLANK(S5782),"Intersection","Non-Intersection")</f>
        <v>Intersection</v>
      </c>
      <c r="Y5782" t="s">
        <v>3289</v>
      </c>
      <c r="Z5782" t="str">
        <f t="shared" si="1306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07"/>
        <v>41275</v>
      </c>
      <c r="D5783" s="4">
        <f t="shared" si="1308"/>
        <v>0.79178082191780819</v>
      </c>
      <c r="E5783" s="3">
        <f t="shared" si="1309"/>
        <v>2013</v>
      </c>
      <c r="F5783" s="3">
        <f t="shared" si="1310"/>
        <v>10</v>
      </c>
      <c r="G5783" s="3">
        <f t="shared" si="1311"/>
        <v>17</v>
      </c>
      <c r="H5783" s="3">
        <f t="shared" si="1312"/>
        <v>21</v>
      </c>
      <c r="I5783" s="3">
        <f t="shared" si="1313"/>
        <v>30</v>
      </c>
      <c r="J5783" s="3">
        <f t="shared" si="1314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315"/>
        <v>YES</v>
      </c>
      <c r="Q5783" t="str">
        <f t="shared" si="1316"/>
        <v>NO</v>
      </c>
      <c r="R5783" t="str">
        <f t="shared" si="1317"/>
        <v>NO</v>
      </c>
      <c r="S5783">
        <v>30</v>
      </c>
      <c r="T5783" t="s">
        <v>2552</v>
      </c>
      <c r="U5783" t="str">
        <f t="shared" si="1304"/>
        <v>Agassiz St</v>
      </c>
      <c r="W5783" t="str">
        <f t="shared" si="1305"/>
        <v/>
      </c>
      <c r="X5783" t="str">
        <f>IF(ISBLANK(S5783),"Intersection","Non-Intersection")</f>
        <v>Non-Intersection</v>
      </c>
      <c r="Y5783" t="s">
        <v>6116</v>
      </c>
      <c r="Z5783" t="str">
        <f t="shared" si="1306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07"/>
        <v>41275</v>
      </c>
      <c r="D5784" s="4">
        <f t="shared" si="1308"/>
        <v>0.79452054794520544</v>
      </c>
      <c r="E5784" s="3">
        <f t="shared" si="1309"/>
        <v>2013</v>
      </c>
      <c r="F5784" s="3">
        <f t="shared" si="1310"/>
        <v>10</v>
      </c>
      <c r="G5784" s="3">
        <f t="shared" si="1311"/>
        <v>18</v>
      </c>
      <c r="H5784" s="3">
        <f t="shared" si="1312"/>
        <v>15</v>
      </c>
      <c r="I5784" s="3">
        <f t="shared" si="1313"/>
        <v>2</v>
      </c>
      <c r="J5784" s="3">
        <f t="shared" si="1314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315"/>
        <v>YES</v>
      </c>
      <c r="Q5784" t="str">
        <f t="shared" si="1316"/>
        <v>NO</v>
      </c>
      <c r="R5784" t="str">
        <f t="shared" si="1317"/>
        <v>YES</v>
      </c>
      <c r="T5784" t="s">
        <v>101</v>
      </c>
      <c r="U5784" t="str">
        <f t="shared" si="1304"/>
        <v>Columbia St</v>
      </c>
      <c r="V5784" t="s">
        <v>316</v>
      </c>
      <c r="W5784" t="str">
        <f t="shared" si="1305"/>
        <v>Bishop Allen Dr</v>
      </c>
      <c r="X5784" t="str">
        <f>IF(ISBLANK(S5784),"Intersection","Non-Intersection")</f>
        <v>Intersection</v>
      </c>
      <c r="Y5784" t="s">
        <v>2065</v>
      </c>
      <c r="Z5784" t="str">
        <f t="shared" si="1306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07"/>
        <v>41275</v>
      </c>
      <c r="D5785" s="4">
        <f t="shared" si="1308"/>
        <v>0.79452054794520544</v>
      </c>
      <c r="E5785" s="3">
        <f t="shared" si="1309"/>
        <v>2013</v>
      </c>
      <c r="F5785" s="3">
        <f t="shared" si="1310"/>
        <v>10</v>
      </c>
      <c r="G5785" s="3">
        <f t="shared" si="1311"/>
        <v>18</v>
      </c>
      <c r="H5785" s="3">
        <f t="shared" si="1312"/>
        <v>18</v>
      </c>
      <c r="I5785" s="3">
        <f t="shared" si="1313"/>
        <v>0</v>
      </c>
      <c r="J5785" s="3">
        <f t="shared" si="1314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315"/>
        <v>YES</v>
      </c>
      <c r="Q5785" t="str">
        <f t="shared" si="1316"/>
        <v>NO</v>
      </c>
      <c r="R5785" t="str">
        <f t="shared" si="1317"/>
        <v>NO</v>
      </c>
      <c r="T5785" t="s">
        <v>14</v>
      </c>
      <c r="U5785" t="str">
        <f t="shared" si="1304"/>
        <v>Massachusetts Ave</v>
      </c>
      <c r="V5785" t="s">
        <v>1307</v>
      </c>
      <c r="W5785" t="str">
        <f t="shared" si="1305"/>
        <v>Creighton St</v>
      </c>
      <c r="X5785" t="str">
        <f>IF(ISBLANK(S5785),"Intersection","Non-Intersection")</f>
        <v>Intersection</v>
      </c>
      <c r="Y5785" t="s">
        <v>3483</v>
      </c>
      <c r="Z5785" t="str">
        <f t="shared" si="1306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07"/>
        <v>41275</v>
      </c>
      <c r="D5786" s="4">
        <f t="shared" si="1308"/>
        <v>0.79726027397260268</v>
      </c>
      <c r="E5786" s="3">
        <f t="shared" si="1309"/>
        <v>2013</v>
      </c>
      <c r="F5786" s="3">
        <f t="shared" si="1310"/>
        <v>10</v>
      </c>
      <c r="G5786" s="3">
        <f t="shared" si="1311"/>
        <v>19</v>
      </c>
      <c r="H5786" s="3">
        <f t="shared" si="1312"/>
        <v>12</v>
      </c>
      <c r="I5786" s="3">
        <f t="shared" si="1313"/>
        <v>40</v>
      </c>
      <c r="J5786" s="3">
        <f t="shared" si="1314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315"/>
        <v>YES</v>
      </c>
      <c r="Q5786" t="str">
        <f t="shared" si="1316"/>
        <v>NO</v>
      </c>
      <c r="R5786" t="str">
        <f t="shared" si="1317"/>
        <v>NO</v>
      </c>
      <c r="T5786" t="s">
        <v>116</v>
      </c>
      <c r="U5786" t="str">
        <f t="shared" si="1304"/>
        <v>Chestnut St</v>
      </c>
      <c r="V5786" t="s">
        <v>195</v>
      </c>
      <c r="W5786" t="str">
        <f t="shared" si="1305"/>
        <v>Sidney St</v>
      </c>
      <c r="X5786" t="str">
        <f>IF(ISBLANK(S5786),"Intersection","Non-Intersection")</f>
        <v>Intersection</v>
      </c>
      <c r="Y5786" t="s">
        <v>6118</v>
      </c>
      <c r="Z5786" t="str">
        <f t="shared" si="1306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07"/>
        <v>41275</v>
      </c>
      <c r="D5787" s="4">
        <f t="shared" si="1308"/>
        <v>0.79726027397260268</v>
      </c>
      <c r="E5787" s="3">
        <f t="shared" si="1309"/>
        <v>2013</v>
      </c>
      <c r="F5787" s="3">
        <f t="shared" si="1310"/>
        <v>10</v>
      </c>
      <c r="G5787" s="3">
        <f t="shared" si="1311"/>
        <v>19</v>
      </c>
      <c r="H5787" s="3">
        <f t="shared" si="1312"/>
        <v>9</v>
      </c>
      <c r="I5787" s="3">
        <f t="shared" si="1313"/>
        <v>0</v>
      </c>
      <c r="J5787" s="3">
        <f t="shared" si="1314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315"/>
        <v>YES</v>
      </c>
      <c r="Q5787" t="str">
        <f t="shared" si="1316"/>
        <v>NO</v>
      </c>
      <c r="R5787" t="str">
        <f t="shared" si="1317"/>
        <v>NO</v>
      </c>
      <c r="S5787">
        <v>301</v>
      </c>
      <c r="T5787" t="s">
        <v>147</v>
      </c>
      <c r="U5787" t="str">
        <f t="shared" si="1304"/>
        <v>Sixth St</v>
      </c>
      <c r="V5787" t="s">
        <v>209</v>
      </c>
      <c r="W5787" t="str">
        <f t="shared" si="1305"/>
        <v>Binney St</v>
      </c>
      <c r="X5787" t="str">
        <f>IF(ISBLANK(S5787),"Intersection","Non-Intersection")</f>
        <v>Non-Intersection</v>
      </c>
      <c r="Y5787" t="s">
        <v>6120</v>
      </c>
      <c r="Z5787" t="str">
        <f t="shared" si="1306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07"/>
        <v>41275</v>
      </c>
      <c r="D5788" s="4">
        <f t="shared" si="1308"/>
        <v>0.79726027397260268</v>
      </c>
      <c r="E5788" s="3">
        <f t="shared" si="1309"/>
        <v>2013</v>
      </c>
      <c r="F5788" s="3">
        <f t="shared" si="1310"/>
        <v>10</v>
      </c>
      <c r="G5788" s="3">
        <f t="shared" si="1311"/>
        <v>19</v>
      </c>
      <c r="H5788" s="3">
        <f t="shared" si="1312"/>
        <v>18</v>
      </c>
      <c r="I5788" s="3">
        <f t="shared" si="1313"/>
        <v>10</v>
      </c>
      <c r="J5788" s="3">
        <f t="shared" si="1314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315"/>
        <v>YES</v>
      </c>
      <c r="Q5788" t="str">
        <f t="shared" si="1316"/>
        <v>NO</v>
      </c>
      <c r="R5788" t="str">
        <f t="shared" si="1317"/>
        <v>NO</v>
      </c>
      <c r="T5788" t="s">
        <v>14</v>
      </c>
      <c r="U5788" t="str">
        <f t="shared" si="1304"/>
        <v>Massachusetts Ave</v>
      </c>
      <c r="V5788" t="s">
        <v>202</v>
      </c>
      <c r="W5788" t="str">
        <f t="shared" si="1305"/>
        <v>Vassar St</v>
      </c>
      <c r="X5788" t="str">
        <f>IF(ISBLANK(S5788),"Intersection","Non-Intersection")</f>
        <v>Intersection</v>
      </c>
      <c r="Y5788" t="s">
        <v>361</v>
      </c>
      <c r="Z5788" t="str">
        <f t="shared" si="1306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07"/>
        <v>41275</v>
      </c>
      <c r="D5789" s="4">
        <f t="shared" si="1308"/>
        <v>0.79726027397260268</v>
      </c>
      <c r="E5789" s="3">
        <f t="shared" si="1309"/>
        <v>2013</v>
      </c>
      <c r="F5789" s="3">
        <f t="shared" si="1310"/>
        <v>10</v>
      </c>
      <c r="G5789" s="3">
        <f t="shared" si="1311"/>
        <v>19</v>
      </c>
      <c r="H5789" s="3">
        <f t="shared" si="1312"/>
        <v>6</v>
      </c>
      <c r="I5789" s="3">
        <f t="shared" si="1313"/>
        <v>59</v>
      </c>
      <c r="J5789" s="3">
        <f t="shared" si="1314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315"/>
        <v>YES</v>
      </c>
      <c r="Q5789" t="str">
        <f t="shared" si="1316"/>
        <v>NO</v>
      </c>
      <c r="R5789" t="str">
        <f t="shared" si="1317"/>
        <v>NO</v>
      </c>
      <c r="S5789">
        <v>50</v>
      </c>
      <c r="T5789" t="s">
        <v>902</v>
      </c>
      <c r="U5789" t="str">
        <f t="shared" si="1304"/>
        <v>Frost St</v>
      </c>
      <c r="W5789" t="str">
        <f t="shared" si="1305"/>
        <v/>
      </c>
      <c r="X5789" t="str">
        <f>IF(ISBLANK(S5789),"Intersection","Non-Intersection")</f>
        <v>Non-Intersection</v>
      </c>
      <c r="Y5789" t="s">
        <v>6121</v>
      </c>
      <c r="Z5789" t="str">
        <f t="shared" si="1306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07"/>
        <v>41275</v>
      </c>
      <c r="D5790" s="4">
        <f t="shared" si="1308"/>
        <v>0.79726027397260268</v>
      </c>
      <c r="E5790" s="3">
        <f t="shared" si="1309"/>
        <v>2013</v>
      </c>
      <c r="F5790" s="3">
        <f t="shared" si="1310"/>
        <v>10</v>
      </c>
      <c r="G5790" s="3">
        <f t="shared" si="1311"/>
        <v>19</v>
      </c>
      <c r="H5790" s="3">
        <f t="shared" si="1312"/>
        <v>13</v>
      </c>
      <c r="I5790" s="3">
        <f t="shared" si="1313"/>
        <v>2</v>
      </c>
      <c r="J5790" s="3">
        <f t="shared" si="1314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315"/>
        <v>YES</v>
      </c>
      <c r="Q5790" t="str">
        <f t="shared" si="1316"/>
        <v>YES</v>
      </c>
      <c r="R5790" t="str">
        <f t="shared" si="1317"/>
        <v>NO</v>
      </c>
      <c r="S5790">
        <v>402</v>
      </c>
      <c r="T5790" t="s">
        <v>15</v>
      </c>
      <c r="U5790" t="str">
        <f t="shared" si="1304"/>
        <v>Rindge Ave</v>
      </c>
      <c r="W5790" t="str">
        <f t="shared" si="1305"/>
        <v/>
      </c>
      <c r="X5790" t="str">
        <f>IF(ISBLANK(S5790),"Intersection","Non-Intersection")</f>
        <v>Non-Intersection</v>
      </c>
      <c r="Y5790" t="s">
        <v>1135</v>
      </c>
      <c r="Z5790" t="str">
        <f t="shared" si="1306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07"/>
        <v>41275</v>
      </c>
      <c r="D5791" s="4">
        <f t="shared" si="1308"/>
        <v>0.79726027397260268</v>
      </c>
      <c r="E5791" s="3">
        <f t="shared" si="1309"/>
        <v>2013</v>
      </c>
      <c r="F5791" s="3">
        <f t="shared" si="1310"/>
        <v>10</v>
      </c>
      <c r="G5791" s="3">
        <f t="shared" si="1311"/>
        <v>19</v>
      </c>
      <c r="H5791" s="3">
        <f t="shared" si="1312"/>
        <v>8</v>
      </c>
      <c r="I5791" s="3">
        <f t="shared" si="1313"/>
        <v>9</v>
      </c>
      <c r="J5791" s="3">
        <f t="shared" si="1314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315"/>
        <v>YES</v>
      </c>
      <c r="Q5791" t="str">
        <f t="shared" si="1316"/>
        <v>NO</v>
      </c>
      <c r="R5791" t="str">
        <f t="shared" si="1317"/>
        <v>YES</v>
      </c>
      <c r="T5791" t="s">
        <v>19</v>
      </c>
      <c r="U5791" t="str">
        <f t="shared" si="1304"/>
        <v>Cambridge St</v>
      </c>
      <c r="W5791" t="str">
        <f t="shared" si="1305"/>
        <v/>
      </c>
      <c r="X5791" t="str">
        <f>IF(ISBLANK(S5791),"Intersection","Non-Intersection")</f>
        <v>Intersection</v>
      </c>
      <c r="Y5791" t="s">
        <v>2237</v>
      </c>
      <c r="Z5791" t="str">
        <f t="shared" si="1306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07"/>
        <v>41275</v>
      </c>
      <c r="D5792" s="4">
        <f t="shared" si="1308"/>
        <v>0.8</v>
      </c>
      <c r="E5792" s="3">
        <f t="shared" si="1309"/>
        <v>2013</v>
      </c>
      <c r="F5792" s="3">
        <f t="shared" si="1310"/>
        <v>10</v>
      </c>
      <c r="G5792" s="3">
        <f t="shared" si="1311"/>
        <v>20</v>
      </c>
      <c r="H5792" s="3">
        <f t="shared" si="1312"/>
        <v>1</v>
      </c>
      <c r="I5792" s="3">
        <f t="shared" si="1313"/>
        <v>44</v>
      </c>
      <c r="J5792" s="3">
        <f t="shared" si="1314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315"/>
        <v>YES</v>
      </c>
      <c r="Q5792" t="str">
        <f t="shared" si="1316"/>
        <v>NO</v>
      </c>
      <c r="R5792" t="str">
        <f t="shared" si="1317"/>
        <v>NO</v>
      </c>
      <c r="S5792">
        <v>21</v>
      </c>
      <c r="T5792" t="s">
        <v>50</v>
      </c>
      <c r="U5792" t="str">
        <f t="shared" si="1304"/>
        <v>Belmont St</v>
      </c>
      <c r="W5792" t="str">
        <f t="shared" si="1305"/>
        <v/>
      </c>
      <c r="X5792" t="str">
        <f>IF(ISBLANK(S5792),"Intersection","Non-Intersection")</f>
        <v>Non-Intersection</v>
      </c>
      <c r="Y5792" t="s">
        <v>6123</v>
      </c>
      <c r="Z5792" t="str">
        <f t="shared" si="1306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07"/>
        <v>41275</v>
      </c>
      <c r="D5793" s="4">
        <f t="shared" si="1308"/>
        <v>0.8</v>
      </c>
      <c r="E5793" s="3">
        <f t="shared" si="1309"/>
        <v>2013</v>
      </c>
      <c r="F5793" s="3">
        <f t="shared" si="1310"/>
        <v>10</v>
      </c>
      <c r="G5793" s="3">
        <f t="shared" si="1311"/>
        <v>20</v>
      </c>
      <c r="H5793" s="3">
        <f t="shared" si="1312"/>
        <v>8</v>
      </c>
      <c r="I5793" s="3">
        <f t="shared" si="1313"/>
        <v>44</v>
      </c>
      <c r="J5793" s="3">
        <f t="shared" si="1314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315"/>
        <v>YES</v>
      </c>
      <c r="Q5793" t="str">
        <f t="shared" si="1316"/>
        <v>NO</v>
      </c>
      <c r="R5793" t="str">
        <f t="shared" si="1317"/>
        <v>NO</v>
      </c>
      <c r="T5793" t="s">
        <v>119</v>
      </c>
      <c r="U5793" t="str">
        <f t="shared" si="1304"/>
        <v>Albany St</v>
      </c>
      <c r="V5793" t="s">
        <v>958</v>
      </c>
      <c r="W5793" t="str">
        <f t="shared" si="1305"/>
        <v>Pacific St</v>
      </c>
      <c r="X5793" t="str">
        <f>IF(ISBLANK(S5793),"Intersection","Non-Intersection")</f>
        <v>Intersection</v>
      </c>
      <c r="Y5793" t="s">
        <v>959</v>
      </c>
      <c r="Z5793" t="str">
        <f t="shared" si="1306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07"/>
        <v>41275</v>
      </c>
      <c r="D5794" s="4">
        <f t="shared" si="1308"/>
        <v>0.80273972602739729</v>
      </c>
      <c r="E5794" s="3">
        <f t="shared" si="1309"/>
        <v>2013</v>
      </c>
      <c r="F5794" s="3">
        <f t="shared" si="1310"/>
        <v>10</v>
      </c>
      <c r="G5794" s="3">
        <f t="shared" si="1311"/>
        <v>21</v>
      </c>
      <c r="H5794" s="3">
        <f t="shared" si="1312"/>
        <v>9</v>
      </c>
      <c r="I5794" s="3">
        <f t="shared" si="1313"/>
        <v>30</v>
      </c>
      <c r="J5794" s="3">
        <f t="shared" si="1314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315"/>
        <v>YES</v>
      </c>
      <c r="Q5794" t="str">
        <f t="shared" si="1316"/>
        <v>NO</v>
      </c>
      <c r="R5794" t="str">
        <f t="shared" si="1317"/>
        <v>NO</v>
      </c>
      <c r="T5794" t="s">
        <v>14</v>
      </c>
      <c r="U5794" t="str">
        <f t="shared" si="1304"/>
        <v>Massachusetts Ave</v>
      </c>
      <c r="V5794" t="s">
        <v>2012</v>
      </c>
      <c r="W5794" t="str">
        <f t="shared" si="1305"/>
        <v>Mellen St</v>
      </c>
      <c r="X5794" t="str">
        <f>IF(ISBLANK(S5794),"Intersection","Non-Intersection")</f>
        <v>Intersection</v>
      </c>
      <c r="Y5794" t="s">
        <v>2013</v>
      </c>
      <c r="Z5794" t="str">
        <f t="shared" si="1306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07"/>
        <v>41275</v>
      </c>
      <c r="D5795" s="4">
        <f t="shared" si="1308"/>
        <v>0.80273972602739729</v>
      </c>
      <c r="E5795" s="3">
        <f t="shared" si="1309"/>
        <v>2013</v>
      </c>
      <c r="F5795" s="3">
        <f t="shared" si="1310"/>
        <v>10</v>
      </c>
      <c r="G5795" s="3">
        <f t="shared" si="1311"/>
        <v>21</v>
      </c>
      <c r="H5795" s="3">
        <f t="shared" si="1312"/>
        <v>21</v>
      </c>
      <c r="I5795" s="3">
        <f t="shared" si="1313"/>
        <v>10</v>
      </c>
      <c r="J5795" s="3">
        <f t="shared" si="1314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315"/>
        <v>YES</v>
      </c>
      <c r="Q5795" t="str">
        <f t="shared" si="1316"/>
        <v>NO</v>
      </c>
      <c r="R5795" t="str">
        <f t="shared" si="1317"/>
        <v>NO</v>
      </c>
      <c r="T5795" t="s">
        <v>105</v>
      </c>
      <c r="U5795" t="str">
        <f t="shared" si="1304"/>
        <v>Broadway</v>
      </c>
      <c r="V5795" t="s">
        <v>288</v>
      </c>
      <c r="W5795" t="str">
        <f t="shared" si="1305"/>
        <v>Galileo Galilei Way</v>
      </c>
      <c r="X5795" t="str">
        <f>IF(ISBLANK(S5795),"Intersection","Non-Intersection")</f>
        <v>Intersection</v>
      </c>
      <c r="Y5795" t="s">
        <v>289</v>
      </c>
      <c r="Z5795" t="str">
        <f t="shared" si="1306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07"/>
        <v>41275</v>
      </c>
      <c r="D5796" s="4">
        <f t="shared" si="1308"/>
        <v>0.80273972602739729</v>
      </c>
      <c r="E5796" s="3">
        <f t="shared" si="1309"/>
        <v>2013</v>
      </c>
      <c r="F5796" s="3">
        <f t="shared" si="1310"/>
        <v>10</v>
      </c>
      <c r="G5796" s="3">
        <f t="shared" si="1311"/>
        <v>21</v>
      </c>
      <c r="H5796" s="3">
        <f t="shared" si="1312"/>
        <v>7</v>
      </c>
      <c r="I5796" s="3">
        <f t="shared" si="1313"/>
        <v>38</v>
      </c>
      <c r="J5796" s="3">
        <f t="shared" si="1314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315"/>
        <v>YES</v>
      </c>
      <c r="Q5796" t="str">
        <f t="shared" si="1316"/>
        <v>NO</v>
      </c>
      <c r="R5796" t="str">
        <f t="shared" si="1317"/>
        <v>NO</v>
      </c>
      <c r="T5796" t="s">
        <v>74</v>
      </c>
      <c r="U5796" t="str">
        <f t="shared" si="1304"/>
        <v>Hampshire St</v>
      </c>
      <c r="V5796" t="s">
        <v>104</v>
      </c>
      <c r="W5796" t="str">
        <f t="shared" si="1305"/>
        <v>Inman St</v>
      </c>
      <c r="X5796" t="str">
        <f>IF(ISBLANK(S5796),"Intersection","Non-Intersection")</f>
        <v>Intersection</v>
      </c>
      <c r="Y5796" t="s">
        <v>3593</v>
      </c>
      <c r="Z5796" t="str">
        <f t="shared" si="1306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07"/>
        <v>41275</v>
      </c>
      <c r="D5797" s="4">
        <f t="shared" si="1308"/>
        <v>0.80273972602739729</v>
      </c>
      <c r="E5797" s="3">
        <f t="shared" si="1309"/>
        <v>2013</v>
      </c>
      <c r="F5797" s="3">
        <f t="shared" si="1310"/>
        <v>10</v>
      </c>
      <c r="G5797" s="3">
        <f t="shared" si="1311"/>
        <v>21</v>
      </c>
      <c r="H5797" s="3">
        <f t="shared" si="1312"/>
        <v>7</v>
      </c>
      <c r="I5797" s="3">
        <f t="shared" si="1313"/>
        <v>50</v>
      </c>
      <c r="J5797" s="3">
        <f t="shared" si="1314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315"/>
        <v>YES</v>
      </c>
      <c r="Q5797" t="str">
        <f t="shared" si="1316"/>
        <v>NO</v>
      </c>
      <c r="R5797" t="str">
        <f t="shared" si="1317"/>
        <v>NO</v>
      </c>
      <c r="T5797" t="s">
        <v>105</v>
      </c>
      <c r="U5797" t="str">
        <f t="shared" si="1304"/>
        <v>Broadway</v>
      </c>
      <c r="V5797" t="s">
        <v>288</v>
      </c>
      <c r="W5797" t="str">
        <f t="shared" si="1305"/>
        <v>Galileo Galilei Way</v>
      </c>
      <c r="X5797" t="str">
        <f>IF(ISBLANK(S5797),"Intersection","Non-Intersection")</f>
        <v>Intersection</v>
      </c>
      <c r="Y5797" t="s">
        <v>289</v>
      </c>
      <c r="Z5797" t="str">
        <f t="shared" si="1306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07"/>
        <v>41275</v>
      </c>
      <c r="D5798" s="4">
        <f t="shared" si="1308"/>
        <v>0.80273972602739729</v>
      </c>
      <c r="E5798" s="3">
        <f t="shared" si="1309"/>
        <v>2013</v>
      </c>
      <c r="F5798" s="3">
        <f t="shared" si="1310"/>
        <v>10</v>
      </c>
      <c r="G5798" s="3">
        <f t="shared" si="1311"/>
        <v>21</v>
      </c>
      <c r="H5798" s="3">
        <f t="shared" si="1312"/>
        <v>11</v>
      </c>
      <c r="I5798" s="3">
        <f t="shared" si="1313"/>
        <v>29</v>
      </c>
      <c r="J5798" s="3">
        <f t="shared" si="1314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315"/>
        <v>YES</v>
      </c>
      <c r="Q5798" t="str">
        <f t="shared" si="1316"/>
        <v>NO</v>
      </c>
      <c r="R5798" t="str">
        <f t="shared" si="1317"/>
        <v>NO</v>
      </c>
      <c r="S5798">
        <v>202</v>
      </c>
      <c r="T5798" t="s">
        <v>74</v>
      </c>
      <c r="U5798" t="str">
        <f t="shared" si="1304"/>
        <v>Hampshire St</v>
      </c>
      <c r="W5798" t="str">
        <f t="shared" si="1305"/>
        <v/>
      </c>
      <c r="X5798" t="str">
        <f>IF(ISBLANK(S5798),"Intersection","Non-Intersection")</f>
        <v>Non-Intersection</v>
      </c>
      <c r="Y5798" t="s">
        <v>5823</v>
      </c>
      <c r="Z5798" t="str">
        <f t="shared" si="1306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07"/>
        <v>41275</v>
      </c>
      <c r="D5799" s="4">
        <f t="shared" si="1308"/>
        <v>0.80273972602739729</v>
      </c>
      <c r="E5799" s="3">
        <f t="shared" si="1309"/>
        <v>2013</v>
      </c>
      <c r="F5799" s="3">
        <f t="shared" si="1310"/>
        <v>10</v>
      </c>
      <c r="G5799" s="3">
        <f t="shared" si="1311"/>
        <v>21</v>
      </c>
      <c r="H5799" s="3">
        <f t="shared" si="1312"/>
        <v>10</v>
      </c>
      <c r="I5799" s="3">
        <f t="shared" si="1313"/>
        <v>54</v>
      </c>
      <c r="J5799" s="3">
        <f t="shared" si="1314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315"/>
        <v>YES</v>
      </c>
      <c r="Q5799" t="str">
        <f t="shared" si="1316"/>
        <v>NO</v>
      </c>
      <c r="R5799" t="str">
        <f t="shared" si="1317"/>
        <v>NO</v>
      </c>
      <c r="T5799" t="s">
        <v>745</v>
      </c>
      <c r="U5799" t="str">
        <f t="shared" si="1304"/>
        <v>Norfolk St</v>
      </c>
      <c r="V5799" t="s">
        <v>216</v>
      </c>
      <c r="W5799" t="str">
        <f t="shared" si="1305"/>
        <v>Washington Ave</v>
      </c>
      <c r="X5799" t="str">
        <f>IF(ISBLANK(S5799),"Intersection","Non-Intersection")</f>
        <v>Intersection</v>
      </c>
      <c r="Y5799" t="s">
        <v>6125</v>
      </c>
      <c r="Z5799" t="str">
        <f t="shared" si="1306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07"/>
        <v>41275</v>
      </c>
      <c r="D5800" s="4">
        <f t="shared" si="1308"/>
        <v>0.80273972602739729</v>
      </c>
      <c r="E5800" s="3">
        <f t="shared" si="1309"/>
        <v>2013</v>
      </c>
      <c r="F5800" s="3">
        <f t="shared" si="1310"/>
        <v>10</v>
      </c>
      <c r="G5800" s="3">
        <f t="shared" si="1311"/>
        <v>21</v>
      </c>
      <c r="H5800" s="3">
        <f t="shared" si="1312"/>
        <v>15</v>
      </c>
      <c r="I5800" s="3">
        <f t="shared" si="1313"/>
        <v>59</v>
      </c>
      <c r="J5800" s="3">
        <f t="shared" si="1314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315"/>
        <v>YES</v>
      </c>
      <c r="Q5800" t="str">
        <f t="shared" si="1316"/>
        <v>NO</v>
      </c>
      <c r="R5800" t="str">
        <f t="shared" si="1317"/>
        <v>NO</v>
      </c>
      <c r="S5800">
        <v>211</v>
      </c>
      <c r="T5800" t="s">
        <v>170</v>
      </c>
      <c r="U5800" t="str">
        <f t="shared" si="1304"/>
        <v>Alewife Brook Pky</v>
      </c>
      <c r="W5800" t="str">
        <f t="shared" si="1305"/>
        <v/>
      </c>
      <c r="X5800" t="str">
        <f>IF(ISBLANK(S5800),"Intersection","Non-Intersection")</f>
        <v>Non-Intersection</v>
      </c>
      <c r="Y5800" t="s">
        <v>1359</v>
      </c>
      <c r="Z5800" t="str">
        <f t="shared" si="1306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07"/>
        <v>41275</v>
      </c>
      <c r="D5801" s="4">
        <f t="shared" si="1308"/>
        <v>0.80547945205479454</v>
      </c>
      <c r="E5801" s="3">
        <f t="shared" si="1309"/>
        <v>2013</v>
      </c>
      <c r="F5801" s="3">
        <f t="shared" si="1310"/>
        <v>10</v>
      </c>
      <c r="G5801" s="3">
        <f t="shared" si="1311"/>
        <v>22</v>
      </c>
      <c r="H5801" s="3">
        <f t="shared" si="1312"/>
        <v>9</v>
      </c>
      <c r="I5801" s="3">
        <f t="shared" si="1313"/>
        <v>0</v>
      </c>
      <c r="J5801" s="3">
        <f t="shared" si="1314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315"/>
        <v>YES</v>
      </c>
      <c r="Q5801" t="str">
        <f t="shared" si="1316"/>
        <v>YES</v>
      </c>
      <c r="R5801" t="str">
        <f t="shared" si="1317"/>
        <v>NO</v>
      </c>
      <c r="T5801" t="s">
        <v>260</v>
      </c>
      <c r="U5801" t="str">
        <f t="shared" si="1304"/>
        <v>Third St</v>
      </c>
      <c r="V5801" t="s">
        <v>146</v>
      </c>
      <c r="W5801" t="str">
        <f t="shared" si="1305"/>
        <v>Spring St</v>
      </c>
      <c r="X5801" t="str">
        <f>IF(ISBLANK(S5801),"Intersection","Non-Intersection")</f>
        <v>Intersection</v>
      </c>
      <c r="Y5801" t="s">
        <v>544</v>
      </c>
      <c r="Z5801" t="str">
        <f t="shared" si="1306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07"/>
        <v>41275</v>
      </c>
      <c r="D5802" s="4">
        <f t="shared" si="1308"/>
        <v>0.80547945205479454</v>
      </c>
      <c r="E5802" s="3">
        <f t="shared" si="1309"/>
        <v>2013</v>
      </c>
      <c r="F5802" s="3">
        <f t="shared" si="1310"/>
        <v>10</v>
      </c>
      <c r="G5802" s="3">
        <f t="shared" si="1311"/>
        <v>22</v>
      </c>
      <c r="H5802" s="3">
        <f t="shared" si="1312"/>
        <v>8</v>
      </c>
      <c r="I5802" s="3">
        <f t="shared" si="1313"/>
        <v>45</v>
      </c>
      <c r="J5802" s="3">
        <f t="shared" si="1314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315"/>
        <v>YES</v>
      </c>
      <c r="Q5802" t="str">
        <f t="shared" si="1316"/>
        <v>NO</v>
      </c>
      <c r="R5802" t="str">
        <f t="shared" si="1317"/>
        <v>NO</v>
      </c>
      <c r="S5802">
        <v>166</v>
      </c>
      <c r="T5802" t="s">
        <v>119</v>
      </c>
      <c r="U5802" t="str">
        <f t="shared" si="1304"/>
        <v>Albany St</v>
      </c>
      <c r="W5802" t="str">
        <f t="shared" si="1305"/>
        <v/>
      </c>
      <c r="X5802" t="str">
        <f>IF(ISBLANK(S5802),"Intersection","Non-Intersection")</f>
        <v>Non-Intersection</v>
      </c>
      <c r="Y5802" t="s">
        <v>2874</v>
      </c>
      <c r="Z5802" t="str">
        <f t="shared" si="1306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07"/>
        <v>41275</v>
      </c>
      <c r="D5803" s="4">
        <f t="shared" si="1308"/>
        <v>0.80547945205479454</v>
      </c>
      <c r="E5803" s="3">
        <f t="shared" si="1309"/>
        <v>2013</v>
      </c>
      <c r="F5803" s="3">
        <f t="shared" si="1310"/>
        <v>10</v>
      </c>
      <c r="G5803" s="3">
        <f t="shared" si="1311"/>
        <v>22</v>
      </c>
      <c r="H5803" s="3">
        <f t="shared" si="1312"/>
        <v>11</v>
      </c>
      <c r="I5803" s="3">
        <f t="shared" si="1313"/>
        <v>29</v>
      </c>
      <c r="J5803" s="3">
        <f t="shared" si="1314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315"/>
        <v>YES</v>
      </c>
      <c r="Q5803" t="str">
        <f t="shared" si="1316"/>
        <v>YES</v>
      </c>
      <c r="R5803" t="str">
        <f t="shared" si="1317"/>
        <v>NO</v>
      </c>
      <c r="S5803">
        <v>147</v>
      </c>
      <c r="T5803" t="s">
        <v>101</v>
      </c>
      <c r="U5803" t="str">
        <f t="shared" si="1304"/>
        <v>Columbia St</v>
      </c>
      <c r="W5803" t="str">
        <f t="shared" si="1305"/>
        <v/>
      </c>
      <c r="X5803" t="str">
        <f>IF(ISBLANK(S5803),"Intersection","Non-Intersection")</f>
        <v>Non-Intersection</v>
      </c>
      <c r="Y5803" t="s">
        <v>6126</v>
      </c>
      <c r="Z5803" t="str">
        <f t="shared" si="1306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07"/>
        <v>41275</v>
      </c>
      <c r="D5804" s="4">
        <f t="shared" si="1308"/>
        <v>0.80547945205479454</v>
      </c>
      <c r="E5804" s="3">
        <f t="shared" si="1309"/>
        <v>2013</v>
      </c>
      <c r="F5804" s="3">
        <f t="shared" si="1310"/>
        <v>10</v>
      </c>
      <c r="G5804" s="3">
        <f t="shared" si="1311"/>
        <v>22</v>
      </c>
      <c r="H5804" s="3">
        <f t="shared" si="1312"/>
        <v>13</v>
      </c>
      <c r="I5804" s="3">
        <f t="shared" si="1313"/>
        <v>54</v>
      </c>
      <c r="J5804" s="3">
        <f t="shared" si="1314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315"/>
        <v>YES</v>
      </c>
      <c r="Q5804" t="str">
        <f t="shared" si="1316"/>
        <v>NO</v>
      </c>
      <c r="R5804" t="str">
        <f t="shared" si="1317"/>
        <v>NO</v>
      </c>
      <c r="S5804">
        <v>198</v>
      </c>
      <c r="T5804" t="s">
        <v>170</v>
      </c>
      <c r="U5804" t="str">
        <f t="shared" si="1304"/>
        <v>Alewife Brook Pky</v>
      </c>
      <c r="W5804" t="str">
        <f t="shared" si="1305"/>
        <v/>
      </c>
      <c r="X5804" t="str">
        <f>IF(ISBLANK(S5804),"Intersection","Non-Intersection")</f>
        <v>Non-Intersection</v>
      </c>
      <c r="Y5804" t="s">
        <v>4345</v>
      </c>
      <c r="Z5804" t="str">
        <f t="shared" si="1306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07"/>
        <v>41275</v>
      </c>
      <c r="D5805" s="4">
        <f t="shared" si="1308"/>
        <v>0.80547945205479454</v>
      </c>
      <c r="E5805" s="3">
        <f t="shared" si="1309"/>
        <v>2013</v>
      </c>
      <c r="F5805" s="3">
        <f t="shared" si="1310"/>
        <v>10</v>
      </c>
      <c r="G5805" s="3">
        <f t="shared" si="1311"/>
        <v>22</v>
      </c>
      <c r="H5805" s="3">
        <f t="shared" si="1312"/>
        <v>9</v>
      </c>
      <c r="I5805" s="3">
        <f t="shared" si="1313"/>
        <v>14</v>
      </c>
      <c r="J5805" s="3">
        <f t="shared" si="1314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315"/>
        <v>YES</v>
      </c>
      <c r="Q5805" t="str">
        <f t="shared" si="1316"/>
        <v>NO</v>
      </c>
      <c r="R5805" t="str">
        <f t="shared" si="1317"/>
        <v>NO</v>
      </c>
      <c r="S5805">
        <v>353</v>
      </c>
      <c r="T5805" t="s">
        <v>342</v>
      </c>
      <c r="U5805" t="str">
        <f t="shared" si="1304"/>
        <v>Prospect St</v>
      </c>
      <c r="W5805" t="str">
        <f t="shared" si="1305"/>
        <v/>
      </c>
      <c r="X5805" t="str">
        <f>IF(ISBLANK(S5805),"Intersection","Non-Intersection")</f>
        <v>Non-Intersection</v>
      </c>
      <c r="Y5805" t="s">
        <v>6128</v>
      </c>
      <c r="Z5805" t="str">
        <f t="shared" si="1306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07"/>
        <v>41275</v>
      </c>
      <c r="D5806" s="4">
        <f t="shared" si="1308"/>
        <v>0.80547945205479454</v>
      </c>
      <c r="E5806" s="3">
        <f t="shared" si="1309"/>
        <v>2013</v>
      </c>
      <c r="F5806" s="3">
        <f t="shared" si="1310"/>
        <v>10</v>
      </c>
      <c r="G5806" s="3">
        <f t="shared" si="1311"/>
        <v>22</v>
      </c>
      <c r="H5806" s="3">
        <f t="shared" si="1312"/>
        <v>10</v>
      </c>
      <c r="I5806" s="3">
        <f t="shared" si="1313"/>
        <v>30</v>
      </c>
      <c r="J5806" s="3">
        <f t="shared" si="1314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315"/>
        <v>NO</v>
      </c>
      <c r="Q5806" t="str">
        <f t="shared" si="1316"/>
        <v>YES</v>
      </c>
      <c r="R5806" t="str">
        <f t="shared" si="1317"/>
        <v>NO</v>
      </c>
      <c r="T5806" t="s">
        <v>27</v>
      </c>
      <c r="U5806" t="str">
        <f t="shared" si="1304"/>
        <v>Western Ave</v>
      </c>
      <c r="V5806" t="s">
        <v>1795</v>
      </c>
      <c r="W5806" t="str">
        <f t="shared" si="1305"/>
        <v>Hews St</v>
      </c>
      <c r="X5806" t="str">
        <f>IF(ISBLANK(S5806),"Intersection","Non-Intersection")</f>
        <v>Intersection</v>
      </c>
      <c r="Y5806" t="s">
        <v>4505</v>
      </c>
      <c r="Z5806" t="str">
        <f t="shared" si="1306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07"/>
        <v>41275</v>
      </c>
      <c r="D5807" s="4">
        <f t="shared" si="1308"/>
        <v>0.80547945205479454</v>
      </c>
      <c r="E5807" s="3">
        <f t="shared" si="1309"/>
        <v>2013</v>
      </c>
      <c r="F5807" s="3">
        <f t="shared" si="1310"/>
        <v>10</v>
      </c>
      <c r="G5807" s="3">
        <f t="shared" si="1311"/>
        <v>22</v>
      </c>
      <c r="H5807" s="3">
        <f t="shared" si="1312"/>
        <v>15</v>
      </c>
      <c r="I5807" s="3">
        <f t="shared" si="1313"/>
        <v>14</v>
      </c>
      <c r="J5807" s="3">
        <f t="shared" si="1314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315"/>
        <v>YES</v>
      </c>
      <c r="Q5807" t="str">
        <f t="shared" si="1316"/>
        <v>NO</v>
      </c>
      <c r="R5807" t="str">
        <f t="shared" si="1317"/>
        <v>NO</v>
      </c>
      <c r="T5807" t="s">
        <v>6130</v>
      </c>
      <c r="U5807" t="str">
        <f t="shared" si="1304"/>
        <v>Brattle Sq</v>
      </c>
      <c r="V5807" t="s">
        <v>208</v>
      </c>
      <c r="W5807" t="str">
        <f t="shared" si="1305"/>
        <v>Sparks St</v>
      </c>
      <c r="X5807" t="str">
        <f>IF(ISBLANK(S5807),"Intersection","Non-Intersection")</f>
        <v>Intersection</v>
      </c>
      <c r="Y5807" t="s">
        <v>6131</v>
      </c>
      <c r="Z5807" t="str">
        <f t="shared" si="1306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07"/>
        <v>41275</v>
      </c>
      <c r="D5808" s="4">
        <f t="shared" si="1308"/>
        <v>0.80821917808219179</v>
      </c>
      <c r="E5808" s="3">
        <f t="shared" si="1309"/>
        <v>2013</v>
      </c>
      <c r="F5808" s="3">
        <f t="shared" si="1310"/>
        <v>10</v>
      </c>
      <c r="G5808" s="3">
        <f t="shared" si="1311"/>
        <v>23</v>
      </c>
      <c r="H5808" s="3">
        <f t="shared" si="1312"/>
        <v>12</v>
      </c>
      <c r="I5808" s="3">
        <f t="shared" si="1313"/>
        <v>46</v>
      </c>
      <c r="J5808" s="3">
        <f t="shared" si="1314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315"/>
        <v>YES</v>
      </c>
      <c r="Q5808" t="str">
        <f t="shared" si="1316"/>
        <v>NO</v>
      </c>
      <c r="R5808" t="str">
        <f t="shared" si="1317"/>
        <v>NO</v>
      </c>
      <c r="S5808">
        <v>210</v>
      </c>
      <c r="T5808" t="s">
        <v>41</v>
      </c>
      <c r="U5808" t="str">
        <f t="shared" si="1304"/>
        <v>River St</v>
      </c>
      <c r="W5808" t="str">
        <f t="shared" si="1305"/>
        <v/>
      </c>
      <c r="X5808" t="str">
        <f>IF(ISBLANK(S5808),"Intersection","Non-Intersection")</f>
        <v>Non-Intersection</v>
      </c>
      <c r="Y5808" t="s">
        <v>6132</v>
      </c>
      <c r="Z5808" t="str">
        <f t="shared" si="1306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07"/>
        <v>41275</v>
      </c>
      <c r="D5809" s="4">
        <f t="shared" si="1308"/>
        <v>0.80821917808219179</v>
      </c>
      <c r="E5809" s="3">
        <f t="shared" si="1309"/>
        <v>2013</v>
      </c>
      <c r="F5809" s="3">
        <f t="shared" si="1310"/>
        <v>10</v>
      </c>
      <c r="G5809" s="3">
        <f t="shared" si="1311"/>
        <v>23</v>
      </c>
      <c r="H5809" s="3">
        <f t="shared" si="1312"/>
        <v>15</v>
      </c>
      <c r="I5809" s="3">
        <f t="shared" si="1313"/>
        <v>55</v>
      </c>
      <c r="J5809" s="3">
        <f t="shared" si="1314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315"/>
        <v>YES</v>
      </c>
      <c r="Q5809" t="str">
        <f t="shared" si="1316"/>
        <v>YES</v>
      </c>
      <c r="R5809" t="str">
        <f t="shared" si="1317"/>
        <v>NO</v>
      </c>
      <c r="T5809" t="s">
        <v>14</v>
      </c>
      <c r="U5809" t="str">
        <f t="shared" si="1304"/>
        <v>Massachusetts Ave</v>
      </c>
      <c r="V5809" t="s">
        <v>550</v>
      </c>
      <c r="W5809" t="str">
        <f t="shared" si="1305"/>
        <v>Upland Rd</v>
      </c>
      <c r="X5809" t="str">
        <f>IF(ISBLANK(S5809),"Intersection","Non-Intersection")</f>
        <v>Intersection</v>
      </c>
      <c r="Y5809" t="s">
        <v>551</v>
      </c>
      <c r="Z5809" t="str">
        <f t="shared" si="1306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07"/>
        <v>41275</v>
      </c>
      <c r="D5810" s="4">
        <f t="shared" si="1308"/>
        <v>0.80821917808219179</v>
      </c>
      <c r="E5810" s="3">
        <f t="shared" si="1309"/>
        <v>2013</v>
      </c>
      <c r="F5810" s="3">
        <f t="shared" si="1310"/>
        <v>10</v>
      </c>
      <c r="G5810" s="3">
        <f t="shared" si="1311"/>
        <v>23</v>
      </c>
      <c r="H5810" s="3">
        <f t="shared" si="1312"/>
        <v>17</v>
      </c>
      <c r="I5810" s="3">
        <f t="shared" si="1313"/>
        <v>49</v>
      </c>
      <c r="J5810" s="3">
        <f t="shared" si="1314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315"/>
        <v>YES</v>
      </c>
      <c r="Q5810" t="str">
        <f t="shared" si="1316"/>
        <v>NO</v>
      </c>
      <c r="R5810" t="str">
        <f t="shared" si="1317"/>
        <v>NO</v>
      </c>
      <c r="T5810" t="s">
        <v>14</v>
      </c>
      <c r="U5810" t="str">
        <f t="shared" si="1304"/>
        <v>Massachusetts Ave</v>
      </c>
      <c r="V5810" t="s">
        <v>1182</v>
      </c>
      <c r="W5810" t="str">
        <f t="shared" si="1305"/>
        <v>Amherst St</v>
      </c>
      <c r="X5810" t="str">
        <f>IF(ISBLANK(S5810),"Intersection","Non-Intersection")</f>
        <v>Intersection</v>
      </c>
      <c r="Y5810" t="s">
        <v>1240</v>
      </c>
      <c r="Z5810" t="str">
        <f t="shared" si="1306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07"/>
        <v>41275</v>
      </c>
      <c r="D5811" s="4">
        <f t="shared" si="1308"/>
        <v>0.80821917808219179</v>
      </c>
      <c r="E5811" s="3">
        <f t="shared" si="1309"/>
        <v>2013</v>
      </c>
      <c r="F5811" s="3">
        <f t="shared" si="1310"/>
        <v>10</v>
      </c>
      <c r="G5811" s="3">
        <f t="shared" si="1311"/>
        <v>23</v>
      </c>
      <c r="H5811" s="3">
        <f t="shared" si="1312"/>
        <v>18</v>
      </c>
      <c r="I5811" s="3">
        <f t="shared" si="1313"/>
        <v>40</v>
      </c>
      <c r="J5811" s="3">
        <f t="shared" si="1314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315"/>
        <v>YES</v>
      </c>
      <c r="Q5811" t="str">
        <f t="shared" si="1316"/>
        <v>NO</v>
      </c>
      <c r="R5811" t="str">
        <f t="shared" si="1317"/>
        <v>NO</v>
      </c>
      <c r="T5811" t="s">
        <v>342</v>
      </c>
      <c r="U5811" t="str">
        <f t="shared" si="1304"/>
        <v>Prospect St</v>
      </c>
      <c r="V5811" t="s">
        <v>316</v>
      </c>
      <c r="W5811" t="str">
        <f t="shared" si="1305"/>
        <v>Bishop Allen Dr</v>
      </c>
      <c r="X5811" t="str">
        <f>IF(ISBLANK(S5811),"Intersection","Non-Intersection")</f>
        <v>Intersection</v>
      </c>
      <c r="Y5811" t="s">
        <v>2529</v>
      </c>
      <c r="Z5811" t="str">
        <f t="shared" si="1306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07"/>
        <v>41275</v>
      </c>
      <c r="D5812" s="4">
        <f t="shared" si="1308"/>
        <v>0.80821917808219179</v>
      </c>
      <c r="E5812" s="3">
        <f t="shared" si="1309"/>
        <v>2013</v>
      </c>
      <c r="F5812" s="3">
        <f t="shared" si="1310"/>
        <v>10</v>
      </c>
      <c r="G5812" s="3">
        <f t="shared" si="1311"/>
        <v>23</v>
      </c>
      <c r="H5812" s="3">
        <f t="shared" si="1312"/>
        <v>18</v>
      </c>
      <c r="I5812" s="3">
        <f t="shared" si="1313"/>
        <v>59</v>
      </c>
      <c r="J5812" s="3">
        <f t="shared" si="1314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315"/>
        <v>YES</v>
      </c>
      <c r="Q5812" t="str">
        <f t="shared" si="1316"/>
        <v>NO</v>
      </c>
      <c r="R5812" t="str">
        <f t="shared" si="1317"/>
        <v>NO</v>
      </c>
      <c r="T5812" t="s">
        <v>185</v>
      </c>
      <c r="U5812" t="str">
        <f t="shared" si="1304"/>
        <v>Garden St</v>
      </c>
      <c r="V5812" t="s">
        <v>296</v>
      </c>
      <c r="W5812" t="str">
        <f t="shared" si="1305"/>
        <v>Mason St</v>
      </c>
      <c r="X5812" t="str">
        <f>IF(ISBLANK(S5812),"Intersection","Non-Intersection")</f>
        <v>Intersection</v>
      </c>
      <c r="Y5812" t="s">
        <v>594</v>
      </c>
      <c r="Z5812" t="str">
        <f t="shared" si="1306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07"/>
        <v>41275</v>
      </c>
      <c r="D5813" s="4">
        <f t="shared" si="1308"/>
        <v>0.80821917808219179</v>
      </c>
      <c r="E5813" s="3">
        <f t="shared" si="1309"/>
        <v>2013</v>
      </c>
      <c r="F5813" s="3">
        <f t="shared" si="1310"/>
        <v>10</v>
      </c>
      <c r="G5813" s="3">
        <f t="shared" si="1311"/>
        <v>23</v>
      </c>
      <c r="H5813" s="3">
        <f t="shared" si="1312"/>
        <v>20</v>
      </c>
      <c r="I5813" s="3">
        <f t="shared" si="1313"/>
        <v>7</v>
      </c>
      <c r="J5813" s="3">
        <f t="shared" si="1314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315"/>
        <v>YES</v>
      </c>
      <c r="Q5813" t="str">
        <f t="shared" si="1316"/>
        <v>NO</v>
      </c>
      <c r="R5813" t="str">
        <f t="shared" si="1317"/>
        <v>NO</v>
      </c>
      <c r="T5813" t="s">
        <v>19</v>
      </c>
      <c r="U5813" t="str">
        <f t="shared" si="1304"/>
        <v>Cambridge St</v>
      </c>
      <c r="V5813" t="s">
        <v>189</v>
      </c>
      <c r="W5813" t="str">
        <f t="shared" si="1305"/>
        <v>Windsor St</v>
      </c>
      <c r="X5813" t="str">
        <f>IF(ISBLANK(S5813),"Intersection","Non-Intersection")</f>
        <v>Intersection</v>
      </c>
      <c r="Y5813" t="s">
        <v>244</v>
      </c>
      <c r="Z5813" t="str">
        <f t="shared" si="1306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07"/>
        <v>41275</v>
      </c>
      <c r="D5814" s="4">
        <f t="shared" si="1308"/>
        <v>0.80821917808219179</v>
      </c>
      <c r="E5814" s="3">
        <f t="shared" si="1309"/>
        <v>2013</v>
      </c>
      <c r="F5814" s="3">
        <f t="shared" si="1310"/>
        <v>10</v>
      </c>
      <c r="G5814" s="3">
        <f t="shared" si="1311"/>
        <v>23</v>
      </c>
      <c r="H5814" s="3">
        <f t="shared" si="1312"/>
        <v>23</v>
      </c>
      <c r="I5814" s="3">
        <f t="shared" si="1313"/>
        <v>0</v>
      </c>
      <c r="J5814" s="3">
        <f t="shared" si="1314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315"/>
        <v>YES</v>
      </c>
      <c r="Q5814" t="str">
        <f t="shared" si="1316"/>
        <v>NO</v>
      </c>
      <c r="R5814" t="str">
        <f t="shared" si="1317"/>
        <v>NO</v>
      </c>
      <c r="T5814" t="s">
        <v>14</v>
      </c>
      <c r="U5814" t="str">
        <f t="shared" si="1304"/>
        <v>Massachusetts Ave</v>
      </c>
      <c r="V5814" t="s">
        <v>2012</v>
      </c>
      <c r="W5814" t="str">
        <f t="shared" si="1305"/>
        <v>Mellen St</v>
      </c>
      <c r="X5814" t="str">
        <f>IF(ISBLANK(S5814),"Intersection","Non-Intersection")</f>
        <v>Intersection</v>
      </c>
      <c r="Y5814" t="s">
        <v>2013</v>
      </c>
      <c r="Z5814" t="str">
        <f t="shared" si="1306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07"/>
        <v>41275</v>
      </c>
      <c r="D5815" s="4">
        <f t="shared" si="1308"/>
        <v>0.81095890410958904</v>
      </c>
      <c r="E5815" s="3">
        <f t="shared" si="1309"/>
        <v>2013</v>
      </c>
      <c r="F5815" s="3">
        <f t="shared" si="1310"/>
        <v>10</v>
      </c>
      <c r="G5815" s="3">
        <f t="shared" si="1311"/>
        <v>24</v>
      </c>
      <c r="H5815" s="3">
        <f t="shared" si="1312"/>
        <v>6</v>
      </c>
      <c r="I5815" s="3">
        <f t="shared" si="1313"/>
        <v>49</v>
      </c>
      <c r="J5815" s="3">
        <f t="shared" si="1314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315"/>
        <v>YES</v>
      </c>
      <c r="Q5815" t="str">
        <f t="shared" si="1316"/>
        <v>NO</v>
      </c>
      <c r="R5815" t="str">
        <f t="shared" si="1317"/>
        <v>NO</v>
      </c>
      <c r="T5815" t="s">
        <v>185</v>
      </c>
      <c r="U5815" t="str">
        <f t="shared" si="1304"/>
        <v>Garden St</v>
      </c>
      <c r="V5815" t="s">
        <v>186</v>
      </c>
      <c r="W5815" t="str">
        <f t="shared" si="1305"/>
        <v>Concord Ave</v>
      </c>
      <c r="X5815" t="str">
        <f>IF(ISBLANK(S5815),"Intersection","Non-Intersection")</f>
        <v>Intersection</v>
      </c>
      <c r="Y5815" t="s">
        <v>187</v>
      </c>
      <c r="Z5815" t="str">
        <f t="shared" si="1306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07"/>
        <v>41275</v>
      </c>
      <c r="D5816" s="4">
        <f t="shared" si="1308"/>
        <v>0.81095890410958904</v>
      </c>
      <c r="E5816" s="3">
        <f t="shared" si="1309"/>
        <v>2013</v>
      </c>
      <c r="F5816" s="3">
        <f t="shared" si="1310"/>
        <v>10</v>
      </c>
      <c r="G5816" s="3">
        <f t="shared" si="1311"/>
        <v>24</v>
      </c>
      <c r="H5816" s="3">
        <f t="shared" si="1312"/>
        <v>6</v>
      </c>
      <c r="I5816" s="3">
        <f t="shared" si="1313"/>
        <v>59</v>
      </c>
      <c r="J5816" s="3">
        <f t="shared" si="1314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315"/>
        <v>YES</v>
      </c>
      <c r="Q5816" t="str">
        <f t="shared" si="1316"/>
        <v>NO</v>
      </c>
      <c r="R5816" t="str">
        <f t="shared" si="1317"/>
        <v>NO</v>
      </c>
      <c r="S5816">
        <v>165</v>
      </c>
      <c r="T5816" t="s">
        <v>556</v>
      </c>
      <c r="U5816" t="str">
        <f t="shared" si="1304"/>
        <v>Bent St</v>
      </c>
      <c r="W5816" t="str">
        <f t="shared" si="1305"/>
        <v/>
      </c>
      <c r="X5816" t="str">
        <f>IF(ISBLANK(S5816),"Intersection","Non-Intersection")</f>
        <v>Non-Intersection</v>
      </c>
      <c r="Y5816" t="s">
        <v>6134</v>
      </c>
      <c r="Z5816" t="str">
        <f t="shared" si="1306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07"/>
        <v>41275</v>
      </c>
      <c r="D5817" s="4">
        <f t="shared" si="1308"/>
        <v>0.81095890410958904</v>
      </c>
      <c r="E5817" s="3">
        <f t="shared" si="1309"/>
        <v>2013</v>
      </c>
      <c r="F5817" s="3">
        <f t="shared" si="1310"/>
        <v>10</v>
      </c>
      <c r="G5817" s="3">
        <f t="shared" si="1311"/>
        <v>24</v>
      </c>
      <c r="H5817" s="3">
        <f t="shared" si="1312"/>
        <v>7</v>
      </c>
      <c r="I5817" s="3">
        <f t="shared" si="1313"/>
        <v>50</v>
      </c>
      <c r="J5817" s="3">
        <f t="shared" si="1314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315"/>
        <v>YES</v>
      </c>
      <c r="Q5817" t="str">
        <f t="shared" si="1316"/>
        <v>NO</v>
      </c>
      <c r="R5817" t="str">
        <f t="shared" si="1317"/>
        <v>NO</v>
      </c>
      <c r="T5817" t="s">
        <v>15</v>
      </c>
      <c r="U5817" t="str">
        <f t="shared" si="1304"/>
        <v>Rindge Ave</v>
      </c>
      <c r="V5817" t="s">
        <v>1214</v>
      </c>
      <c r="W5817" t="str">
        <f t="shared" si="1305"/>
        <v>Reed St</v>
      </c>
      <c r="X5817" t="str">
        <f>IF(ISBLANK(S5817),"Intersection","Non-Intersection")</f>
        <v>Intersection</v>
      </c>
      <c r="Y5817" t="s">
        <v>1423</v>
      </c>
      <c r="Z5817" t="str">
        <f t="shared" si="1306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07"/>
        <v>41275</v>
      </c>
      <c r="D5818" s="4">
        <f t="shared" si="1308"/>
        <v>0.81095890410958904</v>
      </c>
      <c r="E5818" s="3">
        <f t="shared" si="1309"/>
        <v>2013</v>
      </c>
      <c r="F5818" s="3">
        <f t="shared" si="1310"/>
        <v>10</v>
      </c>
      <c r="G5818" s="3">
        <f t="shared" si="1311"/>
        <v>24</v>
      </c>
      <c r="H5818" s="3">
        <f t="shared" si="1312"/>
        <v>9</v>
      </c>
      <c r="I5818" s="3">
        <f t="shared" si="1313"/>
        <v>40</v>
      </c>
      <c r="J5818" s="3">
        <f t="shared" si="1314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315"/>
        <v>YES</v>
      </c>
      <c r="Q5818" t="str">
        <f t="shared" si="1316"/>
        <v>NO</v>
      </c>
      <c r="R5818" t="str">
        <f t="shared" si="1317"/>
        <v>NO</v>
      </c>
      <c r="T5818" t="s">
        <v>902</v>
      </c>
      <c r="U5818" t="str">
        <f t="shared" si="1304"/>
        <v>Frost St</v>
      </c>
      <c r="V5818" t="s">
        <v>1701</v>
      </c>
      <c r="W5818" t="str">
        <f t="shared" si="1305"/>
        <v>Prentiss St</v>
      </c>
      <c r="X5818" t="str">
        <f>IF(ISBLANK(S5818),"Intersection","Non-Intersection")</f>
        <v>Intersection</v>
      </c>
      <c r="Y5818" t="s">
        <v>6136</v>
      </c>
      <c r="Z5818" t="str">
        <f t="shared" si="1306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07"/>
        <v>41275</v>
      </c>
      <c r="D5819" s="4">
        <f t="shared" si="1308"/>
        <v>0.81095890410958904</v>
      </c>
      <c r="E5819" s="3">
        <f t="shared" si="1309"/>
        <v>2013</v>
      </c>
      <c r="F5819" s="3">
        <f t="shared" si="1310"/>
        <v>10</v>
      </c>
      <c r="G5819" s="3">
        <f t="shared" si="1311"/>
        <v>24</v>
      </c>
      <c r="H5819" s="3">
        <f t="shared" si="1312"/>
        <v>9</v>
      </c>
      <c r="I5819" s="3">
        <f t="shared" si="1313"/>
        <v>14</v>
      </c>
      <c r="J5819" s="3">
        <f t="shared" si="1314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315"/>
        <v>YES</v>
      </c>
      <c r="Q5819" t="str">
        <f t="shared" si="1316"/>
        <v>NO</v>
      </c>
      <c r="R5819" t="str">
        <f t="shared" si="1317"/>
        <v>NO</v>
      </c>
      <c r="S5819">
        <v>85</v>
      </c>
      <c r="T5819" t="s">
        <v>45</v>
      </c>
      <c r="U5819" t="str">
        <f t="shared" si="1304"/>
        <v>Sherman St</v>
      </c>
      <c r="W5819" t="str">
        <f t="shared" si="1305"/>
        <v/>
      </c>
      <c r="X5819" t="str">
        <f>IF(ISBLANK(S5819),"Intersection","Non-Intersection")</f>
        <v>Non-Intersection</v>
      </c>
      <c r="Y5819" t="s">
        <v>1559</v>
      </c>
      <c r="Z5819" t="str">
        <f t="shared" si="1306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07"/>
        <v>41275</v>
      </c>
      <c r="D5820" s="4">
        <f t="shared" si="1308"/>
        <v>0.81095890410958904</v>
      </c>
      <c r="E5820" s="3">
        <f t="shared" si="1309"/>
        <v>2013</v>
      </c>
      <c r="F5820" s="3">
        <f t="shared" si="1310"/>
        <v>10</v>
      </c>
      <c r="G5820" s="3">
        <f t="shared" si="1311"/>
        <v>24</v>
      </c>
      <c r="H5820" s="3">
        <f t="shared" si="1312"/>
        <v>9</v>
      </c>
      <c r="I5820" s="3">
        <f t="shared" si="1313"/>
        <v>46</v>
      </c>
      <c r="J5820" s="3">
        <f t="shared" si="1314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315"/>
        <v>YES</v>
      </c>
      <c r="Q5820" t="str">
        <f t="shared" si="1316"/>
        <v>NO</v>
      </c>
      <c r="R5820" t="str">
        <f t="shared" si="1317"/>
        <v>NO</v>
      </c>
      <c r="T5820" t="s">
        <v>105</v>
      </c>
      <c r="U5820" t="str">
        <f t="shared" si="1304"/>
        <v>Broadway</v>
      </c>
      <c r="V5820" t="s">
        <v>288</v>
      </c>
      <c r="W5820" t="str">
        <f t="shared" si="1305"/>
        <v>Galileo Galilei Way</v>
      </c>
      <c r="X5820" t="str">
        <f>IF(ISBLANK(S5820),"Intersection","Non-Intersection")</f>
        <v>Intersection</v>
      </c>
      <c r="Y5820" t="s">
        <v>289</v>
      </c>
      <c r="Z5820" t="str">
        <f t="shared" si="1306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07"/>
        <v>41275</v>
      </c>
      <c r="D5821" s="4">
        <f t="shared" si="1308"/>
        <v>0.81095890410958904</v>
      </c>
      <c r="E5821" s="3">
        <f t="shared" si="1309"/>
        <v>2013</v>
      </c>
      <c r="F5821" s="3">
        <f t="shared" si="1310"/>
        <v>10</v>
      </c>
      <c r="G5821" s="3">
        <f t="shared" si="1311"/>
        <v>24</v>
      </c>
      <c r="H5821" s="3">
        <f t="shared" si="1312"/>
        <v>10</v>
      </c>
      <c r="I5821" s="3">
        <f t="shared" si="1313"/>
        <v>15</v>
      </c>
      <c r="J5821" s="3">
        <f t="shared" si="1314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315"/>
        <v>YES</v>
      </c>
      <c r="Q5821" t="str">
        <f t="shared" si="1316"/>
        <v>NO</v>
      </c>
      <c r="R5821" t="str">
        <f t="shared" si="1317"/>
        <v>YES</v>
      </c>
      <c r="T5821" t="s">
        <v>198</v>
      </c>
      <c r="U5821" t="str">
        <f t="shared" si="1304"/>
        <v>Mount Auburn St</v>
      </c>
      <c r="V5821" t="s">
        <v>1906</v>
      </c>
      <c r="W5821" t="str">
        <f t="shared" si="1305"/>
        <v>Holyoke St</v>
      </c>
      <c r="X5821" t="str">
        <f>IF(ISBLANK(S5821),"Intersection","Non-Intersection")</f>
        <v>Intersection</v>
      </c>
      <c r="Y5821" t="s">
        <v>3827</v>
      </c>
      <c r="Z5821" t="str">
        <f t="shared" si="1306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07"/>
        <v>41275</v>
      </c>
      <c r="D5822" s="4">
        <f t="shared" si="1308"/>
        <v>0.81095890410958904</v>
      </c>
      <c r="E5822" s="3">
        <f t="shared" si="1309"/>
        <v>2013</v>
      </c>
      <c r="F5822" s="3">
        <f t="shared" si="1310"/>
        <v>10</v>
      </c>
      <c r="G5822" s="3">
        <f t="shared" si="1311"/>
        <v>24</v>
      </c>
      <c r="H5822" s="3">
        <f t="shared" si="1312"/>
        <v>11</v>
      </c>
      <c r="I5822" s="3">
        <f t="shared" si="1313"/>
        <v>0</v>
      </c>
      <c r="J5822" s="3">
        <f t="shared" si="1314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315"/>
        <v>YES</v>
      </c>
      <c r="Q5822" t="str">
        <f t="shared" si="1316"/>
        <v>NO</v>
      </c>
      <c r="R5822" t="str">
        <f t="shared" si="1317"/>
        <v>NO</v>
      </c>
      <c r="T5822" t="s">
        <v>14</v>
      </c>
      <c r="U5822" t="str">
        <f t="shared" si="1304"/>
        <v>Massachusetts Ave</v>
      </c>
      <c r="V5822" t="s">
        <v>342</v>
      </c>
      <c r="W5822" t="str">
        <f t="shared" si="1305"/>
        <v>Prospect St</v>
      </c>
      <c r="X5822" t="str">
        <f>IF(ISBLANK(S5822),"Intersection","Non-Intersection")</f>
        <v>Intersection</v>
      </c>
      <c r="Y5822" t="s">
        <v>2590</v>
      </c>
      <c r="Z5822" t="str">
        <f t="shared" si="1306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07"/>
        <v>41275</v>
      </c>
      <c r="D5823" s="4">
        <f t="shared" si="1308"/>
        <v>0.81095890410958904</v>
      </c>
      <c r="E5823" s="3">
        <f t="shared" si="1309"/>
        <v>2013</v>
      </c>
      <c r="F5823" s="3">
        <f t="shared" si="1310"/>
        <v>10</v>
      </c>
      <c r="G5823" s="3">
        <f t="shared" si="1311"/>
        <v>24</v>
      </c>
      <c r="H5823" s="3">
        <f t="shared" si="1312"/>
        <v>12</v>
      </c>
      <c r="I5823" s="3">
        <f t="shared" si="1313"/>
        <v>5</v>
      </c>
      <c r="J5823" s="3">
        <f t="shared" si="1314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315"/>
        <v>YES</v>
      </c>
      <c r="Q5823" t="str">
        <f t="shared" si="1316"/>
        <v>NO</v>
      </c>
      <c r="R5823" t="str">
        <f t="shared" si="1317"/>
        <v>NO</v>
      </c>
      <c r="T5823" t="s">
        <v>32</v>
      </c>
      <c r="U5823" t="str">
        <f t="shared" si="1304"/>
        <v>Main St</v>
      </c>
      <c r="V5823" t="s">
        <v>288</v>
      </c>
      <c r="W5823" t="str">
        <f t="shared" si="1305"/>
        <v>Galileo Galilei Way</v>
      </c>
      <c r="X5823" t="str">
        <f>IF(ISBLANK(S5823),"Intersection","Non-Intersection")</f>
        <v>Intersection</v>
      </c>
      <c r="Y5823" t="s">
        <v>2978</v>
      </c>
      <c r="Z5823" t="str">
        <f t="shared" si="1306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07"/>
        <v>41275</v>
      </c>
      <c r="D5824" s="4">
        <f t="shared" si="1308"/>
        <v>0.81095890410958904</v>
      </c>
      <c r="E5824" s="3">
        <f t="shared" si="1309"/>
        <v>2013</v>
      </c>
      <c r="F5824" s="3">
        <f t="shared" si="1310"/>
        <v>10</v>
      </c>
      <c r="G5824" s="3">
        <f t="shared" si="1311"/>
        <v>24</v>
      </c>
      <c r="H5824" s="3">
        <f t="shared" si="1312"/>
        <v>12</v>
      </c>
      <c r="I5824" s="3">
        <f t="shared" si="1313"/>
        <v>59</v>
      </c>
      <c r="J5824" s="3">
        <f t="shared" si="1314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315"/>
        <v>YES</v>
      </c>
      <c r="Q5824" t="str">
        <f t="shared" si="1316"/>
        <v>NO</v>
      </c>
      <c r="R5824" t="str">
        <f t="shared" si="1317"/>
        <v>NO</v>
      </c>
      <c r="T5824" t="s">
        <v>796</v>
      </c>
      <c r="U5824" t="str">
        <f t="shared" si="1304"/>
        <v>Portland St</v>
      </c>
      <c r="W5824" t="str">
        <f t="shared" si="1305"/>
        <v/>
      </c>
      <c r="X5824" t="str">
        <f>IF(ISBLANK(S5824),"Intersection","Non-Intersection")</f>
        <v>Intersection</v>
      </c>
      <c r="Y5824" t="s">
        <v>4115</v>
      </c>
      <c r="Z5824" t="str">
        <f t="shared" si="1306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07"/>
        <v>41275</v>
      </c>
      <c r="D5825" s="4">
        <f t="shared" si="1308"/>
        <v>0.81095890410958904</v>
      </c>
      <c r="E5825" s="3">
        <f t="shared" si="1309"/>
        <v>2013</v>
      </c>
      <c r="F5825" s="3">
        <f t="shared" si="1310"/>
        <v>10</v>
      </c>
      <c r="G5825" s="3">
        <f t="shared" si="1311"/>
        <v>24</v>
      </c>
      <c r="H5825" s="3">
        <f t="shared" si="1312"/>
        <v>15</v>
      </c>
      <c r="I5825" s="3">
        <f t="shared" si="1313"/>
        <v>0</v>
      </c>
      <c r="J5825" s="3">
        <f t="shared" si="1314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315"/>
        <v>YES</v>
      </c>
      <c r="Q5825" t="str">
        <f t="shared" si="1316"/>
        <v>NO</v>
      </c>
      <c r="R5825" t="str">
        <f t="shared" si="1317"/>
        <v>NO</v>
      </c>
      <c r="T5825" t="s">
        <v>4580</v>
      </c>
      <c r="U5825" t="str">
        <f t="shared" si="1304"/>
        <v>Berkeley St</v>
      </c>
      <c r="V5825" t="s">
        <v>6137</v>
      </c>
      <c r="W5825" t="str">
        <f t="shared" si="1305"/>
        <v>Sheridan Sq</v>
      </c>
      <c r="X5825" t="str">
        <f>IF(ISBLANK(S5825),"Intersection","Non-Intersection")</f>
        <v>Intersection</v>
      </c>
      <c r="Y5825" t="s">
        <v>6138</v>
      </c>
      <c r="Z5825" t="str">
        <f t="shared" si="1306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07"/>
        <v>41275</v>
      </c>
      <c r="D5826" s="4">
        <f t="shared" si="1308"/>
        <v>0.81095890410958904</v>
      </c>
      <c r="E5826" s="3">
        <f t="shared" si="1309"/>
        <v>2013</v>
      </c>
      <c r="F5826" s="3">
        <f t="shared" si="1310"/>
        <v>10</v>
      </c>
      <c r="G5826" s="3">
        <f t="shared" si="1311"/>
        <v>24</v>
      </c>
      <c r="H5826" s="3">
        <f t="shared" si="1312"/>
        <v>19</v>
      </c>
      <c r="I5826" s="3">
        <f t="shared" si="1313"/>
        <v>57</v>
      </c>
      <c r="J5826" s="3">
        <f t="shared" si="1314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315"/>
        <v>YES</v>
      </c>
      <c r="Q5826" t="str">
        <f t="shared" si="1316"/>
        <v>NO</v>
      </c>
      <c r="R5826" t="str">
        <f t="shared" si="1317"/>
        <v>NO</v>
      </c>
      <c r="T5826" t="s">
        <v>260</v>
      </c>
      <c r="U5826" t="str">
        <f t="shared" si="1304"/>
        <v>Third St</v>
      </c>
      <c r="V5826" t="s">
        <v>146</v>
      </c>
      <c r="W5826" t="str">
        <f t="shared" si="1305"/>
        <v>Spring St</v>
      </c>
      <c r="X5826" t="str">
        <f>IF(ISBLANK(S5826),"Intersection","Non-Intersection")</f>
        <v>Intersection</v>
      </c>
      <c r="Y5826" t="s">
        <v>544</v>
      </c>
      <c r="Z5826" t="str">
        <f t="shared" si="1306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07"/>
        <v>41275</v>
      </c>
      <c r="D5827" s="4">
        <f t="shared" si="1308"/>
        <v>0.81095890410958904</v>
      </c>
      <c r="E5827" s="3">
        <f t="shared" si="1309"/>
        <v>2013</v>
      </c>
      <c r="F5827" s="3">
        <f t="shared" si="1310"/>
        <v>10</v>
      </c>
      <c r="G5827" s="3">
        <f t="shared" si="1311"/>
        <v>24</v>
      </c>
      <c r="H5827" s="3">
        <f t="shared" si="1312"/>
        <v>21</v>
      </c>
      <c r="I5827" s="3">
        <f t="shared" si="1313"/>
        <v>59</v>
      </c>
      <c r="J5827" s="3">
        <f t="shared" si="1314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315"/>
        <v>YES</v>
      </c>
      <c r="Q5827" t="str">
        <f t="shared" si="1316"/>
        <v>NO</v>
      </c>
      <c r="R5827" t="str">
        <f t="shared" si="1317"/>
        <v>NO</v>
      </c>
      <c r="S5827">
        <v>266</v>
      </c>
      <c r="T5827" t="s">
        <v>14</v>
      </c>
      <c r="U5827" t="str">
        <f t="shared" ref="U5827:U5890" si="1318">TRIM(PROPER(T5827))</f>
        <v>Massachusetts Ave</v>
      </c>
      <c r="V5827" t="s">
        <v>249</v>
      </c>
      <c r="W5827" t="str">
        <f t="shared" ref="W5827:W5890" si="1319">TRIM(PROPER(V5827))</f>
        <v>Landsdowne St</v>
      </c>
      <c r="X5827" t="str">
        <f>IF(ISBLANK(S5827),"Intersection","Non-Intersection")</f>
        <v>Non-Intersection</v>
      </c>
      <c r="Y5827" t="s">
        <v>2853</v>
      </c>
      <c r="Z5827" t="str">
        <f t="shared" ref="Z5827:Z5890" si="1320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07"/>
        <v>41275</v>
      </c>
      <c r="D5828" s="4">
        <f t="shared" si="1308"/>
        <v>0.81095890410958904</v>
      </c>
      <c r="E5828" s="3">
        <f t="shared" si="1309"/>
        <v>2013</v>
      </c>
      <c r="F5828" s="3">
        <f t="shared" si="1310"/>
        <v>10</v>
      </c>
      <c r="G5828" s="3">
        <f t="shared" si="1311"/>
        <v>24</v>
      </c>
      <c r="H5828" s="3">
        <f t="shared" si="1312"/>
        <v>21</v>
      </c>
      <c r="I5828" s="3">
        <f t="shared" si="1313"/>
        <v>20</v>
      </c>
      <c r="J5828" s="3">
        <f t="shared" si="1314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315"/>
        <v>NO</v>
      </c>
      <c r="Q5828" t="str">
        <f t="shared" si="1316"/>
        <v>NO</v>
      </c>
      <c r="R5828" t="str">
        <f t="shared" si="1317"/>
        <v>NO</v>
      </c>
      <c r="S5828">
        <v>64</v>
      </c>
      <c r="T5828" t="s">
        <v>737</v>
      </c>
      <c r="U5828" t="str">
        <f t="shared" si="1318"/>
        <v>Willow St</v>
      </c>
      <c r="W5828" t="str">
        <f t="shared" si="1319"/>
        <v/>
      </c>
      <c r="X5828" t="str">
        <f>IF(ISBLANK(S5828),"Intersection","Non-Intersection")</f>
        <v>Non-Intersection</v>
      </c>
      <c r="Y5828" t="s">
        <v>6139</v>
      </c>
      <c r="Z5828" t="str">
        <f t="shared" si="1320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07"/>
        <v>41275</v>
      </c>
      <c r="D5829" s="4">
        <f t="shared" si="1308"/>
        <v>0.81369863013698629</v>
      </c>
      <c r="E5829" s="3">
        <f t="shared" si="1309"/>
        <v>2013</v>
      </c>
      <c r="F5829" s="3">
        <f t="shared" si="1310"/>
        <v>10</v>
      </c>
      <c r="G5829" s="3">
        <f t="shared" si="1311"/>
        <v>25</v>
      </c>
      <c r="H5829" s="3">
        <f t="shared" si="1312"/>
        <v>7</v>
      </c>
      <c r="I5829" s="3">
        <f t="shared" si="1313"/>
        <v>30</v>
      </c>
      <c r="J5829" s="3">
        <f t="shared" si="1314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315"/>
        <v>YES</v>
      </c>
      <c r="Q5829" t="str">
        <f t="shared" si="1316"/>
        <v>NO</v>
      </c>
      <c r="R5829" t="str">
        <f t="shared" si="1317"/>
        <v>NO</v>
      </c>
      <c r="S5829">
        <v>85</v>
      </c>
      <c r="T5829" t="s">
        <v>192</v>
      </c>
      <c r="U5829" t="str">
        <f t="shared" si="1318"/>
        <v>Hancock St</v>
      </c>
      <c r="W5829" t="str">
        <f t="shared" si="1319"/>
        <v/>
      </c>
      <c r="X5829" t="str">
        <f>IF(ISBLANK(S5829),"Intersection","Non-Intersection")</f>
        <v>Non-Intersection</v>
      </c>
      <c r="Y5829" t="s">
        <v>4729</v>
      </c>
      <c r="Z5829" t="str">
        <f t="shared" si="1320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07"/>
        <v>41275</v>
      </c>
      <c r="D5830" s="4">
        <f t="shared" si="1308"/>
        <v>0.81369863013698629</v>
      </c>
      <c r="E5830" s="3">
        <f t="shared" si="1309"/>
        <v>2013</v>
      </c>
      <c r="F5830" s="3">
        <f t="shared" si="1310"/>
        <v>10</v>
      </c>
      <c r="G5830" s="3">
        <f t="shared" si="1311"/>
        <v>25</v>
      </c>
      <c r="H5830" s="3">
        <f t="shared" si="1312"/>
        <v>7</v>
      </c>
      <c r="I5830" s="3">
        <f t="shared" si="1313"/>
        <v>50</v>
      </c>
      <c r="J5830" s="3">
        <f t="shared" si="1314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315"/>
        <v>YES</v>
      </c>
      <c r="Q5830" t="str">
        <f t="shared" si="1316"/>
        <v>NO</v>
      </c>
      <c r="R5830" t="str">
        <f t="shared" si="1317"/>
        <v>NO</v>
      </c>
      <c r="T5830" t="s">
        <v>105</v>
      </c>
      <c r="U5830" t="str">
        <f t="shared" si="1318"/>
        <v>Broadway</v>
      </c>
      <c r="V5830" t="s">
        <v>498</v>
      </c>
      <c r="W5830" t="str">
        <f t="shared" si="1319"/>
        <v>Ellery St</v>
      </c>
      <c r="X5830" t="str">
        <f>IF(ISBLANK(S5830),"Intersection","Non-Intersection")</f>
        <v>Intersection</v>
      </c>
      <c r="Y5830" t="s">
        <v>499</v>
      </c>
      <c r="Z5830" t="str">
        <f t="shared" si="1320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07"/>
        <v>41275</v>
      </c>
      <c r="D5831" s="4">
        <f t="shared" si="1308"/>
        <v>0.81369863013698629</v>
      </c>
      <c r="E5831" s="3">
        <f t="shared" si="1309"/>
        <v>2013</v>
      </c>
      <c r="F5831" s="3">
        <f t="shared" si="1310"/>
        <v>10</v>
      </c>
      <c r="G5831" s="3">
        <f t="shared" si="1311"/>
        <v>25</v>
      </c>
      <c r="H5831" s="3">
        <f t="shared" si="1312"/>
        <v>8</v>
      </c>
      <c r="I5831" s="3">
        <f t="shared" si="1313"/>
        <v>39</v>
      </c>
      <c r="J5831" s="3">
        <f t="shared" si="1314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315"/>
        <v>YES</v>
      </c>
      <c r="Q5831" t="str">
        <f t="shared" si="1316"/>
        <v>YES</v>
      </c>
      <c r="R5831" t="str">
        <f t="shared" si="1317"/>
        <v>NO</v>
      </c>
      <c r="T5831" t="s">
        <v>105</v>
      </c>
      <c r="U5831" t="str">
        <f t="shared" si="1318"/>
        <v>Broadway</v>
      </c>
      <c r="V5831" t="s">
        <v>2158</v>
      </c>
      <c r="W5831" t="str">
        <f t="shared" si="1319"/>
        <v>Lee St</v>
      </c>
      <c r="X5831" t="str">
        <f>IF(ISBLANK(S5831),"Intersection","Non-Intersection")</f>
        <v>Intersection</v>
      </c>
      <c r="Y5831" t="s">
        <v>2878</v>
      </c>
      <c r="Z5831" t="str">
        <f t="shared" si="1320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07"/>
        <v>41275</v>
      </c>
      <c r="D5832" s="4">
        <f t="shared" si="1308"/>
        <v>0.81369863013698629</v>
      </c>
      <c r="E5832" s="3">
        <f t="shared" si="1309"/>
        <v>2013</v>
      </c>
      <c r="F5832" s="3">
        <f t="shared" si="1310"/>
        <v>10</v>
      </c>
      <c r="G5832" s="3">
        <f t="shared" si="1311"/>
        <v>25</v>
      </c>
      <c r="H5832" s="3">
        <f t="shared" si="1312"/>
        <v>13</v>
      </c>
      <c r="I5832" s="3">
        <f t="shared" si="1313"/>
        <v>50</v>
      </c>
      <c r="J5832" s="3">
        <f t="shared" si="1314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315"/>
        <v>YES</v>
      </c>
      <c r="Q5832" t="str">
        <f t="shared" si="1316"/>
        <v>NO</v>
      </c>
      <c r="R5832" t="str">
        <f t="shared" si="1317"/>
        <v>NO</v>
      </c>
      <c r="S5832">
        <v>198</v>
      </c>
      <c r="T5832" t="s">
        <v>170</v>
      </c>
      <c r="U5832" t="str">
        <f t="shared" si="1318"/>
        <v>Alewife Brook Pky</v>
      </c>
      <c r="W5832" t="str">
        <f t="shared" si="1319"/>
        <v/>
      </c>
      <c r="X5832" t="str">
        <f>IF(ISBLANK(S5832),"Intersection","Non-Intersection")</f>
        <v>Non-Intersection</v>
      </c>
      <c r="Y5832" t="s">
        <v>4345</v>
      </c>
      <c r="Z5832" t="str">
        <f t="shared" si="1320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07"/>
        <v>41275</v>
      </c>
      <c r="D5833" s="4">
        <f t="shared" si="1308"/>
        <v>0.81369863013698629</v>
      </c>
      <c r="E5833" s="3">
        <f t="shared" si="1309"/>
        <v>2013</v>
      </c>
      <c r="F5833" s="3">
        <f t="shared" si="1310"/>
        <v>10</v>
      </c>
      <c r="G5833" s="3">
        <f t="shared" si="1311"/>
        <v>25</v>
      </c>
      <c r="H5833" s="3">
        <f t="shared" si="1312"/>
        <v>20</v>
      </c>
      <c r="I5833" s="3">
        <f t="shared" si="1313"/>
        <v>23</v>
      </c>
      <c r="J5833" s="3">
        <f t="shared" si="1314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315"/>
        <v>YES</v>
      </c>
      <c r="Q5833" t="str">
        <f t="shared" si="1316"/>
        <v>NO</v>
      </c>
      <c r="R5833" t="str">
        <f t="shared" si="1317"/>
        <v>NO</v>
      </c>
      <c r="S5833">
        <v>699</v>
      </c>
      <c r="T5833" t="s">
        <v>198</v>
      </c>
      <c r="U5833" t="str">
        <f t="shared" si="1318"/>
        <v>Mount Auburn St</v>
      </c>
      <c r="W5833" t="str">
        <f t="shared" si="1319"/>
        <v/>
      </c>
      <c r="X5833" t="str">
        <f>IF(ISBLANK(S5833),"Intersection","Non-Intersection")</f>
        <v>Non-Intersection</v>
      </c>
      <c r="Y5833" t="s">
        <v>585</v>
      </c>
      <c r="Z5833" t="str">
        <f t="shared" si="1320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07"/>
        <v>41275</v>
      </c>
      <c r="D5834" s="4">
        <f t="shared" si="1308"/>
        <v>0.81369863013698629</v>
      </c>
      <c r="E5834" s="3">
        <f t="shared" si="1309"/>
        <v>2013</v>
      </c>
      <c r="F5834" s="3">
        <f t="shared" si="1310"/>
        <v>10</v>
      </c>
      <c r="G5834" s="3">
        <f t="shared" si="1311"/>
        <v>25</v>
      </c>
      <c r="H5834" s="3">
        <f t="shared" si="1312"/>
        <v>20</v>
      </c>
      <c r="I5834" s="3">
        <f t="shared" si="1313"/>
        <v>36</v>
      </c>
      <c r="J5834" s="3">
        <f t="shared" si="1314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315"/>
        <v>YES</v>
      </c>
      <c r="Q5834" t="str">
        <f t="shared" si="1316"/>
        <v>NO</v>
      </c>
      <c r="R5834" t="str">
        <f t="shared" si="1317"/>
        <v>NO</v>
      </c>
      <c r="T5834" t="s">
        <v>260</v>
      </c>
      <c r="U5834" t="str">
        <f t="shared" si="1318"/>
        <v>Third St</v>
      </c>
      <c r="V5834" t="s">
        <v>146</v>
      </c>
      <c r="W5834" t="str">
        <f t="shared" si="1319"/>
        <v>Spring St</v>
      </c>
      <c r="X5834" t="str">
        <f>IF(ISBLANK(S5834),"Intersection","Non-Intersection")</f>
        <v>Intersection</v>
      </c>
      <c r="Y5834" t="s">
        <v>544</v>
      </c>
      <c r="Z5834" t="str">
        <f t="shared" si="1320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07"/>
        <v>41275</v>
      </c>
      <c r="D5835" s="4">
        <f t="shared" si="1308"/>
        <v>0.81369863013698629</v>
      </c>
      <c r="E5835" s="3">
        <f t="shared" si="1309"/>
        <v>2013</v>
      </c>
      <c r="F5835" s="3">
        <f t="shared" si="1310"/>
        <v>10</v>
      </c>
      <c r="G5835" s="3">
        <f t="shared" si="1311"/>
        <v>25</v>
      </c>
      <c r="H5835" s="3">
        <f t="shared" si="1312"/>
        <v>14</v>
      </c>
      <c r="I5835" s="3">
        <f t="shared" si="1313"/>
        <v>45</v>
      </c>
      <c r="J5835" s="3">
        <f t="shared" si="1314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315"/>
        <v>YES</v>
      </c>
      <c r="Q5835" t="str">
        <f t="shared" si="1316"/>
        <v>YES</v>
      </c>
      <c r="R5835" t="str">
        <f t="shared" si="1317"/>
        <v>NO</v>
      </c>
      <c r="T5835" t="s">
        <v>14</v>
      </c>
      <c r="U5835" t="str">
        <f t="shared" si="1318"/>
        <v>Massachusetts Ave</v>
      </c>
      <c r="V5835" t="s">
        <v>202</v>
      </c>
      <c r="W5835" t="str">
        <f t="shared" si="1319"/>
        <v>Vassar St</v>
      </c>
      <c r="X5835" t="str">
        <f>IF(ISBLANK(S5835),"Intersection","Non-Intersection")</f>
        <v>Intersection</v>
      </c>
      <c r="Y5835" t="s">
        <v>361</v>
      </c>
      <c r="Z5835" t="str">
        <f t="shared" si="1320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07"/>
        <v>41275</v>
      </c>
      <c r="D5836" s="4">
        <f t="shared" si="1308"/>
        <v>0.81643835616438354</v>
      </c>
      <c r="E5836" s="3">
        <f t="shared" si="1309"/>
        <v>2013</v>
      </c>
      <c r="F5836" s="3">
        <f t="shared" si="1310"/>
        <v>10</v>
      </c>
      <c r="G5836" s="3">
        <f t="shared" si="1311"/>
        <v>26</v>
      </c>
      <c r="H5836" s="3">
        <f t="shared" si="1312"/>
        <v>12</v>
      </c>
      <c r="I5836" s="3">
        <f t="shared" si="1313"/>
        <v>49</v>
      </c>
      <c r="J5836" s="3">
        <f t="shared" si="1314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315"/>
        <v>YES</v>
      </c>
      <c r="Q5836" t="str">
        <f t="shared" si="1316"/>
        <v>NO</v>
      </c>
      <c r="R5836" t="str">
        <f t="shared" si="1317"/>
        <v>NO</v>
      </c>
      <c r="T5836" t="s">
        <v>189</v>
      </c>
      <c r="U5836" t="str">
        <f t="shared" si="1318"/>
        <v>Windsor St</v>
      </c>
      <c r="V5836" t="s">
        <v>1316</v>
      </c>
      <c r="W5836" t="str">
        <f t="shared" si="1319"/>
        <v>State St</v>
      </c>
      <c r="X5836" t="str">
        <f>IF(ISBLANK(S5836),"Intersection","Non-Intersection")</f>
        <v>Intersection</v>
      </c>
      <c r="Y5836" t="s">
        <v>6141</v>
      </c>
      <c r="Z5836" t="str">
        <f t="shared" si="1320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07"/>
        <v>41275</v>
      </c>
      <c r="D5837" s="4">
        <f t="shared" si="1308"/>
        <v>0.81643835616438354</v>
      </c>
      <c r="E5837" s="3">
        <f t="shared" si="1309"/>
        <v>2013</v>
      </c>
      <c r="F5837" s="3">
        <f t="shared" si="1310"/>
        <v>10</v>
      </c>
      <c r="G5837" s="3">
        <f t="shared" si="1311"/>
        <v>26</v>
      </c>
      <c r="H5837" s="3">
        <f t="shared" si="1312"/>
        <v>17</v>
      </c>
      <c r="I5837" s="3">
        <f t="shared" si="1313"/>
        <v>4</v>
      </c>
      <c r="J5837" s="3">
        <f t="shared" si="1314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315"/>
        <v>YES</v>
      </c>
      <c r="Q5837" t="str">
        <f t="shared" si="1316"/>
        <v>NO</v>
      </c>
      <c r="R5837" t="str">
        <f t="shared" si="1317"/>
        <v>NO</v>
      </c>
      <c r="T5837" t="s">
        <v>15</v>
      </c>
      <c r="U5837" t="str">
        <f t="shared" si="1318"/>
        <v>Rindge Ave</v>
      </c>
      <c r="V5837" t="s">
        <v>4385</v>
      </c>
      <c r="W5837" t="str">
        <f t="shared" si="1319"/>
        <v>Cedar Sq</v>
      </c>
      <c r="X5837" t="str">
        <f>IF(ISBLANK(S5837),"Intersection","Non-Intersection")</f>
        <v>Intersection</v>
      </c>
      <c r="Y5837" t="s">
        <v>6143</v>
      </c>
      <c r="Z5837" t="str">
        <f t="shared" si="1320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07"/>
        <v>41275</v>
      </c>
      <c r="D5838" s="4">
        <f t="shared" si="1308"/>
        <v>0.81643835616438354</v>
      </c>
      <c r="E5838" s="3">
        <f t="shared" si="1309"/>
        <v>2013</v>
      </c>
      <c r="F5838" s="3">
        <f t="shared" si="1310"/>
        <v>10</v>
      </c>
      <c r="G5838" s="3">
        <f t="shared" si="1311"/>
        <v>26</v>
      </c>
      <c r="H5838" s="3">
        <f t="shared" si="1312"/>
        <v>12</v>
      </c>
      <c r="I5838" s="3">
        <f t="shared" si="1313"/>
        <v>59</v>
      </c>
      <c r="J5838" s="3">
        <f t="shared" si="1314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315"/>
        <v>YES</v>
      </c>
      <c r="Q5838" t="str">
        <f t="shared" si="1316"/>
        <v>NO</v>
      </c>
      <c r="R5838" t="str">
        <f t="shared" si="1317"/>
        <v>NO</v>
      </c>
      <c r="S5838">
        <v>49</v>
      </c>
      <c r="T5838" t="s">
        <v>268</v>
      </c>
      <c r="U5838" t="str">
        <f t="shared" si="1318"/>
        <v>White St</v>
      </c>
      <c r="W5838" t="str">
        <f t="shared" si="1319"/>
        <v/>
      </c>
      <c r="X5838" t="str">
        <f>IF(ISBLANK(S5838),"Intersection","Non-Intersection")</f>
        <v>Non-Intersection</v>
      </c>
      <c r="Y5838" t="s">
        <v>270</v>
      </c>
      <c r="Z5838" t="str">
        <f t="shared" si="1320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07"/>
        <v>41275</v>
      </c>
      <c r="D5839" s="4">
        <f t="shared" si="1308"/>
        <v>0.81917808219178079</v>
      </c>
      <c r="E5839" s="3">
        <f t="shared" si="1309"/>
        <v>2013</v>
      </c>
      <c r="F5839" s="3">
        <f t="shared" si="1310"/>
        <v>10</v>
      </c>
      <c r="G5839" s="3">
        <f t="shared" si="1311"/>
        <v>27</v>
      </c>
      <c r="H5839" s="3">
        <f t="shared" si="1312"/>
        <v>23</v>
      </c>
      <c r="I5839" s="3">
        <f t="shared" si="1313"/>
        <v>15</v>
      </c>
      <c r="J5839" s="3">
        <f t="shared" si="1314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315"/>
        <v>YES</v>
      </c>
      <c r="Q5839" t="str">
        <f t="shared" si="1316"/>
        <v>NO</v>
      </c>
      <c r="R5839" t="str">
        <f t="shared" si="1317"/>
        <v>NO</v>
      </c>
      <c r="S5839">
        <v>33</v>
      </c>
      <c r="T5839" t="s">
        <v>685</v>
      </c>
      <c r="U5839" t="str">
        <f t="shared" si="1318"/>
        <v>Warren St</v>
      </c>
      <c r="W5839" t="str">
        <f t="shared" si="1319"/>
        <v/>
      </c>
      <c r="X5839" t="str">
        <f>IF(ISBLANK(S5839),"Intersection","Non-Intersection")</f>
        <v>Non-Intersection</v>
      </c>
      <c r="Y5839" t="s">
        <v>6144</v>
      </c>
      <c r="Z5839" t="str">
        <f t="shared" si="1320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321">EOMONTH(B5840,MONTH(B5840)*-1)+1</f>
        <v>41275</v>
      </c>
      <c r="D5840" s="4">
        <f t="shared" ref="D5840:D5900" si="1322">YEARFRAC(C5840,B5840,1)</f>
        <v>0.81917808219178079</v>
      </c>
      <c r="E5840" s="3">
        <f t="shared" ref="E5840:E5900" si="1323">YEAR(B5840)</f>
        <v>2013</v>
      </c>
      <c r="F5840" s="3">
        <f t="shared" ref="F5840:F5900" si="1324">MONTH(B5840)</f>
        <v>10</v>
      </c>
      <c r="G5840" s="3">
        <f t="shared" ref="G5840:G5900" si="1325">DAY(B5840)</f>
        <v>27</v>
      </c>
      <c r="H5840" s="3">
        <f t="shared" ref="H5840:H5900" si="1326">HOUR(B5840)</f>
        <v>18</v>
      </c>
      <c r="I5840" s="3">
        <f t="shared" ref="I5840:I5900" si="1327">MINUTE(B5840)</f>
        <v>24</v>
      </c>
      <c r="J5840" s="3">
        <f t="shared" ref="J5840:J5900" si="1328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329">IF(OR(N5840="Auto",O5840="Auto"),"YES",IF(OR(N5840="Taxi",O5840="Taxi"),"YES",IF(OR(N5840="Van",O5840="Van"),"YES",IF(OR(N5840="Truck",O5840="Truck"),"YES","NO"))))</f>
        <v>YES</v>
      </c>
      <c r="Q5840" t="str">
        <f t="shared" ref="Q5840:Q5900" si="1330">IF(OR(N5840="Bicycle",O5840="Bicycle"),"YES","NO")</f>
        <v>YES</v>
      </c>
      <c r="R5840" t="str">
        <f t="shared" ref="R5840:R5900" si="1331">IF(OR(N5840="Pedestrian",O5840="Pedestrian"),"YES","NO")</f>
        <v>NO</v>
      </c>
      <c r="T5840" t="s">
        <v>74</v>
      </c>
      <c r="U5840" t="str">
        <f t="shared" si="1318"/>
        <v>Hampshire St</v>
      </c>
      <c r="V5840" t="s">
        <v>667</v>
      </c>
      <c r="W5840" t="str">
        <f t="shared" si="1319"/>
        <v>Tremont St</v>
      </c>
      <c r="X5840" t="str">
        <f>IF(ISBLANK(S5840),"Intersection","Non-Intersection")</f>
        <v>Intersection</v>
      </c>
      <c r="Y5840" t="s">
        <v>668</v>
      </c>
      <c r="Z5840" t="str">
        <f t="shared" si="1320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321"/>
        <v>41275</v>
      </c>
      <c r="D5841" s="4">
        <f t="shared" si="1322"/>
        <v>0.81917808219178079</v>
      </c>
      <c r="E5841" s="3">
        <f t="shared" si="1323"/>
        <v>2013</v>
      </c>
      <c r="F5841" s="3">
        <f t="shared" si="1324"/>
        <v>10</v>
      </c>
      <c r="G5841" s="3">
        <f t="shared" si="1325"/>
        <v>27</v>
      </c>
      <c r="H5841" s="3">
        <f t="shared" si="1326"/>
        <v>11</v>
      </c>
      <c r="I5841" s="3">
        <f t="shared" si="1327"/>
        <v>46</v>
      </c>
      <c r="J5841" s="3">
        <f t="shared" si="1328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329"/>
        <v>YES</v>
      </c>
      <c r="Q5841" t="str">
        <f t="shared" si="1330"/>
        <v>NO</v>
      </c>
      <c r="R5841" t="str">
        <f t="shared" si="1331"/>
        <v>NO</v>
      </c>
      <c r="T5841" t="s">
        <v>1502</v>
      </c>
      <c r="U5841" t="str">
        <f t="shared" si="1318"/>
        <v>Gore St</v>
      </c>
      <c r="V5841" t="s">
        <v>260</v>
      </c>
      <c r="W5841" t="str">
        <f t="shared" si="1319"/>
        <v>Third St</v>
      </c>
      <c r="X5841" t="str">
        <f>IF(ISBLANK(S5841),"Intersection","Non-Intersection")</f>
        <v>Intersection</v>
      </c>
      <c r="Y5841" t="s">
        <v>2873</v>
      </c>
      <c r="Z5841" t="str">
        <f t="shared" si="1320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321"/>
        <v>41275</v>
      </c>
      <c r="D5842" s="4">
        <f t="shared" si="1322"/>
        <v>0.81917808219178079</v>
      </c>
      <c r="E5842" s="3">
        <f t="shared" si="1323"/>
        <v>2013</v>
      </c>
      <c r="F5842" s="3">
        <f t="shared" si="1324"/>
        <v>10</v>
      </c>
      <c r="G5842" s="3">
        <f t="shared" si="1325"/>
        <v>27</v>
      </c>
      <c r="H5842" s="3">
        <f t="shared" si="1326"/>
        <v>18</v>
      </c>
      <c r="I5842" s="3">
        <f t="shared" si="1327"/>
        <v>49</v>
      </c>
      <c r="J5842" s="3">
        <f t="shared" si="1328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329"/>
        <v>YES</v>
      </c>
      <c r="Q5842" t="str">
        <f t="shared" si="1330"/>
        <v>YES</v>
      </c>
      <c r="R5842" t="str">
        <f t="shared" si="1331"/>
        <v>NO</v>
      </c>
      <c r="T5842" t="s">
        <v>198</v>
      </c>
      <c r="U5842" t="str">
        <f t="shared" si="1318"/>
        <v>Mount Auburn St</v>
      </c>
      <c r="V5842" t="s">
        <v>229</v>
      </c>
      <c r="W5842" t="str">
        <f t="shared" si="1319"/>
        <v>Dewolfe St</v>
      </c>
      <c r="X5842" t="str">
        <f>IF(ISBLANK(S5842),"Intersection","Non-Intersection")</f>
        <v>Intersection</v>
      </c>
      <c r="Y5842" t="s">
        <v>1927</v>
      </c>
      <c r="Z5842" t="str">
        <f t="shared" si="1320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321"/>
        <v>41275</v>
      </c>
      <c r="D5843" s="4">
        <f t="shared" si="1322"/>
        <v>0.81917808219178079</v>
      </c>
      <c r="E5843" s="3">
        <f t="shared" si="1323"/>
        <v>2013</v>
      </c>
      <c r="F5843" s="3">
        <f t="shared" si="1324"/>
        <v>10</v>
      </c>
      <c r="G5843" s="3">
        <f t="shared" si="1325"/>
        <v>27</v>
      </c>
      <c r="H5843" s="3">
        <f t="shared" si="1326"/>
        <v>10</v>
      </c>
      <c r="I5843" s="3">
        <f t="shared" si="1327"/>
        <v>44</v>
      </c>
      <c r="J5843" s="3">
        <f t="shared" si="1328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329"/>
        <v>YES</v>
      </c>
      <c r="Q5843" t="str">
        <f t="shared" si="1330"/>
        <v>NO</v>
      </c>
      <c r="R5843" t="str">
        <f t="shared" si="1331"/>
        <v>NO</v>
      </c>
      <c r="T5843" t="s">
        <v>186</v>
      </c>
      <c r="U5843" t="str">
        <f t="shared" si="1318"/>
        <v>Concord Ave</v>
      </c>
      <c r="V5843" t="s">
        <v>92</v>
      </c>
      <c r="W5843" t="str">
        <f t="shared" si="1319"/>
        <v>Wheeler St</v>
      </c>
      <c r="X5843" t="str">
        <f>IF(ISBLANK(S5843),"Intersection","Non-Intersection")</f>
        <v>Intersection</v>
      </c>
      <c r="Y5843" t="s">
        <v>1072</v>
      </c>
      <c r="Z5843" t="str">
        <f t="shared" si="1320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321"/>
        <v>41275</v>
      </c>
      <c r="D5844" s="4">
        <f t="shared" si="1322"/>
        <v>0.81917808219178079</v>
      </c>
      <c r="E5844" s="3">
        <f t="shared" si="1323"/>
        <v>2013</v>
      </c>
      <c r="F5844" s="3">
        <f t="shared" si="1324"/>
        <v>10</v>
      </c>
      <c r="G5844" s="3">
        <f t="shared" si="1325"/>
        <v>27</v>
      </c>
      <c r="H5844" s="3">
        <f t="shared" si="1326"/>
        <v>15</v>
      </c>
      <c r="I5844" s="3">
        <f t="shared" si="1327"/>
        <v>0</v>
      </c>
      <c r="J5844" s="3">
        <f t="shared" si="1328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329"/>
        <v>YES</v>
      </c>
      <c r="Q5844" t="str">
        <f t="shared" si="1330"/>
        <v>NO</v>
      </c>
      <c r="R5844" t="str">
        <f t="shared" si="1331"/>
        <v>NO</v>
      </c>
      <c r="S5844">
        <v>303</v>
      </c>
      <c r="T5844" t="s">
        <v>260</v>
      </c>
      <c r="U5844" t="str">
        <f t="shared" si="1318"/>
        <v>Third St</v>
      </c>
      <c r="W5844" t="str">
        <f t="shared" si="1319"/>
        <v/>
      </c>
      <c r="X5844" t="str">
        <f>IF(ISBLANK(S5844),"Intersection","Non-Intersection")</f>
        <v>Non-Intersection</v>
      </c>
      <c r="Y5844" t="s">
        <v>2856</v>
      </c>
      <c r="Z5844" t="str">
        <f t="shared" si="1320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321"/>
        <v>41275</v>
      </c>
      <c r="D5845" s="4">
        <f t="shared" si="1322"/>
        <v>0.82191780821917804</v>
      </c>
      <c r="E5845" s="3">
        <f t="shared" si="1323"/>
        <v>2013</v>
      </c>
      <c r="F5845" s="3">
        <f t="shared" si="1324"/>
        <v>10</v>
      </c>
      <c r="G5845" s="3">
        <f t="shared" si="1325"/>
        <v>28</v>
      </c>
      <c r="H5845" s="3">
        <f t="shared" si="1326"/>
        <v>16</v>
      </c>
      <c r="I5845" s="3">
        <f t="shared" si="1327"/>
        <v>34</v>
      </c>
      <c r="J5845" s="3">
        <f t="shared" si="1328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329"/>
        <v>YES</v>
      </c>
      <c r="Q5845" t="str">
        <f t="shared" si="1330"/>
        <v>NO</v>
      </c>
      <c r="R5845" t="str">
        <f t="shared" si="1331"/>
        <v>NO</v>
      </c>
      <c r="S5845">
        <v>17</v>
      </c>
      <c r="T5845" t="s">
        <v>2683</v>
      </c>
      <c r="U5845" t="str">
        <f t="shared" si="1318"/>
        <v>Channing St</v>
      </c>
      <c r="V5845" t="s">
        <v>198</v>
      </c>
      <c r="W5845" t="str">
        <f t="shared" si="1319"/>
        <v>Mount Auburn St</v>
      </c>
      <c r="X5845" t="str">
        <f>IF(ISBLANK(S5845),"Intersection","Non-Intersection")</f>
        <v>Non-Intersection</v>
      </c>
      <c r="Y5845" t="s">
        <v>3112</v>
      </c>
      <c r="Z5845" t="str">
        <f t="shared" si="1320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321"/>
        <v>41275</v>
      </c>
      <c r="D5846" s="4">
        <f t="shared" si="1322"/>
        <v>0.82191780821917804</v>
      </c>
      <c r="E5846" s="3">
        <f t="shared" si="1323"/>
        <v>2013</v>
      </c>
      <c r="F5846" s="3">
        <f t="shared" si="1324"/>
        <v>10</v>
      </c>
      <c r="G5846" s="3">
        <f t="shared" si="1325"/>
        <v>28</v>
      </c>
      <c r="H5846" s="3">
        <f t="shared" si="1326"/>
        <v>10</v>
      </c>
      <c r="I5846" s="3">
        <f t="shared" si="1327"/>
        <v>30</v>
      </c>
      <c r="J5846" s="3">
        <f t="shared" si="1328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329"/>
        <v>YES</v>
      </c>
      <c r="Q5846" t="str">
        <f t="shared" si="1330"/>
        <v>NO</v>
      </c>
      <c r="R5846" t="str">
        <f t="shared" si="1331"/>
        <v>YES</v>
      </c>
      <c r="T5846" t="s">
        <v>37</v>
      </c>
      <c r="U5846" t="str">
        <f t="shared" si="1318"/>
        <v>Magazine St</v>
      </c>
      <c r="V5846" t="s">
        <v>312</v>
      </c>
      <c r="W5846" t="str">
        <f t="shared" si="1319"/>
        <v>Auburn St</v>
      </c>
      <c r="X5846" t="str">
        <f>IF(ISBLANK(S5846),"Intersection","Non-Intersection")</f>
        <v>Intersection</v>
      </c>
      <c r="Y5846" t="s">
        <v>313</v>
      </c>
      <c r="Z5846" t="str">
        <f t="shared" si="1320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321"/>
        <v>41275</v>
      </c>
      <c r="D5847" s="4">
        <f t="shared" si="1322"/>
        <v>0.8246575342465754</v>
      </c>
      <c r="E5847" s="3">
        <f t="shared" si="1323"/>
        <v>2013</v>
      </c>
      <c r="F5847" s="3">
        <f t="shared" si="1324"/>
        <v>10</v>
      </c>
      <c r="G5847" s="3">
        <f t="shared" si="1325"/>
        <v>29</v>
      </c>
      <c r="H5847" s="3">
        <f t="shared" si="1326"/>
        <v>9</v>
      </c>
      <c r="I5847" s="3">
        <f t="shared" si="1327"/>
        <v>49</v>
      </c>
      <c r="J5847" s="3">
        <f t="shared" si="1328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329"/>
        <v>YES</v>
      </c>
      <c r="Q5847" t="str">
        <f t="shared" si="1330"/>
        <v>NO</v>
      </c>
      <c r="R5847" t="str">
        <f t="shared" si="1331"/>
        <v>NO</v>
      </c>
      <c r="T5847" t="s">
        <v>958</v>
      </c>
      <c r="U5847" t="str">
        <f t="shared" si="1318"/>
        <v>Pacific St</v>
      </c>
      <c r="V5847" t="s">
        <v>119</v>
      </c>
      <c r="W5847" t="str">
        <f t="shared" si="1319"/>
        <v>Albany St</v>
      </c>
      <c r="X5847" t="str">
        <f>IF(ISBLANK(S5847),"Intersection","Non-Intersection")</f>
        <v>Intersection</v>
      </c>
      <c r="Y5847" t="s">
        <v>2448</v>
      </c>
      <c r="Z5847" t="str">
        <f t="shared" si="1320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321"/>
        <v>41275</v>
      </c>
      <c r="D5848" s="4">
        <f t="shared" si="1322"/>
        <v>0.8246575342465754</v>
      </c>
      <c r="E5848" s="3">
        <f t="shared" si="1323"/>
        <v>2013</v>
      </c>
      <c r="F5848" s="3">
        <f t="shared" si="1324"/>
        <v>10</v>
      </c>
      <c r="G5848" s="3">
        <f t="shared" si="1325"/>
        <v>29</v>
      </c>
      <c r="H5848" s="3">
        <f t="shared" si="1326"/>
        <v>11</v>
      </c>
      <c r="I5848" s="3">
        <f t="shared" si="1327"/>
        <v>45</v>
      </c>
      <c r="J5848" s="3">
        <f t="shared" si="1328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329"/>
        <v>YES</v>
      </c>
      <c r="Q5848" t="str">
        <f t="shared" si="1330"/>
        <v>NO</v>
      </c>
      <c r="R5848" t="str">
        <f t="shared" si="1331"/>
        <v>NO</v>
      </c>
      <c r="S5848">
        <v>330</v>
      </c>
      <c r="T5848" t="s">
        <v>41</v>
      </c>
      <c r="U5848" t="str">
        <f t="shared" si="1318"/>
        <v>River St</v>
      </c>
      <c r="W5848" t="str">
        <f t="shared" si="1319"/>
        <v/>
      </c>
      <c r="X5848" t="str">
        <f>IF(ISBLANK(S5848),"Intersection","Non-Intersection")</f>
        <v>Non-Intersection</v>
      </c>
      <c r="Y5848" t="s">
        <v>1098</v>
      </c>
      <c r="Z5848" t="str">
        <f t="shared" si="1320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321"/>
        <v>41275</v>
      </c>
      <c r="D5849" s="4">
        <f t="shared" si="1322"/>
        <v>0.8246575342465754</v>
      </c>
      <c r="E5849" s="3">
        <f t="shared" si="1323"/>
        <v>2013</v>
      </c>
      <c r="F5849" s="3">
        <f t="shared" si="1324"/>
        <v>10</v>
      </c>
      <c r="G5849" s="3">
        <f t="shared" si="1325"/>
        <v>29</v>
      </c>
      <c r="H5849" s="3">
        <f t="shared" si="1326"/>
        <v>12</v>
      </c>
      <c r="I5849" s="3">
        <f t="shared" si="1327"/>
        <v>17</v>
      </c>
      <c r="J5849" s="3">
        <f t="shared" si="1328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329"/>
        <v>YES</v>
      </c>
      <c r="Q5849" t="str">
        <f t="shared" si="1330"/>
        <v>YES</v>
      </c>
      <c r="R5849" t="str">
        <f t="shared" si="1331"/>
        <v>NO</v>
      </c>
      <c r="S5849">
        <v>1781</v>
      </c>
      <c r="T5849" t="s">
        <v>14</v>
      </c>
      <c r="U5849" t="str">
        <f t="shared" si="1318"/>
        <v>Massachusetts Ave</v>
      </c>
      <c r="V5849" t="s">
        <v>2694</v>
      </c>
      <c r="W5849" t="str">
        <f t="shared" si="1319"/>
        <v>Lancaster St</v>
      </c>
      <c r="X5849" t="str">
        <f>IF(ISBLANK(S5849),"Intersection","Non-Intersection")</f>
        <v>Non-Intersection</v>
      </c>
      <c r="Y5849" t="s">
        <v>6146</v>
      </c>
      <c r="Z5849" t="str">
        <f t="shared" si="1320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321"/>
        <v>41275</v>
      </c>
      <c r="D5850" s="4">
        <f t="shared" si="1322"/>
        <v>0.8246575342465754</v>
      </c>
      <c r="E5850" s="3">
        <f t="shared" si="1323"/>
        <v>2013</v>
      </c>
      <c r="F5850" s="3">
        <f t="shared" si="1324"/>
        <v>10</v>
      </c>
      <c r="G5850" s="3">
        <f t="shared" si="1325"/>
        <v>29</v>
      </c>
      <c r="H5850" s="3">
        <f t="shared" si="1326"/>
        <v>11</v>
      </c>
      <c r="I5850" s="3">
        <f t="shared" si="1327"/>
        <v>55</v>
      </c>
      <c r="J5850" s="3">
        <f t="shared" si="1328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329"/>
        <v>YES</v>
      </c>
      <c r="Q5850" t="str">
        <f t="shared" si="1330"/>
        <v>NO</v>
      </c>
      <c r="R5850" t="str">
        <f t="shared" si="1331"/>
        <v>NO</v>
      </c>
      <c r="S5850">
        <v>563</v>
      </c>
      <c r="T5850" t="s">
        <v>108</v>
      </c>
      <c r="U5850" t="str">
        <f t="shared" si="1318"/>
        <v>Franklin St</v>
      </c>
      <c r="W5850" t="str">
        <f t="shared" si="1319"/>
        <v/>
      </c>
      <c r="X5850" t="str">
        <f>IF(ISBLANK(S5850),"Intersection","Non-Intersection")</f>
        <v>Non-Intersection</v>
      </c>
      <c r="Y5850" t="s">
        <v>6147</v>
      </c>
      <c r="Z5850" t="str">
        <f t="shared" si="1320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321"/>
        <v>41275</v>
      </c>
      <c r="D5851" s="4">
        <f t="shared" si="1322"/>
        <v>0.8246575342465754</v>
      </c>
      <c r="E5851" s="3">
        <f t="shared" si="1323"/>
        <v>2013</v>
      </c>
      <c r="F5851" s="3">
        <f t="shared" si="1324"/>
        <v>10</v>
      </c>
      <c r="G5851" s="3">
        <f t="shared" si="1325"/>
        <v>29</v>
      </c>
      <c r="H5851" s="3">
        <f t="shared" si="1326"/>
        <v>17</v>
      </c>
      <c r="I5851" s="3">
        <f t="shared" si="1327"/>
        <v>48</v>
      </c>
      <c r="J5851" s="3">
        <f t="shared" si="1328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329"/>
        <v>YES</v>
      </c>
      <c r="Q5851" t="str">
        <f t="shared" si="1330"/>
        <v>YES</v>
      </c>
      <c r="R5851" t="str">
        <f t="shared" si="1331"/>
        <v>NO</v>
      </c>
      <c r="T5851" t="s">
        <v>14</v>
      </c>
      <c r="U5851" t="str">
        <f t="shared" si="1318"/>
        <v>Massachusetts Ave</v>
      </c>
      <c r="V5851" t="s">
        <v>1582</v>
      </c>
      <c r="W5851" t="str">
        <f t="shared" si="1319"/>
        <v>Gold Star Rd</v>
      </c>
      <c r="X5851" t="str">
        <f>IF(ISBLANK(S5851),"Intersection","Non-Intersection")</f>
        <v>Intersection</v>
      </c>
      <c r="Y5851" t="s">
        <v>1625</v>
      </c>
      <c r="Z5851" t="str">
        <f t="shared" si="1320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321"/>
        <v>41275</v>
      </c>
      <c r="D5852" s="4">
        <f t="shared" si="1322"/>
        <v>0.8246575342465754</v>
      </c>
      <c r="E5852" s="3">
        <f t="shared" si="1323"/>
        <v>2013</v>
      </c>
      <c r="F5852" s="3">
        <f t="shared" si="1324"/>
        <v>10</v>
      </c>
      <c r="G5852" s="3">
        <f t="shared" si="1325"/>
        <v>29</v>
      </c>
      <c r="H5852" s="3">
        <f t="shared" si="1326"/>
        <v>8</v>
      </c>
      <c r="I5852" s="3">
        <f t="shared" si="1327"/>
        <v>0</v>
      </c>
      <c r="J5852" s="3">
        <f t="shared" si="1328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329"/>
        <v>YES</v>
      </c>
      <c r="Q5852" t="str">
        <f t="shared" si="1330"/>
        <v>NO</v>
      </c>
      <c r="R5852" t="str">
        <f t="shared" si="1331"/>
        <v>NO</v>
      </c>
      <c r="S5852">
        <v>1920</v>
      </c>
      <c r="T5852" t="s">
        <v>14</v>
      </c>
      <c r="U5852" t="str">
        <f t="shared" si="1318"/>
        <v>Massachusetts Ave</v>
      </c>
      <c r="V5852" t="s">
        <v>340</v>
      </c>
      <c r="W5852" t="str">
        <f t="shared" si="1319"/>
        <v>Davenport St</v>
      </c>
      <c r="X5852" t="str">
        <f>IF(ISBLANK(S5852),"Intersection","Non-Intersection")</f>
        <v>Non-Intersection</v>
      </c>
      <c r="Y5852" t="s">
        <v>1333</v>
      </c>
      <c r="Z5852" t="str">
        <f t="shared" si="1320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321"/>
        <v>41275</v>
      </c>
      <c r="D5853" s="4">
        <f t="shared" si="1322"/>
        <v>0.8246575342465754</v>
      </c>
      <c r="E5853" s="3">
        <f t="shared" si="1323"/>
        <v>2013</v>
      </c>
      <c r="F5853" s="3">
        <f t="shared" si="1324"/>
        <v>10</v>
      </c>
      <c r="G5853" s="3">
        <f t="shared" si="1325"/>
        <v>29</v>
      </c>
      <c r="H5853" s="3">
        <f t="shared" si="1326"/>
        <v>21</v>
      </c>
      <c r="I5853" s="3">
        <f t="shared" si="1327"/>
        <v>26</v>
      </c>
      <c r="J5853" s="3">
        <f t="shared" si="1328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329"/>
        <v>YES</v>
      </c>
      <c r="Q5853" t="str">
        <f t="shared" si="1330"/>
        <v>NO</v>
      </c>
      <c r="R5853" t="str">
        <f t="shared" si="1331"/>
        <v>NO</v>
      </c>
      <c r="T5853" t="s">
        <v>14</v>
      </c>
      <c r="U5853" t="str">
        <f t="shared" si="1318"/>
        <v>Massachusetts Ave</v>
      </c>
      <c r="V5853" t="s">
        <v>2240</v>
      </c>
      <c r="W5853" t="str">
        <f t="shared" si="1319"/>
        <v>Bay St</v>
      </c>
      <c r="X5853" t="str">
        <f>IF(ISBLANK(S5853),"Intersection","Non-Intersection")</f>
        <v>Intersection</v>
      </c>
      <c r="Y5853" t="s">
        <v>2241</v>
      </c>
      <c r="Z5853" t="str">
        <f t="shared" si="1320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321"/>
        <v>41275</v>
      </c>
      <c r="D5854" s="4">
        <f t="shared" si="1322"/>
        <v>0.8246575342465754</v>
      </c>
      <c r="E5854" s="3">
        <f t="shared" si="1323"/>
        <v>2013</v>
      </c>
      <c r="F5854" s="3">
        <f t="shared" si="1324"/>
        <v>10</v>
      </c>
      <c r="G5854" s="3">
        <f t="shared" si="1325"/>
        <v>29</v>
      </c>
      <c r="H5854" s="3">
        <f t="shared" si="1326"/>
        <v>7</v>
      </c>
      <c r="I5854" s="3">
        <f t="shared" si="1327"/>
        <v>59</v>
      </c>
      <c r="J5854" s="3">
        <f t="shared" si="1328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329"/>
        <v>YES</v>
      </c>
      <c r="Q5854" t="str">
        <f t="shared" si="1330"/>
        <v>NO</v>
      </c>
      <c r="R5854" t="str">
        <f t="shared" si="1331"/>
        <v>NO</v>
      </c>
      <c r="S5854">
        <v>50</v>
      </c>
      <c r="T5854" t="s">
        <v>1582</v>
      </c>
      <c r="U5854" t="str">
        <f t="shared" si="1318"/>
        <v>Gold Star Rd</v>
      </c>
      <c r="W5854" t="str">
        <f t="shared" si="1319"/>
        <v/>
      </c>
      <c r="X5854" t="str">
        <f>IF(ISBLANK(S5854),"Intersection","Non-Intersection")</f>
        <v>Non-Intersection</v>
      </c>
      <c r="Y5854" t="s">
        <v>6149</v>
      </c>
      <c r="Z5854" t="str">
        <f t="shared" si="1320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321"/>
        <v>41275</v>
      </c>
      <c r="D5855" s="4">
        <f t="shared" si="1322"/>
        <v>0.8246575342465754</v>
      </c>
      <c r="E5855" s="3">
        <f t="shared" si="1323"/>
        <v>2013</v>
      </c>
      <c r="F5855" s="3">
        <f t="shared" si="1324"/>
        <v>10</v>
      </c>
      <c r="G5855" s="3">
        <f t="shared" si="1325"/>
        <v>29</v>
      </c>
      <c r="H5855" s="3">
        <f t="shared" si="1326"/>
        <v>16</v>
      </c>
      <c r="I5855" s="3">
        <f t="shared" si="1327"/>
        <v>47</v>
      </c>
      <c r="J5855" s="3">
        <f t="shared" si="1328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329"/>
        <v>YES</v>
      </c>
      <c r="Q5855" t="str">
        <f t="shared" si="1330"/>
        <v>NO</v>
      </c>
      <c r="R5855" t="str">
        <f t="shared" si="1331"/>
        <v>NO</v>
      </c>
      <c r="T5855" t="s">
        <v>202</v>
      </c>
      <c r="U5855" t="str">
        <f t="shared" si="1318"/>
        <v>Vassar St</v>
      </c>
      <c r="V5855" t="s">
        <v>5681</v>
      </c>
      <c r="W5855" t="str">
        <f t="shared" si="1319"/>
        <v>Amherst Alley</v>
      </c>
      <c r="X5855" t="str">
        <f>IF(ISBLANK(S5855),"Intersection","Non-Intersection")</f>
        <v>Intersection</v>
      </c>
      <c r="Y5855" t="s">
        <v>6151</v>
      </c>
      <c r="Z5855" t="str">
        <f t="shared" si="1320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321"/>
        <v>41275</v>
      </c>
      <c r="D5856" s="4">
        <f t="shared" si="1322"/>
        <v>0.82739726027397265</v>
      </c>
      <c r="E5856" s="3">
        <f t="shared" si="1323"/>
        <v>2013</v>
      </c>
      <c r="F5856" s="3">
        <f t="shared" si="1324"/>
        <v>10</v>
      </c>
      <c r="G5856" s="3">
        <f t="shared" si="1325"/>
        <v>30</v>
      </c>
      <c r="H5856" s="3">
        <f t="shared" si="1326"/>
        <v>18</v>
      </c>
      <c r="I5856" s="3">
        <f t="shared" si="1327"/>
        <v>59</v>
      </c>
      <c r="J5856" s="3">
        <f t="shared" si="1328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329"/>
        <v>YES</v>
      </c>
      <c r="Q5856" t="str">
        <f t="shared" si="1330"/>
        <v>NO</v>
      </c>
      <c r="R5856" t="str">
        <f t="shared" si="1331"/>
        <v>NO</v>
      </c>
      <c r="S5856">
        <v>49</v>
      </c>
      <c r="T5856" t="s">
        <v>198</v>
      </c>
      <c r="U5856" t="str">
        <f t="shared" si="1318"/>
        <v>Mount Auburn St</v>
      </c>
      <c r="W5856" t="str">
        <f t="shared" si="1319"/>
        <v/>
      </c>
      <c r="X5856" t="str">
        <f>IF(ISBLANK(S5856),"Intersection","Non-Intersection")</f>
        <v>Non-Intersection</v>
      </c>
      <c r="Y5856" t="s">
        <v>6153</v>
      </c>
      <c r="Z5856" t="str">
        <f t="shared" si="1320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321"/>
        <v>41275</v>
      </c>
      <c r="D5857" s="4">
        <f t="shared" si="1322"/>
        <v>0.82739726027397265</v>
      </c>
      <c r="E5857" s="3">
        <f t="shared" si="1323"/>
        <v>2013</v>
      </c>
      <c r="F5857" s="3">
        <f t="shared" si="1324"/>
        <v>10</v>
      </c>
      <c r="G5857" s="3">
        <f t="shared" si="1325"/>
        <v>30</v>
      </c>
      <c r="H5857" s="3">
        <f t="shared" si="1326"/>
        <v>7</v>
      </c>
      <c r="I5857" s="3">
        <f t="shared" si="1327"/>
        <v>15</v>
      </c>
      <c r="J5857" s="3">
        <f t="shared" si="1328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329"/>
        <v>YES</v>
      </c>
      <c r="Q5857" t="str">
        <f t="shared" si="1330"/>
        <v>NO</v>
      </c>
      <c r="R5857" t="str">
        <f t="shared" si="1331"/>
        <v>NO</v>
      </c>
      <c r="T5857" t="s">
        <v>19</v>
      </c>
      <c r="U5857" t="str">
        <f t="shared" si="1318"/>
        <v>Cambridge St</v>
      </c>
      <c r="V5857" t="s">
        <v>387</v>
      </c>
      <c r="W5857" t="str">
        <f t="shared" si="1319"/>
        <v>Antrim St</v>
      </c>
      <c r="X5857" t="str">
        <f>IF(ISBLANK(S5857),"Intersection","Non-Intersection")</f>
        <v>Intersection</v>
      </c>
      <c r="Y5857" t="s">
        <v>952</v>
      </c>
      <c r="Z5857" t="str">
        <f t="shared" si="1320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321"/>
        <v>41275</v>
      </c>
      <c r="D5858" s="4">
        <f t="shared" si="1322"/>
        <v>0.82739726027397265</v>
      </c>
      <c r="E5858" s="3">
        <f t="shared" si="1323"/>
        <v>2013</v>
      </c>
      <c r="F5858" s="3">
        <f t="shared" si="1324"/>
        <v>10</v>
      </c>
      <c r="G5858" s="3">
        <f t="shared" si="1325"/>
        <v>30</v>
      </c>
      <c r="H5858" s="3">
        <f t="shared" si="1326"/>
        <v>20</v>
      </c>
      <c r="I5858" s="3">
        <f t="shared" si="1327"/>
        <v>0</v>
      </c>
      <c r="J5858" s="3">
        <f t="shared" si="1328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329"/>
        <v>YES</v>
      </c>
      <c r="Q5858" t="str">
        <f t="shared" si="1330"/>
        <v>YES</v>
      </c>
      <c r="R5858" t="str">
        <f t="shared" si="1331"/>
        <v>NO</v>
      </c>
      <c r="T5858" t="s">
        <v>509</v>
      </c>
      <c r="U5858" t="str">
        <f t="shared" si="1318"/>
        <v>Green St</v>
      </c>
      <c r="V5858" t="s">
        <v>453</v>
      </c>
      <c r="W5858" t="str">
        <f t="shared" si="1319"/>
        <v>Brookline St</v>
      </c>
      <c r="X5858" t="str">
        <f>IF(ISBLANK(S5858),"Intersection","Non-Intersection")</f>
        <v>Intersection</v>
      </c>
      <c r="Y5858" t="s">
        <v>3462</v>
      </c>
      <c r="Z5858" t="str">
        <f t="shared" si="1320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321"/>
        <v>41275</v>
      </c>
      <c r="D5859" s="4">
        <f t="shared" si="1322"/>
        <v>0.82739726027397265</v>
      </c>
      <c r="E5859" s="3">
        <f t="shared" si="1323"/>
        <v>2013</v>
      </c>
      <c r="F5859" s="3">
        <f t="shared" si="1324"/>
        <v>10</v>
      </c>
      <c r="G5859" s="3">
        <f t="shared" si="1325"/>
        <v>30</v>
      </c>
      <c r="H5859" s="3">
        <f t="shared" si="1326"/>
        <v>15</v>
      </c>
      <c r="I5859" s="3">
        <f t="shared" si="1327"/>
        <v>10</v>
      </c>
      <c r="J5859" s="3">
        <f t="shared" si="1328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329"/>
        <v>YES</v>
      </c>
      <c r="Q5859" t="str">
        <f t="shared" si="1330"/>
        <v>NO</v>
      </c>
      <c r="R5859" t="str">
        <f t="shared" si="1331"/>
        <v>NO</v>
      </c>
      <c r="S5859">
        <v>580</v>
      </c>
      <c r="T5859" t="s">
        <v>198</v>
      </c>
      <c r="U5859" t="str">
        <f t="shared" si="1318"/>
        <v>Mount Auburn St</v>
      </c>
      <c r="W5859" t="str">
        <f t="shared" si="1319"/>
        <v/>
      </c>
      <c r="X5859" t="str">
        <f>IF(ISBLANK(S5859),"Intersection","Non-Intersection")</f>
        <v>Non-Intersection</v>
      </c>
      <c r="Y5859" t="s">
        <v>5469</v>
      </c>
      <c r="Z5859" t="str">
        <f t="shared" si="1320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321"/>
        <v>41275</v>
      </c>
      <c r="D5860" s="4">
        <f t="shared" si="1322"/>
        <v>0.83013698630136989</v>
      </c>
      <c r="E5860" s="3">
        <f t="shared" si="1323"/>
        <v>2013</v>
      </c>
      <c r="F5860" s="3">
        <f t="shared" si="1324"/>
        <v>10</v>
      </c>
      <c r="G5860" s="3">
        <f t="shared" si="1325"/>
        <v>31</v>
      </c>
      <c r="H5860" s="3">
        <f t="shared" si="1326"/>
        <v>15</v>
      </c>
      <c r="I5860" s="3">
        <f t="shared" si="1327"/>
        <v>13</v>
      </c>
      <c r="J5860" s="3">
        <f t="shared" si="1328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329"/>
        <v>YES</v>
      </c>
      <c r="Q5860" t="str">
        <f t="shared" si="1330"/>
        <v>NO</v>
      </c>
      <c r="R5860" t="str">
        <f t="shared" si="1331"/>
        <v>NO</v>
      </c>
      <c r="T5860" t="s">
        <v>209</v>
      </c>
      <c r="U5860" t="str">
        <f t="shared" si="1318"/>
        <v>Binney St</v>
      </c>
      <c r="V5860" t="s">
        <v>260</v>
      </c>
      <c r="W5860" t="str">
        <f t="shared" si="1319"/>
        <v>Third St</v>
      </c>
      <c r="X5860" t="str">
        <f>IF(ISBLANK(S5860),"Intersection","Non-Intersection")</f>
        <v>Intersection</v>
      </c>
      <c r="Y5860" t="s">
        <v>531</v>
      </c>
      <c r="Z5860" t="str">
        <f t="shared" si="1320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321"/>
        <v>41275</v>
      </c>
      <c r="D5861" s="4">
        <f t="shared" si="1322"/>
        <v>0.83013698630136989</v>
      </c>
      <c r="E5861" s="3">
        <f t="shared" si="1323"/>
        <v>2013</v>
      </c>
      <c r="F5861" s="3">
        <f t="shared" si="1324"/>
        <v>10</v>
      </c>
      <c r="G5861" s="3">
        <f t="shared" si="1325"/>
        <v>31</v>
      </c>
      <c r="H5861" s="3">
        <f t="shared" si="1326"/>
        <v>7</v>
      </c>
      <c r="I5861" s="3">
        <f t="shared" si="1327"/>
        <v>54</v>
      </c>
      <c r="J5861" s="3">
        <f t="shared" si="1328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329"/>
        <v>YES</v>
      </c>
      <c r="Q5861" t="str">
        <f t="shared" si="1330"/>
        <v>NO</v>
      </c>
      <c r="R5861" t="str">
        <f t="shared" si="1331"/>
        <v>NO</v>
      </c>
      <c r="S5861">
        <v>799</v>
      </c>
      <c r="T5861" t="s">
        <v>186</v>
      </c>
      <c r="U5861" t="str">
        <f t="shared" si="1318"/>
        <v>Concord Ave</v>
      </c>
      <c r="W5861" t="str">
        <f t="shared" si="1319"/>
        <v/>
      </c>
      <c r="X5861" t="str">
        <f>IF(ISBLANK(S5861),"Intersection","Non-Intersection")</f>
        <v>Non-Intersection</v>
      </c>
      <c r="Y5861" t="s">
        <v>482</v>
      </c>
      <c r="Z5861" t="str">
        <f t="shared" si="1320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321"/>
        <v>41275</v>
      </c>
      <c r="D5862" s="4">
        <f t="shared" si="1322"/>
        <v>0.83013698630136989</v>
      </c>
      <c r="E5862" s="3">
        <f t="shared" si="1323"/>
        <v>2013</v>
      </c>
      <c r="F5862" s="3">
        <f t="shared" si="1324"/>
        <v>10</v>
      </c>
      <c r="G5862" s="3">
        <f t="shared" si="1325"/>
        <v>31</v>
      </c>
      <c r="H5862" s="3">
        <f t="shared" si="1326"/>
        <v>23</v>
      </c>
      <c r="I5862" s="3">
        <f t="shared" si="1327"/>
        <v>29</v>
      </c>
      <c r="J5862" s="3">
        <f t="shared" si="1328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329"/>
        <v>YES</v>
      </c>
      <c r="Q5862" t="str">
        <f t="shared" si="1330"/>
        <v>NO</v>
      </c>
      <c r="R5862" t="str">
        <f t="shared" si="1331"/>
        <v>NO</v>
      </c>
      <c r="T5862" t="s">
        <v>14</v>
      </c>
      <c r="U5862" t="str">
        <f t="shared" si="1318"/>
        <v>Massachusetts Ave</v>
      </c>
      <c r="V5862" t="s">
        <v>1389</v>
      </c>
      <c r="W5862" t="str">
        <f t="shared" si="1319"/>
        <v>Dover St</v>
      </c>
      <c r="X5862" t="str">
        <f>IF(ISBLANK(S5862),"Intersection","Non-Intersection")</f>
        <v>Intersection</v>
      </c>
      <c r="Y5862" t="s">
        <v>1390</v>
      </c>
      <c r="Z5862" t="str">
        <f t="shared" si="1320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321"/>
        <v>41275</v>
      </c>
      <c r="D5863" s="4">
        <f t="shared" si="1322"/>
        <v>0.83013698630136989</v>
      </c>
      <c r="E5863" s="3">
        <f t="shared" si="1323"/>
        <v>2013</v>
      </c>
      <c r="F5863" s="3">
        <f t="shared" si="1324"/>
        <v>10</v>
      </c>
      <c r="G5863" s="3">
        <f t="shared" si="1325"/>
        <v>31</v>
      </c>
      <c r="H5863" s="3">
        <f t="shared" si="1326"/>
        <v>12</v>
      </c>
      <c r="I5863" s="3">
        <f t="shared" si="1327"/>
        <v>30</v>
      </c>
      <c r="J5863" s="3">
        <f t="shared" si="1328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329"/>
        <v>YES</v>
      </c>
      <c r="Q5863" t="str">
        <f t="shared" si="1330"/>
        <v>NO</v>
      </c>
      <c r="R5863" t="str">
        <f t="shared" si="1331"/>
        <v>NO</v>
      </c>
      <c r="S5863">
        <v>42</v>
      </c>
      <c r="T5863" t="s">
        <v>219</v>
      </c>
      <c r="U5863" t="str">
        <f t="shared" si="1318"/>
        <v>Sacramento St</v>
      </c>
      <c r="W5863" t="str">
        <f t="shared" si="1319"/>
        <v/>
      </c>
      <c r="X5863" t="str">
        <f>IF(ISBLANK(S5863),"Intersection","Non-Intersection")</f>
        <v>Non-Intersection</v>
      </c>
      <c r="Y5863" t="s">
        <v>6155</v>
      </c>
      <c r="Z5863" t="str">
        <f t="shared" si="1320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321"/>
        <v>41275</v>
      </c>
      <c r="D5864" s="4">
        <f t="shared" si="1322"/>
        <v>0.83287671232876714</v>
      </c>
      <c r="E5864" s="3">
        <f t="shared" si="1323"/>
        <v>2013</v>
      </c>
      <c r="F5864" s="3">
        <f t="shared" si="1324"/>
        <v>11</v>
      </c>
      <c r="G5864" s="3">
        <f t="shared" si="1325"/>
        <v>1</v>
      </c>
      <c r="H5864" s="3">
        <f t="shared" si="1326"/>
        <v>7</v>
      </c>
      <c r="I5864" s="3">
        <f t="shared" si="1327"/>
        <v>47</v>
      </c>
      <c r="J5864" s="3">
        <f t="shared" si="1328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329"/>
        <v>YES</v>
      </c>
      <c r="Q5864" t="str">
        <f t="shared" si="1330"/>
        <v>NO</v>
      </c>
      <c r="R5864" t="str">
        <f t="shared" si="1331"/>
        <v>NO</v>
      </c>
      <c r="T5864" t="s">
        <v>27</v>
      </c>
      <c r="U5864" t="str">
        <f t="shared" si="1318"/>
        <v>Western Ave</v>
      </c>
      <c r="V5864" t="s">
        <v>2443</v>
      </c>
      <c r="W5864" t="str">
        <f t="shared" si="1319"/>
        <v>Dodge St</v>
      </c>
      <c r="X5864" t="str">
        <f>IF(ISBLANK(S5864),"Intersection","Non-Intersection")</f>
        <v>Intersection</v>
      </c>
      <c r="Y5864" t="s">
        <v>2444</v>
      </c>
      <c r="Z5864" t="str">
        <f t="shared" si="1320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321"/>
        <v>41275</v>
      </c>
      <c r="D5865" s="4">
        <f t="shared" si="1322"/>
        <v>0.83287671232876714</v>
      </c>
      <c r="E5865" s="3">
        <f t="shared" si="1323"/>
        <v>2013</v>
      </c>
      <c r="F5865" s="3">
        <f t="shared" si="1324"/>
        <v>11</v>
      </c>
      <c r="G5865" s="3">
        <f t="shared" si="1325"/>
        <v>1</v>
      </c>
      <c r="H5865" s="3">
        <f t="shared" si="1326"/>
        <v>20</v>
      </c>
      <c r="I5865" s="3">
        <f t="shared" si="1327"/>
        <v>29</v>
      </c>
      <c r="J5865" s="3">
        <f t="shared" si="1328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329"/>
        <v>YES</v>
      </c>
      <c r="Q5865" t="str">
        <f t="shared" si="1330"/>
        <v>NO</v>
      </c>
      <c r="R5865" t="str">
        <f t="shared" si="1331"/>
        <v>NO</v>
      </c>
      <c r="T5865" t="s">
        <v>2580</v>
      </c>
      <c r="U5865" t="str">
        <f t="shared" si="1318"/>
        <v>Land Blvd</v>
      </c>
      <c r="V5865" t="s">
        <v>1062</v>
      </c>
      <c r="W5865" t="str">
        <f t="shared" si="1319"/>
        <v>Cambridgeside Pl</v>
      </c>
      <c r="X5865" t="str">
        <f>IF(ISBLANK(S5865),"Intersection","Non-Intersection")</f>
        <v>Intersection</v>
      </c>
      <c r="Y5865" t="s">
        <v>2581</v>
      </c>
      <c r="Z5865" t="str">
        <f t="shared" si="1320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321"/>
        <v>41275</v>
      </c>
      <c r="D5866" s="4">
        <f t="shared" si="1322"/>
        <v>0.83561643835616439</v>
      </c>
      <c r="E5866" s="3">
        <f t="shared" si="1323"/>
        <v>2013</v>
      </c>
      <c r="F5866" s="3">
        <f t="shared" si="1324"/>
        <v>11</v>
      </c>
      <c r="G5866" s="3">
        <f t="shared" si="1325"/>
        <v>2</v>
      </c>
      <c r="H5866" s="3">
        <f t="shared" si="1326"/>
        <v>1</v>
      </c>
      <c r="I5866" s="3">
        <f t="shared" si="1327"/>
        <v>50</v>
      </c>
      <c r="J5866" s="3">
        <f t="shared" si="1328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329"/>
        <v>YES</v>
      </c>
      <c r="Q5866" t="str">
        <f t="shared" si="1330"/>
        <v>NO</v>
      </c>
      <c r="R5866" t="str">
        <f t="shared" si="1331"/>
        <v>NO</v>
      </c>
      <c r="T5866" t="s">
        <v>14</v>
      </c>
      <c r="U5866" t="str">
        <f t="shared" si="1318"/>
        <v>Massachusetts Ave</v>
      </c>
      <c r="V5866" t="s">
        <v>126</v>
      </c>
      <c r="W5866" t="str">
        <f t="shared" si="1319"/>
        <v>Somerville Ave</v>
      </c>
      <c r="X5866" t="str">
        <f>IF(ISBLANK(S5866),"Intersection","Non-Intersection")</f>
        <v>Intersection</v>
      </c>
      <c r="Y5866" t="s">
        <v>127</v>
      </c>
      <c r="Z5866" t="str">
        <f t="shared" si="1320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321"/>
        <v>41275</v>
      </c>
      <c r="D5867" s="4">
        <f t="shared" si="1322"/>
        <v>0.83561643835616439</v>
      </c>
      <c r="E5867" s="3">
        <f t="shared" si="1323"/>
        <v>2013</v>
      </c>
      <c r="F5867" s="3">
        <f t="shared" si="1324"/>
        <v>11</v>
      </c>
      <c r="G5867" s="3">
        <f t="shared" si="1325"/>
        <v>2</v>
      </c>
      <c r="H5867" s="3">
        <f t="shared" si="1326"/>
        <v>13</v>
      </c>
      <c r="I5867" s="3">
        <f t="shared" si="1327"/>
        <v>9</v>
      </c>
      <c r="J5867" s="3">
        <f t="shared" si="1328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329"/>
        <v>YES</v>
      </c>
      <c r="Q5867" t="str">
        <f t="shared" si="1330"/>
        <v>NO</v>
      </c>
      <c r="R5867" t="str">
        <f t="shared" si="1331"/>
        <v>NO</v>
      </c>
      <c r="S5867">
        <v>1105</v>
      </c>
      <c r="T5867" t="s">
        <v>14</v>
      </c>
      <c r="U5867" t="str">
        <f t="shared" si="1318"/>
        <v>Massachusetts Ave</v>
      </c>
      <c r="W5867" t="str">
        <f t="shared" si="1319"/>
        <v/>
      </c>
      <c r="X5867" t="str">
        <f>IF(ISBLANK(S5867),"Intersection","Non-Intersection")</f>
        <v>Non-Intersection</v>
      </c>
      <c r="Y5867" t="s">
        <v>607</v>
      </c>
      <c r="Z5867" t="str">
        <f t="shared" si="1320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321"/>
        <v>41275</v>
      </c>
      <c r="D5868" s="4">
        <f t="shared" si="1322"/>
        <v>0.83561643835616439</v>
      </c>
      <c r="E5868" s="3">
        <f t="shared" si="1323"/>
        <v>2013</v>
      </c>
      <c r="F5868" s="3">
        <f t="shared" si="1324"/>
        <v>11</v>
      </c>
      <c r="G5868" s="3">
        <f t="shared" si="1325"/>
        <v>2</v>
      </c>
      <c r="H5868" s="3">
        <f t="shared" si="1326"/>
        <v>17</v>
      </c>
      <c r="I5868" s="3">
        <f t="shared" si="1327"/>
        <v>29</v>
      </c>
      <c r="J5868" s="3">
        <f t="shared" si="1328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329"/>
        <v>YES</v>
      </c>
      <c r="Q5868" t="str">
        <f t="shared" si="1330"/>
        <v>NO</v>
      </c>
      <c r="R5868" t="str">
        <f t="shared" si="1331"/>
        <v>NO</v>
      </c>
      <c r="S5868">
        <v>899</v>
      </c>
      <c r="T5868" t="s">
        <v>14</v>
      </c>
      <c r="U5868" t="str">
        <f t="shared" si="1318"/>
        <v>Massachusetts Ave</v>
      </c>
      <c r="W5868" t="str">
        <f t="shared" si="1319"/>
        <v/>
      </c>
      <c r="X5868" t="str">
        <f>IF(ISBLANK(S5868),"Intersection","Non-Intersection")</f>
        <v>Non-Intersection</v>
      </c>
      <c r="Y5868" t="s">
        <v>6157</v>
      </c>
      <c r="Z5868" t="str">
        <f t="shared" si="1320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321"/>
        <v>41275</v>
      </c>
      <c r="D5869" s="4">
        <f t="shared" si="1322"/>
        <v>0.83835616438356164</v>
      </c>
      <c r="E5869" s="3">
        <f t="shared" si="1323"/>
        <v>2013</v>
      </c>
      <c r="F5869" s="3">
        <f t="shared" si="1324"/>
        <v>11</v>
      </c>
      <c r="G5869" s="3">
        <f t="shared" si="1325"/>
        <v>3</v>
      </c>
      <c r="H5869" s="3">
        <f t="shared" si="1326"/>
        <v>8</v>
      </c>
      <c r="I5869" s="3">
        <f t="shared" si="1327"/>
        <v>29</v>
      </c>
      <c r="J5869" s="3">
        <f t="shared" si="1328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329"/>
        <v>YES</v>
      </c>
      <c r="Q5869" t="str">
        <f t="shared" si="1330"/>
        <v>NO</v>
      </c>
      <c r="R5869" t="str">
        <f t="shared" si="1331"/>
        <v>NO</v>
      </c>
      <c r="S5869">
        <v>77</v>
      </c>
      <c r="T5869" t="s">
        <v>14</v>
      </c>
      <c r="U5869" t="str">
        <f t="shared" si="1318"/>
        <v>Massachusetts Ave</v>
      </c>
      <c r="W5869" t="str">
        <f t="shared" si="1319"/>
        <v/>
      </c>
      <c r="X5869" t="str">
        <f>IF(ISBLANK(S5869),"Intersection","Non-Intersection")</f>
        <v>Non-Intersection</v>
      </c>
      <c r="Y5869" t="s">
        <v>415</v>
      </c>
      <c r="Z5869" t="str">
        <f t="shared" si="1320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321"/>
        <v>41275</v>
      </c>
      <c r="D5870" s="4">
        <f t="shared" si="1322"/>
        <v>0.83835616438356164</v>
      </c>
      <c r="E5870" s="3">
        <f t="shared" si="1323"/>
        <v>2013</v>
      </c>
      <c r="F5870" s="3">
        <f t="shared" si="1324"/>
        <v>11</v>
      </c>
      <c r="G5870" s="3">
        <f t="shared" si="1325"/>
        <v>3</v>
      </c>
      <c r="H5870" s="3">
        <f t="shared" si="1326"/>
        <v>12</v>
      </c>
      <c r="I5870" s="3">
        <f t="shared" si="1327"/>
        <v>58</v>
      </c>
      <c r="J5870" s="3">
        <f t="shared" si="1328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329"/>
        <v>YES</v>
      </c>
      <c r="Q5870" t="str">
        <f t="shared" si="1330"/>
        <v>NO</v>
      </c>
      <c r="R5870" t="str">
        <f t="shared" si="1331"/>
        <v>YES</v>
      </c>
      <c r="U5870" t="str">
        <f t="shared" si="1318"/>
        <v/>
      </c>
      <c r="W5870" t="str">
        <f t="shared" si="1319"/>
        <v/>
      </c>
      <c r="X5870" t="str">
        <f>IF(ISBLANK(S5870),"Intersection","Non-Intersection")</f>
        <v>Intersection</v>
      </c>
      <c r="Y5870" t="s">
        <v>717</v>
      </c>
      <c r="Z5870" t="str">
        <f t="shared" si="1320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321"/>
        <v>41275</v>
      </c>
      <c r="D5871" s="4">
        <f t="shared" si="1322"/>
        <v>0.83835616438356164</v>
      </c>
      <c r="E5871" s="3">
        <f t="shared" si="1323"/>
        <v>2013</v>
      </c>
      <c r="F5871" s="3">
        <f t="shared" si="1324"/>
        <v>11</v>
      </c>
      <c r="G5871" s="3">
        <f t="shared" si="1325"/>
        <v>3</v>
      </c>
      <c r="H5871" s="3">
        <f t="shared" si="1326"/>
        <v>14</v>
      </c>
      <c r="I5871" s="3">
        <f t="shared" si="1327"/>
        <v>55</v>
      </c>
      <c r="J5871" s="3">
        <f t="shared" si="1328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329"/>
        <v>YES</v>
      </c>
      <c r="Q5871" t="str">
        <f t="shared" si="1330"/>
        <v>NO</v>
      </c>
      <c r="R5871" t="str">
        <f t="shared" si="1331"/>
        <v>YES</v>
      </c>
      <c r="T5871" t="s">
        <v>312</v>
      </c>
      <c r="U5871" t="str">
        <f t="shared" si="1318"/>
        <v>Auburn St</v>
      </c>
      <c r="V5871" t="s">
        <v>70</v>
      </c>
      <c r="W5871" t="str">
        <f t="shared" si="1319"/>
        <v>Pearl St</v>
      </c>
      <c r="X5871" t="str">
        <f>IF(ISBLANK(S5871),"Intersection","Non-Intersection")</f>
        <v>Intersection</v>
      </c>
      <c r="Y5871" t="s">
        <v>6159</v>
      </c>
      <c r="Z5871" t="str">
        <f t="shared" si="1320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321"/>
        <v>41275</v>
      </c>
      <c r="D5872" s="4">
        <f t="shared" si="1322"/>
        <v>0.84109589041095889</v>
      </c>
      <c r="E5872" s="3">
        <f t="shared" si="1323"/>
        <v>2013</v>
      </c>
      <c r="F5872" s="3">
        <f t="shared" si="1324"/>
        <v>11</v>
      </c>
      <c r="G5872" s="3">
        <f t="shared" si="1325"/>
        <v>4</v>
      </c>
      <c r="H5872" s="3">
        <f t="shared" si="1326"/>
        <v>8</v>
      </c>
      <c r="I5872" s="3">
        <f t="shared" si="1327"/>
        <v>15</v>
      </c>
      <c r="J5872" s="3">
        <f t="shared" si="1328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329"/>
        <v>YES</v>
      </c>
      <c r="Q5872" t="str">
        <f t="shared" si="1330"/>
        <v>NO</v>
      </c>
      <c r="R5872" t="str">
        <f t="shared" si="1331"/>
        <v>NO</v>
      </c>
      <c r="S5872">
        <v>140</v>
      </c>
      <c r="T5872" t="s">
        <v>75</v>
      </c>
      <c r="U5872" t="str">
        <f t="shared" si="1318"/>
        <v>Elm St</v>
      </c>
      <c r="W5872" t="str">
        <f t="shared" si="1319"/>
        <v/>
      </c>
      <c r="X5872" t="str">
        <f>IF(ISBLANK(S5872),"Intersection","Non-Intersection")</f>
        <v>Non-Intersection</v>
      </c>
      <c r="Y5872" t="s">
        <v>6161</v>
      </c>
      <c r="Z5872" t="str">
        <f t="shared" si="1320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321"/>
        <v>41275</v>
      </c>
      <c r="D5873" s="4">
        <f t="shared" si="1322"/>
        <v>0.84109589041095889</v>
      </c>
      <c r="E5873" s="3">
        <f t="shared" si="1323"/>
        <v>2013</v>
      </c>
      <c r="F5873" s="3">
        <f t="shared" si="1324"/>
        <v>11</v>
      </c>
      <c r="G5873" s="3">
        <f t="shared" si="1325"/>
        <v>4</v>
      </c>
      <c r="H5873" s="3">
        <f t="shared" si="1326"/>
        <v>9</v>
      </c>
      <c r="I5873" s="3">
        <f t="shared" si="1327"/>
        <v>55</v>
      </c>
      <c r="J5873" s="3">
        <f t="shared" si="1328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329"/>
        <v>YES</v>
      </c>
      <c r="Q5873" t="str">
        <f t="shared" si="1330"/>
        <v>NO</v>
      </c>
      <c r="R5873" t="str">
        <f t="shared" si="1331"/>
        <v>NO</v>
      </c>
      <c r="T5873" t="s">
        <v>146</v>
      </c>
      <c r="U5873" t="str">
        <f t="shared" si="1318"/>
        <v>Spring St</v>
      </c>
      <c r="W5873" t="str">
        <f t="shared" si="1319"/>
        <v/>
      </c>
      <c r="X5873" t="str">
        <f>IF(ISBLANK(S5873),"Intersection","Non-Intersection")</f>
        <v>Intersection</v>
      </c>
      <c r="Y5873" t="s">
        <v>6163</v>
      </c>
      <c r="Z5873" t="str">
        <f t="shared" si="1320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321"/>
        <v>41275</v>
      </c>
      <c r="D5874" s="4">
        <f t="shared" si="1322"/>
        <v>0.84109589041095889</v>
      </c>
      <c r="E5874" s="3">
        <f t="shared" si="1323"/>
        <v>2013</v>
      </c>
      <c r="F5874" s="3">
        <f t="shared" si="1324"/>
        <v>11</v>
      </c>
      <c r="G5874" s="3">
        <f t="shared" si="1325"/>
        <v>4</v>
      </c>
      <c r="H5874" s="3">
        <f t="shared" si="1326"/>
        <v>7</v>
      </c>
      <c r="I5874" s="3">
        <f t="shared" si="1327"/>
        <v>15</v>
      </c>
      <c r="J5874" s="3">
        <f t="shared" si="1328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329"/>
        <v>YES</v>
      </c>
      <c r="Q5874" t="str">
        <f t="shared" si="1330"/>
        <v>NO</v>
      </c>
      <c r="R5874" t="str">
        <f t="shared" si="1331"/>
        <v>NO</v>
      </c>
      <c r="S5874">
        <v>164</v>
      </c>
      <c r="T5874" t="s">
        <v>74</v>
      </c>
      <c r="U5874" t="str">
        <f t="shared" si="1318"/>
        <v>Hampshire St</v>
      </c>
      <c r="W5874" t="str">
        <f t="shared" si="1319"/>
        <v/>
      </c>
      <c r="X5874" t="str">
        <f>IF(ISBLANK(S5874),"Intersection","Non-Intersection")</f>
        <v>Non-Intersection</v>
      </c>
      <c r="Y5874" t="s">
        <v>4280</v>
      </c>
      <c r="Z5874" t="str">
        <f t="shared" si="1320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321"/>
        <v>41275</v>
      </c>
      <c r="D5875" s="4">
        <f t="shared" si="1322"/>
        <v>0.84109589041095889</v>
      </c>
      <c r="E5875" s="3">
        <f t="shared" si="1323"/>
        <v>2013</v>
      </c>
      <c r="F5875" s="3">
        <f t="shared" si="1324"/>
        <v>11</v>
      </c>
      <c r="G5875" s="3">
        <f t="shared" si="1325"/>
        <v>4</v>
      </c>
      <c r="H5875" s="3">
        <f t="shared" si="1326"/>
        <v>9</v>
      </c>
      <c r="I5875" s="3">
        <f t="shared" si="1327"/>
        <v>17</v>
      </c>
      <c r="J5875" s="3">
        <f t="shared" si="1328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329"/>
        <v>YES</v>
      </c>
      <c r="Q5875" t="str">
        <f t="shared" si="1330"/>
        <v>NO</v>
      </c>
      <c r="R5875" t="str">
        <f t="shared" si="1331"/>
        <v>NO</v>
      </c>
      <c r="S5875">
        <v>362</v>
      </c>
      <c r="T5875" t="s">
        <v>15</v>
      </c>
      <c r="U5875" t="str">
        <f t="shared" si="1318"/>
        <v>Rindge Ave</v>
      </c>
      <c r="W5875" t="str">
        <f t="shared" si="1319"/>
        <v/>
      </c>
      <c r="X5875" t="str">
        <f>IF(ISBLANK(S5875),"Intersection","Non-Intersection")</f>
        <v>Non-Intersection</v>
      </c>
      <c r="Y5875" t="s">
        <v>3320</v>
      </c>
      <c r="Z5875" t="str">
        <f t="shared" si="1320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321"/>
        <v>41275</v>
      </c>
      <c r="D5876" s="4">
        <f t="shared" si="1322"/>
        <v>0.84109589041095889</v>
      </c>
      <c r="E5876" s="3">
        <f t="shared" si="1323"/>
        <v>2013</v>
      </c>
      <c r="F5876" s="3">
        <f t="shared" si="1324"/>
        <v>11</v>
      </c>
      <c r="G5876" s="3">
        <f t="shared" si="1325"/>
        <v>4</v>
      </c>
      <c r="H5876" s="3">
        <f t="shared" si="1326"/>
        <v>15</v>
      </c>
      <c r="I5876" s="3">
        <f t="shared" si="1327"/>
        <v>10</v>
      </c>
      <c r="J5876" s="3">
        <f t="shared" si="1328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329"/>
        <v>YES</v>
      </c>
      <c r="Q5876" t="str">
        <f t="shared" si="1330"/>
        <v>NO</v>
      </c>
      <c r="R5876" t="str">
        <f t="shared" si="1331"/>
        <v>NO</v>
      </c>
      <c r="T5876" t="s">
        <v>133</v>
      </c>
      <c r="U5876" t="str">
        <f t="shared" si="1318"/>
        <v>Harvard St</v>
      </c>
      <c r="V5876" t="s">
        <v>192</v>
      </c>
      <c r="W5876" t="str">
        <f t="shared" si="1319"/>
        <v>Hancock St</v>
      </c>
      <c r="X5876" t="str">
        <f>IF(ISBLANK(S5876),"Intersection","Non-Intersection")</f>
        <v>Intersection</v>
      </c>
      <c r="Y5876" t="s">
        <v>370</v>
      </c>
      <c r="Z5876" t="str">
        <f t="shared" si="1320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321"/>
        <v>41275</v>
      </c>
      <c r="D5877" s="4">
        <f t="shared" si="1322"/>
        <v>0.84109589041095889</v>
      </c>
      <c r="E5877" s="3">
        <f t="shared" si="1323"/>
        <v>2013</v>
      </c>
      <c r="F5877" s="3">
        <f t="shared" si="1324"/>
        <v>11</v>
      </c>
      <c r="G5877" s="3">
        <f t="shared" si="1325"/>
        <v>4</v>
      </c>
      <c r="H5877" s="3">
        <f t="shared" si="1326"/>
        <v>17</v>
      </c>
      <c r="I5877" s="3">
        <f t="shared" si="1327"/>
        <v>45</v>
      </c>
      <c r="J5877" s="3">
        <f t="shared" si="1328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329"/>
        <v>YES</v>
      </c>
      <c r="Q5877" t="str">
        <f t="shared" si="1330"/>
        <v>YES</v>
      </c>
      <c r="R5877" t="str">
        <f t="shared" si="1331"/>
        <v>NO</v>
      </c>
      <c r="T5877" t="s">
        <v>119</v>
      </c>
      <c r="U5877" t="str">
        <f t="shared" si="1318"/>
        <v>Albany St</v>
      </c>
      <c r="V5877" t="s">
        <v>14</v>
      </c>
      <c r="W5877" t="str">
        <f t="shared" si="1319"/>
        <v>Massachusetts Ave</v>
      </c>
      <c r="X5877" t="str">
        <f>IF(ISBLANK(S5877),"Intersection","Non-Intersection")</f>
        <v>Intersection</v>
      </c>
      <c r="Y5877" t="s">
        <v>1000</v>
      </c>
      <c r="Z5877" t="str">
        <f t="shared" si="1320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321"/>
        <v>41275</v>
      </c>
      <c r="D5878" s="4">
        <f t="shared" si="1322"/>
        <v>0.84383561643835614</v>
      </c>
      <c r="E5878" s="3">
        <f t="shared" si="1323"/>
        <v>2013</v>
      </c>
      <c r="F5878" s="3">
        <f t="shared" si="1324"/>
        <v>11</v>
      </c>
      <c r="G5878" s="3">
        <f t="shared" si="1325"/>
        <v>5</v>
      </c>
      <c r="H5878" s="3">
        <f t="shared" si="1326"/>
        <v>11</v>
      </c>
      <c r="I5878" s="3">
        <f t="shared" si="1327"/>
        <v>55</v>
      </c>
      <c r="J5878" s="3">
        <f t="shared" si="1328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329"/>
        <v>YES</v>
      </c>
      <c r="Q5878" t="str">
        <f t="shared" si="1330"/>
        <v>YES</v>
      </c>
      <c r="R5878" t="str">
        <f t="shared" si="1331"/>
        <v>NO</v>
      </c>
      <c r="T5878" t="s">
        <v>14</v>
      </c>
      <c r="U5878" t="str">
        <f t="shared" si="1318"/>
        <v>Massachusetts Ave</v>
      </c>
      <c r="V5878" t="s">
        <v>202</v>
      </c>
      <c r="W5878" t="str">
        <f t="shared" si="1319"/>
        <v>Vassar St</v>
      </c>
      <c r="X5878" t="str">
        <f>IF(ISBLANK(S5878),"Intersection","Non-Intersection")</f>
        <v>Intersection</v>
      </c>
      <c r="Y5878" t="s">
        <v>361</v>
      </c>
      <c r="Z5878" t="str">
        <f t="shared" si="1320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321"/>
        <v>41275</v>
      </c>
      <c r="D5879" s="4">
        <f t="shared" si="1322"/>
        <v>0.84383561643835614</v>
      </c>
      <c r="E5879" s="3">
        <f t="shared" si="1323"/>
        <v>2013</v>
      </c>
      <c r="F5879" s="3">
        <f t="shared" si="1324"/>
        <v>11</v>
      </c>
      <c r="G5879" s="3">
        <f t="shared" si="1325"/>
        <v>5</v>
      </c>
      <c r="H5879" s="3">
        <f t="shared" si="1326"/>
        <v>17</v>
      </c>
      <c r="I5879" s="3">
        <f t="shared" si="1327"/>
        <v>4</v>
      </c>
      <c r="J5879" s="3">
        <f t="shared" si="1328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329"/>
        <v>YES</v>
      </c>
      <c r="Q5879" t="str">
        <f t="shared" si="1330"/>
        <v>YES</v>
      </c>
      <c r="R5879" t="str">
        <f t="shared" si="1331"/>
        <v>NO</v>
      </c>
      <c r="S5879">
        <v>45</v>
      </c>
      <c r="T5879" t="s">
        <v>195</v>
      </c>
      <c r="U5879" t="str">
        <f t="shared" si="1318"/>
        <v>Sidney St</v>
      </c>
      <c r="W5879" t="str">
        <f t="shared" si="1319"/>
        <v/>
      </c>
      <c r="X5879" t="str">
        <f>IF(ISBLANK(S5879),"Intersection","Non-Intersection")</f>
        <v>Non-Intersection</v>
      </c>
      <c r="Y5879" t="s">
        <v>6164</v>
      </c>
      <c r="Z5879" t="str">
        <f t="shared" si="1320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321"/>
        <v>41275</v>
      </c>
      <c r="D5880" s="4">
        <f t="shared" si="1322"/>
        <v>0.84383561643835614</v>
      </c>
      <c r="E5880" s="3">
        <f t="shared" si="1323"/>
        <v>2013</v>
      </c>
      <c r="F5880" s="3">
        <f t="shared" si="1324"/>
        <v>11</v>
      </c>
      <c r="G5880" s="3">
        <f t="shared" si="1325"/>
        <v>5</v>
      </c>
      <c r="H5880" s="3">
        <f t="shared" si="1326"/>
        <v>18</v>
      </c>
      <c r="I5880" s="3">
        <f t="shared" si="1327"/>
        <v>39</v>
      </c>
      <c r="J5880" s="3">
        <f t="shared" si="1328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329"/>
        <v>YES</v>
      </c>
      <c r="Q5880" t="str">
        <f t="shared" si="1330"/>
        <v>NO</v>
      </c>
      <c r="R5880" t="str">
        <f t="shared" si="1331"/>
        <v>NO</v>
      </c>
      <c r="T5880" t="s">
        <v>316</v>
      </c>
      <c r="U5880" t="str">
        <f t="shared" si="1318"/>
        <v>Bishop Allen Dr</v>
      </c>
      <c r="V5880" t="s">
        <v>342</v>
      </c>
      <c r="W5880" t="str">
        <f t="shared" si="1319"/>
        <v>Prospect St</v>
      </c>
      <c r="X5880" t="str">
        <f>IF(ISBLANK(S5880),"Intersection","Non-Intersection")</f>
        <v>Intersection</v>
      </c>
      <c r="Y5880" t="s">
        <v>642</v>
      </c>
      <c r="Z5880" t="str">
        <f t="shared" si="1320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321"/>
        <v>41275</v>
      </c>
      <c r="D5881" s="4">
        <f t="shared" si="1322"/>
        <v>0.84383561643835614</v>
      </c>
      <c r="E5881" s="3">
        <f t="shared" si="1323"/>
        <v>2013</v>
      </c>
      <c r="F5881" s="3">
        <f t="shared" si="1324"/>
        <v>11</v>
      </c>
      <c r="G5881" s="3">
        <f t="shared" si="1325"/>
        <v>5</v>
      </c>
      <c r="H5881" s="3">
        <f t="shared" si="1326"/>
        <v>11</v>
      </c>
      <c r="I5881" s="3">
        <f t="shared" si="1327"/>
        <v>39</v>
      </c>
      <c r="J5881" s="3">
        <f t="shared" si="1328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329"/>
        <v>YES</v>
      </c>
      <c r="Q5881" t="str">
        <f t="shared" si="1330"/>
        <v>NO</v>
      </c>
      <c r="R5881" t="str">
        <f t="shared" si="1331"/>
        <v>NO</v>
      </c>
      <c r="T5881" t="s">
        <v>195</v>
      </c>
      <c r="U5881" t="str">
        <f t="shared" si="1318"/>
        <v>Sidney St</v>
      </c>
      <c r="V5881" t="s">
        <v>32</v>
      </c>
      <c r="W5881" t="str">
        <f t="shared" si="1319"/>
        <v>Main St</v>
      </c>
      <c r="X5881" t="str">
        <f>IF(ISBLANK(S5881),"Intersection","Non-Intersection")</f>
        <v>Intersection</v>
      </c>
      <c r="Y5881" t="s">
        <v>6166</v>
      </c>
      <c r="Z5881" t="str">
        <f t="shared" si="1320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321"/>
        <v>41275</v>
      </c>
      <c r="D5882" s="4">
        <f t="shared" si="1322"/>
        <v>0.84657534246575339</v>
      </c>
      <c r="E5882" s="3">
        <f t="shared" si="1323"/>
        <v>2013</v>
      </c>
      <c r="F5882" s="3">
        <f t="shared" si="1324"/>
        <v>11</v>
      </c>
      <c r="G5882" s="3">
        <f t="shared" si="1325"/>
        <v>6</v>
      </c>
      <c r="H5882" s="3">
        <f t="shared" si="1326"/>
        <v>7</v>
      </c>
      <c r="I5882" s="3">
        <f t="shared" si="1327"/>
        <v>40</v>
      </c>
      <c r="J5882" s="3">
        <f t="shared" si="1328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329"/>
        <v>YES</v>
      </c>
      <c r="Q5882" t="str">
        <f t="shared" si="1330"/>
        <v>YES</v>
      </c>
      <c r="R5882" t="str">
        <f t="shared" si="1331"/>
        <v>NO</v>
      </c>
      <c r="T5882" t="s">
        <v>342</v>
      </c>
      <c r="U5882" t="str">
        <f t="shared" si="1318"/>
        <v>Prospect St</v>
      </c>
      <c r="V5882" t="s">
        <v>316</v>
      </c>
      <c r="W5882" t="str">
        <f t="shared" si="1319"/>
        <v>Bishop Allen Dr</v>
      </c>
      <c r="X5882" t="str">
        <f>IF(ISBLANK(S5882),"Intersection","Non-Intersection")</f>
        <v>Intersection</v>
      </c>
      <c r="Y5882" t="s">
        <v>2529</v>
      </c>
      <c r="Z5882" t="str">
        <f t="shared" si="1320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321"/>
        <v>41275</v>
      </c>
      <c r="D5883" s="4">
        <f t="shared" si="1322"/>
        <v>0.84657534246575339</v>
      </c>
      <c r="E5883" s="3">
        <f t="shared" si="1323"/>
        <v>2013</v>
      </c>
      <c r="F5883" s="3">
        <f t="shared" si="1324"/>
        <v>11</v>
      </c>
      <c r="G5883" s="3">
        <f t="shared" si="1325"/>
        <v>6</v>
      </c>
      <c r="H5883" s="3">
        <f t="shared" si="1326"/>
        <v>12</v>
      </c>
      <c r="I5883" s="3">
        <f t="shared" si="1327"/>
        <v>0</v>
      </c>
      <c r="J5883" s="3">
        <f t="shared" si="1328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329"/>
        <v>YES</v>
      </c>
      <c r="Q5883" t="str">
        <f t="shared" si="1330"/>
        <v>NO</v>
      </c>
      <c r="R5883" t="str">
        <f t="shared" si="1331"/>
        <v>NO</v>
      </c>
      <c r="S5883">
        <v>5</v>
      </c>
      <c r="T5883" t="s">
        <v>971</v>
      </c>
      <c r="U5883" t="str">
        <f t="shared" si="1318"/>
        <v>Ellsworth Ave</v>
      </c>
      <c r="W5883" t="str">
        <f t="shared" si="1319"/>
        <v/>
      </c>
      <c r="X5883" t="str">
        <f>IF(ISBLANK(S5883),"Intersection","Non-Intersection")</f>
        <v>Non-Intersection</v>
      </c>
      <c r="Y5883" t="s">
        <v>6167</v>
      </c>
      <c r="Z5883" t="str">
        <f t="shared" si="1320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321"/>
        <v>41275</v>
      </c>
      <c r="D5884" s="4">
        <f t="shared" si="1322"/>
        <v>0.84657534246575339</v>
      </c>
      <c r="E5884" s="3">
        <f t="shared" si="1323"/>
        <v>2013</v>
      </c>
      <c r="F5884" s="3">
        <f t="shared" si="1324"/>
        <v>11</v>
      </c>
      <c r="G5884" s="3">
        <f t="shared" si="1325"/>
        <v>6</v>
      </c>
      <c r="H5884" s="3">
        <f t="shared" si="1326"/>
        <v>13</v>
      </c>
      <c r="I5884" s="3">
        <f t="shared" si="1327"/>
        <v>9</v>
      </c>
      <c r="J5884" s="3">
        <f t="shared" si="1328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329"/>
        <v>YES</v>
      </c>
      <c r="Q5884" t="str">
        <f t="shared" si="1330"/>
        <v>NO</v>
      </c>
      <c r="R5884" t="str">
        <f t="shared" si="1331"/>
        <v>NO</v>
      </c>
      <c r="T5884" t="s">
        <v>129</v>
      </c>
      <c r="U5884" t="str">
        <f t="shared" si="1318"/>
        <v>Cardinal Medeiros Ave</v>
      </c>
      <c r="V5884" t="s">
        <v>74</v>
      </c>
      <c r="W5884" t="str">
        <f t="shared" si="1319"/>
        <v>Hampshire St</v>
      </c>
      <c r="X5884" t="str">
        <f>IF(ISBLANK(S5884),"Intersection","Non-Intersection")</f>
        <v>Intersection</v>
      </c>
      <c r="Y5884" t="s">
        <v>2265</v>
      </c>
      <c r="Z5884" t="str">
        <f t="shared" si="1320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321"/>
        <v>41275</v>
      </c>
      <c r="D5885" s="4">
        <f t="shared" si="1322"/>
        <v>0.84657534246575339</v>
      </c>
      <c r="E5885" s="3">
        <f t="shared" si="1323"/>
        <v>2013</v>
      </c>
      <c r="F5885" s="3">
        <f t="shared" si="1324"/>
        <v>11</v>
      </c>
      <c r="G5885" s="3">
        <f t="shared" si="1325"/>
        <v>6</v>
      </c>
      <c r="H5885" s="3">
        <f t="shared" si="1326"/>
        <v>21</v>
      </c>
      <c r="I5885" s="3">
        <f t="shared" si="1327"/>
        <v>2</v>
      </c>
      <c r="J5885" s="3">
        <f t="shared" si="1328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329"/>
        <v>NO</v>
      </c>
      <c r="Q5885" t="str">
        <f t="shared" si="1330"/>
        <v>NO</v>
      </c>
      <c r="R5885" t="str">
        <f t="shared" si="1331"/>
        <v>NO</v>
      </c>
      <c r="T5885" t="s">
        <v>94</v>
      </c>
      <c r="U5885" t="str">
        <f t="shared" si="1318"/>
        <v>Shepard St</v>
      </c>
      <c r="W5885" t="str">
        <f t="shared" si="1319"/>
        <v/>
      </c>
      <c r="X5885" t="str">
        <f>IF(ISBLANK(S5885),"Intersection","Non-Intersection")</f>
        <v>Intersection</v>
      </c>
      <c r="Y5885" t="s">
        <v>115</v>
      </c>
      <c r="Z5885" t="str">
        <f t="shared" si="1320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321"/>
        <v>41275</v>
      </c>
      <c r="D5886" s="4">
        <f t="shared" si="1322"/>
        <v>0.84657534246575339</v>
      </c>
      <c r="E5886" s="3">
        <f t="shared" si="1323"/>
        <v>2013</v>
      </c>
      <c r="F5886" s="3">
        <f t="shared" si="1324"/>
        <v>11</v>
      </c>
      <c r="G5886" s="3">
        <f t="shared" si="1325"/>
        <v>6</v>
      </c>
      <c r="H5886" s="3">
        <f t="shared" si="1326"/>
        <v>1</v>
      </c>
      <c r="I5886" s="3">
        <f t="shared" si="1327"/>
        <v>50</v>
      </c>
      <c r="J5886" s="3">
        <f t="shared" si="1328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329"/>
        <v>YES</v>
      </c>
      <c r="Q5886" t="str">
        <f t="shared" si="1330"/>
        <v>NO</v>
      </c>
      <c r="R5886" t="str">
        <f t="shared" si="1331"/>
        <v>NO</v>
      </c>
      <c r="T5886" t="s">
        <v>14</v>
      </c>
      <c r="U5886" t="str">
        <f t="shared" si="1318"/>
        <v>Massachusetts Ave</v>
      </c>
      <c r="V5886" t="s">
        <v>126</v>
      </c>
      <c r="W5886" t="str">
        <f t="shared" si="1319"/>
        <v>Somerville Ave</v>
      </c>
      <c r="X5886" t="str">
        <f>IF(ISBLANK(S5886),"Intersection","Non-Intersection")</f>
        <v>Intersection</v>
      </c>
      <c r="Y5886" t="s">
        <v>127</v>
      </c>
      <c r="Z5886" t="str">
        <f t="shared" si="1320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321"/>
        <v>41275</v>
      </c>
      <c r="D5887" s="4">
        <f t="shared" si="1322"/>
        <v>0.84931506849315064</v>
      </c>
      <c r="E5887" s="3">
        <f t="shared" si="1323"/>
        <v>2013</v>
      </c>
      <c r="F5887" s="3">
        <f t="shared" si="1324"/>
        <v>11</v>
      </c>
      <c r="G5887" s="3">
        <f t="shared" si="1325"/>
        <v>7</v>
      </c>
      <c r="H5887" s="3">
        <f t="shared" si="1326"/>
        <v>10</v>
      </c>
      <c r="I5887" s="3">
        <f t="shared" si="1327"/>
        <v>30</v>
      </c>
      <c r="J5887" s="3">
        <f t="shared" si="1328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329"/>
        <v>YES</v>
      </c>
      <c r="Q5887" t="str">
        <f t="shared" si="1330"/>
        <v>NO</v>
      </c>
      <c r="R5887" t="str">
        <f t="shared" si="1331"/>
        <v>NO</v>
      </c>
      <c r="S5887">
        <v>2012</v>
      </c>
      <c r="T5887" t="s">
        <v>186</v>
      </c>
      <c r="U5887" t="str">
        <f t="shared" si="1318"/>
        <v>Concord Ave</v>
      </c>
      <c r="W5887" t="str">
        <f t="shared" si="1319"/>
        <v/>
      </c>
      <c r="X5887" t="str">
        <f>IF(ISBLANK(S5887),"Intersection","Non-Intersection")</f>
        <v>Non-Intersection</v>
      </c>
      <c r="Y5887" t="s">
        <v>6169</v>
      </c>
      <c r="Z5887" t="str">
        <f t="shared" si="1320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321"/>
        <v>41275</v>
      </c>
      <c r="D5888" s="4">
        <f t="shared" si="1322"/>
        <v>0.84931506849315064</v>
      </c>
      <c r="E5888" s="3">
        <f t="shared" si="1323"/>
        <v>2013</v>
      </c>
      <c r="F5888" s="3">
        <f t="shared" si="1324"/>
        <v>11</v>
      </c>
      <c r="G5888" s="3">
        <f t="shared" si="1325"/>
        <v>7</v>
      </c>
      <c r="H5888" s="3">
        <f t="shared" si="1326"/>
        <v>14</v>
      </c>
      <c r="I5888" s="3">
        <f t="shared" si="1327"/>
        <v>55</v>
      </c>
      <c r="J5888" s="3">
        <f t="shared" si="1328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329"/>
        <v>YES</v>
      </c>
      <c r="Q5888" t="str">
        <f t="shared" si="1330"/>
        <v>NO</v>
      </c>
      <c r="R5888" t="str">
        <f t="shared" si="1331"/>
        <v>NO</v>
      </c>
      <c r="T5888" t="s">
        <v>42</v>
      </c>
      <c r="U5888" t="str">
        <f t="shared" si="1318"/>
        <v>Putnam Ave</v>
      </c>
      <c r="V5888" t="s">
        <v>70</v>
      </c>
      <c r="W5888" t="str">
        <f t="shared" si="1319"/>
        <v>Pearl St</v>
      </c>
      <c r="X5888" t="str">
        <f>IF(ISBLANK(S5888),"Intersection","Non-Intersection")</f>
        <v>Intersection</v>
      </c>
      <c r="Y5888" t="s">
        <v>2969</v>
      </c>
      <c r="Z5888" t="str">
        <f t="shared" si="1320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321"/>
        <v>41275</v>
      </c>
      <c r="D5889" s="4">
        <f t="shared" si="1322"/>
        <v>0.84931506849315064</v>
      </c>
      <c r="E5889" s="3">
        <f t="shared" si="1323"/>
        <v>2013</v>
      </c>
      <c r="F5889" s="3">
        <f t="shared" si="1324"/>
        <v>11</v>
      </c>
      <c r="G5889" s="3">
        <f t="shared" si="1325"/>
        <v>7</v>
      </c>
      <c r="H5889" s="3">
        <f t="shared" si="1326"/>
        <v>16</v>
      </c>
      <c r="I5889" s="3">
        <f t="shared" si="1327"/>
        <v>9</v>
      </c>
      <c r="J5889" s="3">
        <f t="shared" si="1328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329"/>
        <v>YES</v>
      </c>
      <c r="Q5889" t="str">
        <f t="shared" si="1330"/>
        <v>NO</v>
      </c>
      <c r="R5889" t="str">
        <f t="shared" si="1331"/>
        <v>NO</v>
      </c>
      <c r="T5889" t="s">
        <v>209</v>
      </c>
      <c r="U5889" t="str">
        <f t="shared" si="1318"/>
        <v>Binney St</v>
      </c>
      <c r="V5889" t="s">
        <v>147</v>
      </c>
      <c r="W5889" t="str">
        <f t="shared" si="1319"/>
        <v>Sixth St</v>
      </c>
      <c r="X5889" t="str">
        <f>IF(ISBLANK(S5889),"Intersection","Non-Intersection")</f>
        <v>Intersection</v>
      </c>
      <c r="Y5889" t="s">
        <v>1876</v>
      </c>
      <c r="Z5889" t="str">
        <f t="shared" si="1320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321"/>
        <v>41275</v>
      </c>
      <c r="D5890" s="4">
        <f t="shared" si="1322"/>
        <v>0.84931506849315064</v>
      </c>
      <c r="E5890" s="3">
        <f t="shared" si="1323"/>
        <v>2013</v>
      </c>
      <c r="F5890" s="3">
        <f t="shared" si="1324"/>
        <v>11</v>
      </c>
      <c r="G5890" s="3">
        <f t="shared" si="1325"/>
        <v>7</v>
      </c>
      <c r="H5890" s="3">
        <f t="shared" si="1326"/>
        <v>19</v>
      </c>
      <c r="I5890" s="3">
        <f t="shared" si="1327"/>
        <v>19</v>
      </c>
      <c r="J5890" s="3">
        <f t="shared" si="1328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329"/>
        <v>YES</v>
      </c>
      <c r="Q5890" t="str">
        <f t="shared" si="1330"/>
        <v>NO</v>
      </c>
      <c r="R5890" t="str">
        <f t="shared" si="1331"/>
        <v>NO</v>
      </c>
      <c r="S5890">
        <v>44</v>
      </c>
      <c r="T5890" t="s">
        <v>326</v>
      </c>
      <c r="U5890" t="str">
        <f t="shared" si="1318"/>
        <v>Jfk St</v>
      </c>
      <c r="W5890" t="str">
        <f t="shared" si="1319"/>
        <v/>
      </c>
      <c r="X5890" t="str">
        <f>IF(ISBLANK(S5890),"Intersection","Non-Intersection")</f>
        <v>Non-Intersection</v>
      </c>
      <c r="Y5890" t="s">
        <v>4482</v>
      </c>
      <c r="Z5890" t="str">
        <f t="shared" si="1320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321"/>
        <v>41275</v>
      </c>
      <c r="D5891" s="4">
        <f t="shared" si="1322"/>
        <v>0.84931506849315064</v>
      </c>
      <c r="E5891" s="3">
        <f t="shared" si="1323"/>
        <v>2013</v>
      </c>
      <c r="F5891" s="3">
        <f t="shared" si="1324"/>
        <v>11</v>
      </c>
      <c r="G5891" s="3">
        <f t="shared" si="1325"/>
        <v>7</v>
      </c>
      <c r="H5891" s="3">
        <f t="shared" si="1326"/>
        <v>23</v>
      </c>
      <c r="I5891" s="3">
        <f t="shared" si="1327"/>
        <v>16</v>
      </c>
      <c r="J5891" s="3">
        <f t="shared" si="1328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329"/>
        <v>YES</v>
      </c>
      <c r="Q5891" t="str">
        <f t="shared" si="1330"/>
        <v>NO</v>
      </c>
      <c r="R5891" t="str">
        <f t="shared" si="1331"/>
        <v>NO</v>
      </c>
      <c r="T5891" t="s">
        <v>198</v>
      </c>
      <c r="U5891" t="str">
        <f t="shared" ref="U5891:U5954" si="1332">TRIM(PROPER(T5891))</f>
        <v>Mount Auburn St</v>
      </c>
      <c r="W5891" t="str">
        <f t="shared" ref="W5891:W5954" si="1333">TRIM(PROPER(V5891))</f>
        <v/>
      </c>
      <c r="X5891" t="str">
        <f>IF(ISBLANK(S5891),"Intersection","Non-Intersection")</f>
        <v>Intersection</v>
      </c>
      <c r="Y5891" t="s">
        <v>441</v>
      </c>
      <c r="Z5891" t="str">
        <f t="shared" ref="Z5891:Z5954" si="1334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321"/>
        <v>41275</v>
      </c>
      <c r="D5892" s="4">
        <f t="shared" si="1322"/>
        <v>0.852054794520548</v>
      </c>
      <c r="E5892" s="3">
        <f t="shared" si="1323"/>
        <v>2013</v>
      </c>
      <c r="F5892" s="3">
        <f t="shared" si="1324"/>
        <v>11</v>
      </c>
      <c r="G5892" s="3">
        <f t="shared" si="1325"/>
        <v>8</v>
      </c>
      <c r="H5892" s="3">
        <f t="shared" si="1326"/>
        <v>5</v>
      </c>
      <c r="I5892" s="3">
        <f t="shared" si="1327"/>
        <v>0</v>
      </c>
      <c r="J5892" s="3">
        <f t="shared" si="1328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329"/>
        <v>YES</v>
      </c>
      <c r="Q5892" t="str">
        <f t="shared" si="1330"/>
        <v>NO</v>
      </c>
      <c r="R5892" t="str">
        <f t="shared" si="1331"/>
        <v>NO</v>
      </c>
      <c r="S5892">
        <v>23</v>
      </c>
      <c r="T5892" t="s">
        <v>3001</v>
      </c>
      <c r="U5892" t="str">
        <f t="shared" si="1332"/>
        <v>Edmunds St</v>
      </c>
      <c r="W5892" t="str">
        <f t="shared" si="1333"/>
        <v/>
      </c>
      <c r="X5892" t="str">
        <f>IF(ISBLANK(S5892),"Intersection","Non-Intersection")</f>
        <v>Non-Intersection</v>
      </c>
      <c r="Y5892" t="s">
        <v>6170</v>
      </c>
      <c r="Z5892" t="str">
        <f t="shared" si="1334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321"/>
        <v>41275</v>
      </c>
      <c r="D5893" s="4">
        <f t="shared" si="1322"/>
        <v>0.852054794520548</v>
      </c>
      <c r="E5893" s="3">
        <f t="shared" si="1323"/>
        <v>2013</v>
      </c>
      <c r="F5893" s="3">
        <f t="shared" si="1324"/>
        <v>11</v>
      </c>
      <c r="G5893" s="3">
        <f t="shared" si="1325"/>
        <v>8</v>
      </c>
      <c r="H5893" s="3">
        <f t="shared" si="1326"/>
        <v>11</v>
      </c>
      <c r="I5893" s="3">
        <f t="shared" si="1327"/>
        <v>19</v>
      </c>
      <c r="J5893" s="3">
        <f t="shared" si="1328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329"/>
        <v>YES</v>
      </c>
      <c r="Q5893" t="str">
        <f t="shared" si="1330"/>
        <v>NO</v>
      </c>
      <c r="R5893" t="str">
        <f t="shared" si="1331"/>
        <v>NO</v>
      </c>
      <c r="T5893" t="s">
        <v>14</v>
      </c>
      <c r="U5893" t="str">
        <f t="shared" si="1332"/>
        <v>Massachusetts Ave</v>
      </c>
      <c r="V5893" t="s">
        <v>498</v>
      </c>
      <c r="W5893" t="str">
        <f t="shared" si="1333"/>
        <v>Ellery St</v>
      </c>
      <c r="X5893" t="str">
        <f>IF(ISBLANK(S5893),"Intersection","Non-Intersection")</f>
        <v>Intersection</v>
      </c>
      <c r="Y5893" t="s">
        <v>2747</v>
      </c>
      <c r="Z5893" t="str">
        <f t="shared" si="1334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321"/>
        <v>41275</v>
      </c>
      <c r="D5894" s="4">
        <f t="shared" si="1322"/>
        <v>0.852054794520548</v>
      </c>
      <c r="E5894" s="3">
        <f t="shared" si="1323"/>
        <v>2013</v>
      </c>
      <c r="F5894" s="3">
        <f t="shared" si="1324"/>
        <v>11</v>
      </c>
      <c r="G5894" s="3">
        <f t="shared" si="1325"/>
        <v>8</v>
      </c>
      <c r="H5894" s="3">
        <f t="shared" si="1326"/>
        <v>14</v>
      </c>
      <c r="I5894" s="3">
        <f t="shared" si="1327"/>
        <v>51</v>
      </c>
      <c r="J5894" s="3">
        <f t="shared" si="1328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329"/>
        <v>YES</v>
      </c>
      <c r="Q5894" t="str">
        <f t="shared" si="1330"/>
        <v>NO</v>
      </c>
      <c r="R5894" t="str">
        <f t="shared" si="1331"/>
        <v>NO</v>
      </c>
      <c r="S5894">
        <v>89</v>
      </c>
      <c r="T5894" t="s">
        <v>61</v>
      </c>
      <c r="U5894" t="str">
        <f t="shared" si="1332"/>
        <v>First St</v>
      </c>
      <c r="V5894" t="s">
        <v>1062</v>
      </c>
      <c r="W5894" t="str">
        <f t="shared" si="1333"/>
        <v>Cambridgeside Pl</v>
      </c>
      <c r="X5894" t="str">
        <f>IF(ISBLANK(S5894),"Intersection","Non-Intersection")</f>
        <v>Non-Intersection</v>
      </c>
      <c r="Y5894" t="s">
        <v>1662</v>
      </c>
      <c r="Z5894" t="str">
        <f t="shared" si="1334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321"/>
        <v>41275</v>
      </c>
      <c r="D5895" s="4">
        <f t="shared" si="1322"/>
        <v>0.852054794520548</v>
      </c>
      <c r="E5895" s="3">
        <f t="shared" si="1323"/>
        <v>2013</v>
      </c>
      <c r="F5895" s="3">
        <f t="shared" si="1324"/>
        <v>11</v>
      </c>
      <c r="G5895" s="3">
        <f t="shared" si="1325"/>
        <v>8</v>
      </c>
      <c r="H5895" s="3">
        <f t="shared" si="1326"/>
        <v>15</v>
      </c>
      <c r="I5895" s="3">
        <f t="shared" si="1327"/>
        <v>13</v>
      </c>
      <c r="J5895" s="3">
        <f t="shared" si="1328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329"/>
        <v>YES</v>
      </c>
      <c r="Q5895" t="str">
        <f t="shared" si="1330"/>
        <v>YES</v>
      </c>
      <c r="R5895" t="str">
        <f t="shared" si="1331"/>
        <v>NO</v>
      </c>
      <c r="S5895">
        <v>1</v>
      </c>
      <c r="T5895" t="s">
        <v>6130</v>
      </c>
      <c r="U5895" t="str">
        <f t="shared" si="1332"/>
        <v>Brattle Sq</v>
      </c>
      <c r="W5895" t="str">
        <f t="shared" si="1333"/>
        <v/>
      </c>
      <c r="X5895" t="str">
        <f>IF(ISBLANK(S5895),"Intersection","Non-Intersection")</f>
        <v>Non-Intersection</v>
      </c>
      <c r="Y5895" t="s">
        <v>6172</v>
      </c>
      <c r="Z5895" t="str">
        <f t="shared" si="1334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321"/>
        <v>41275</v>
      </c>
      <c r="D5896" s="4">
        <f t="shared" si="1322"/>
        <v>0.852054794520548</v>
      </c>
      <c r="E5896" s="3">
        <f t="shared" si="1323"/>
        <v>2013</v>
      </c>
      <c r="F5896" s="3">
        <f t="shared" si="1324"/>
        <v>11</v>
      </c>
      <c r="G5896" s="3">
        <f t="shared" si="1325"/>
        <v>8</v>
      </c>
      <c r="H5896" s="3">
        <f t="shared" si="1326"/>
        <v>15</v>
      </c>
      <c r="I5896" s="3">
        <f t="shared" si="1327"/>
        <v>58</v>
      </c>
      <c r="J5896" s="3">
        <f t="shared" si="1328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329"/>
        <v>YES</v>
      </c>
      <c r="Q5896" t="str">
        <f t="shared" si="1330"/>
        <v>YES</v>
      </c>
      <c r="R5896" t="str">
        <f t="shared" si="1331"/>
        <v>NO</v>
      </c>
      <c r="T5896" t="s">
        <v>19</v>
      </c>
      <c r="U5896" t="str">
        <f t="shared" si="1332"/>
        <v>Cambridge St</v>
      </c>
      <c r="V5896" t="s">
        <v>1006</v>
      </c>
      <c r="W5896" t="str">
        <f t="shared" si="1333"/>
        <v>Irving St</v>
      </c>
      <c r="X5896" t="str">
        <f>IF(ISBLANK(S5896),"Intersection","Non-Intersection")</f>
        <v>Intersection</v>
      </c>
      <c r="Y5896" t="s">
        <v>2309</v>
      </c>
      <c r="Z5896" t="str">
        <f t="shared" si="1334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321"/>
        <v>41275</v>
      </c>
      <c r="D5897" s="4">
        <f t="shared" si="1322"/>
        <v>0.852054794520548</v>
      </c>
      <c r="E5897" s="3">
        <f t="shared" si="1323"/>
        <v>2013</v>
      </c>
      <c r="F5897" s="3">
        <f t="shared" si="1324"/>
        <v>11</v>
      </c>
      <c r="G5897" s="3">
        <f t="shared" si="1325"/>
        <v>8</v>
      </c>
      <c r="H5897" s="3">
        <f t="shared" si="1326"/>
        <v>16</v>
      </c>
      <c r="I5897" s="3">
        <f t="shared" si="1327"/>
        <v>44</v>
      </c>
      <c r="J5897" s="3">
        <f t="shared" si="1328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329"/>
        <v>YES</v>
      </c>
      <c r="Q5897" t="str">
        <f t="shared" si="1330"/>
        <v>NO</v>
      </c>
      <c r="R5897" t="str">
        <f t="shared" si="1331"/>
        <v>NO</v>
      </c>
      <c r="S5897">
        <v>680</v>
      </c>
      <c r="T5897" t="s">
        <v>142</v>
      </c>
      <c r="U5897" t="str">
        <f t="shared" si="1332"/>
        <v>Huron Ave</v>
      </c>
      <c r="V5897" t="s">
        <v>899</v>
      </c>
      <c r="W5897" t="str">
        <f t="shared" si="1333"/>
        <v>Cushing St</v>
      </c>
      <c r="X5897" t="str">
        <f>IF(ISBLANK(S5897),"Intersection","Non-Intersection")</f>
        <v>Non-Intersection</v>
      </c>
      <c r="Y5897" t="s">
        <v>6174</v>
      </c>
      <c r="Z5897" t="str">
        <f t="shared" si="1334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321"/>
        <v>41275</v>
      </c>
      <c r="D5898" s="4">
        <f t="shared" si="1322"/>
        <v>0.852054794520548</v>
      </c>
      <c r="E5898" s="3">
        <f t="shared" si="1323"/>
        <v>2013</v>
      </c>
      <c r="F5898" s="3">
        <f t="shared" si="1324"/>
        <v>11</v>
      </c>
      <c r="G5898" s="3">
        <f t="shared" si="1325"/>
        <v>8</v>
      </c>
      <c r="H5898" s="3">
        <f t="shared" si="1326"/>
        <v>19</v>
      </c>
      <c r="I5898" s="3">
        <f t="shared" si="1327"/>
        <v>28</v>
      </c>
      <c r="J5898" s="3">
        <f t="shared" si="1328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329"/>
        <v>YES</v>
      </c>
      <c r="Q5898" t="str">
        <f t="shared" si="1330"/>
        <v>YES</v>
      </c>
      <c r="R5898" t="str">
        <f t="shared" si="1331"/>
        <v>NO</v>
      </c>
      <c r="T5898" t="s">
        <v>198</v>
      </c>
      <c r="U5898" t="str">
        <f t="shared" si="1332"/>
        <v>Mount Auburn St</v>
      </c>
      <c r="V5898" t="s">
        <v>325</v>
      </c>
      <c r="W5898" t="str">
        <f t="shared" si="1333"/>
        <v>Eliot St</v>
      </c>
      <c r="X5898" t="str">
        <f>IF(ISBLANK(S5898),"Intersection","Non-Intersection")</f>
        <v>Intersection</v>
      </c>
      <c r="Y5898" t="s">
        <v>2041</v>
      </c>
      <c r="Z5898" t="str">
        <f t="shared" si="1334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321"/>
        <v>41275</v>
      </c>
      <c r="D5899" s="4">
        <f t="shared" si="1322"/>
        <v>0.852054794520548</v>
      </c>
      <c r="E5899" s="3">
        <f t="shared" si="1323"/>
        <v>2013</v>
      </c>
      <c r="F5899" s="3">
        <f t="shared" si="1324"/>
        <v>11</v>
      </c>
      <c r="G5899" s="3">
        <f t="shared" si="1325"/>
        <v>8</v>
      </c>
      <c r="H5899" s="3">
        <f t="shared" si="1326"/>
        <v>22</v>
      </c>
      <c r="I5899" s="3">
        <f t="shared" si="1327"/>
        <v>6</v>
      </c>
      <c r="J5899" s="3">
        <f t="shared" si="1328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329"/>
        <v>YES</v>
      </c>
      <c r="Q5899" t="str">
        <f t="shared" si="1330"/>
        <v>YES</v>
      </c>
      <c r="R5899" t="str">
        <f t="shared" si="1331"/>
        <v>NO</v>
      </c>
      <c r="T5899" t="s">
        <v>14</v>
      </c>
      <c r="U5899" t="str">
        <f t="shared" si="1332"/>
        <v>Massachusetts Ave</v>
      </c>
      <c r="V5899" t="s">
        <v>202</v>
      </c>
      <c r="W5899" t="str">
        <f t="shared" si="1333"/>
        <v>Vassar St</v>
      </c>
      <c r="X5899" t="str">
        <f>IF(ISBLANK(S5899),"Intersection","Non-Intersection")</f>
        <v>Intersection</v>
      </c>
      <c r="Y5899" t="s">
        <v>361</v>
      </c>
      <c r="Z5899" t="str">
        <f t="shared" si="1334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321"/>
        <v>41275</v>
      </c>
      <c r="D5900" s="4">
        <f t="shared" si="1322"/>
        <v>0.852054794520548</v>
      </c>
      <c r="E5900" s="3">
        <f t="shared" si="1323"/>
        <v>2013</v>
      </c>
      <c r="F5900" s="3">
        <f t="shared" si="1324"/>
        <v>11</v>
      </c>
      <c r="G5900" s="3">
        <f t="shared" si="1325"/>
        <v>8</v>
      </c>
      <c r="H5900" s="3">
        <f t="shared" si="1326"/>
        <v>17</v>
      </c>
      <c r="I5900" s="3">
        <f t="shared" si="1327"/>
        <v>29</v>
      </c>
      <c r="J5900" s="3">
        <f t="shared" si="1328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329"/>
        <v>YES</v>
      </c>
      <c r="Q5900" t="str">
        <f t="shared" si="1330"/>
        <v>NO</v>
      </c>
      <c r="R5900" t="str">
        <f t="shared" si="1331"/>
        <v>NO</v>
      </c>
      <c r="S5900">
        <v>699</v>
      </c>
      <c r="T5900" t="s">
        <v>198</v>
      </c>
      <c r="U5900" t="str">
        <f t="shared" si="1332"/>
        <v>Mount Auburn St</v>
      </c>
      <c r="W5900" t="str">
        <f t="shared" si="1333"/>
        <v/>
      </c>
      <c r="X5900" t="str">
        <f>IF(ISBLANK(S5900),"Intersection","Non-Intersection")</f>
        <v>Non-Intersection</v>
      </c>
      <c r="Y5900" t="s">
        <v>585</v>
      </c>
      <c r="Z5900" t="str">
        <f t="shared" si="1334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335">EOMONTH(B5901,MONTH(B5901)*-1)+1</f>
        <v>41275</v>
      </c>
      <c r="D5901" s="4">
        <f t="shared" ref="D5901:D5960" si="1336">YEARFRAC(C5901,B5901,1)</f>
        <v>0.85479452054794525</v>
      </c>
      <c r="E5901" s="3">
        <f t="shared" ref="E5901:E5960" si="1337">YEAR(B5901)</f>
        <v>2013</v>
      </c>
      <c r="F5901" s="3">
        <f t="shared" ref="F5901:F5960" si="1338">MONTH(B5901)</f>
        <v>11</v>
      </c>
      <c r="G5901" s="3">
        <f t="shared" ref="G5901:G5960" si="1339">DAY(B5901)</f>
        <v>9</v>
      </c>
      <c r="H5901" s="3">
        <f t="shared" ref="H5901:H5960" si="1340">HOUR(B5901)</f>
        <v>13</v>
      </c>
      <c r="I5901" s="3">
        <f t="shared" ref="I5901:I5960" si="1341">MINUTE(B5901)</f>
        <v>51</v>
      </c>
      <c r="J5901" s="3">
        <f t="shared" ref="J5901:J5960" si="1342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343">IF(OR(N5901="Auto",O5901="Auto"),"YES",IF(OR(N5901="Taxi",O5901="Taxi"),"YES",IF(OR(N5901="Van",O5901="Van"),"YES",IF(OR(N5901="Truck",O5901="Truck"),"YES","NO"))))</f>
        <v>YES</v>
      </c>
      <c r="Q5901" t="str">
        <f t="shared" ref="Q5901:Q5960" si="1344">IF(OR(N5901="Bicycle",O5901="Bicycle"),"YES","NO")</f>
        <v>NO</v>
      </c>
      <c r="R5901" t="str">
        <f t="shared" ref="R5901:R5960" si="1345">IF(OR(N5901="Pedestrian",O5901="Pedestrian"),"YES","NO")</f>
        <v>NO</v>
      </c>
      <c r="S5901">
        <v>134</v>
      </c>
      <c r="T5901" t="s">
        <v>199</v>
      </c>
      <c r="U5901" t="str">
        <f t="shared" si="1332"/>
        <v>Brattle St</v>
      </c>
      <c r="W5901" t="str">
        <f t="shared" si="1333"/>
        <v/>
      </c>
      <c r="X5901" t="str">
        <f>IF(ISBLANK(S5901),"Intersection","Non-Intersection")</f>
        <v>Non-Intersection</v>
      </c>
      <c r="Y5901" t="s">
        <v>6176</v>
      </c>
      <c r="Z5901" t="str">
        <f t="shared" si="1334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335"/>
        <v>41275</v>
      </c>
      <c r="D5902" s="4">
        <f t="shared" si="1336"/>
        <v>0.85479452054794525</v>
      </c>
      <c r="E5902" s="3">
        <f t="shared" si="1337"/>
        <v>2013</v>
      </c>
      <c r="F5902" s="3">
        <f t="shared" si="1338"/>
        <v>11</v>
      </c>
      <c r="G5902" s="3">
        <f t="shared" si="1339"/>
        <v>9</v>
      </c>
      <c r="H5902" s="3">
        <f t="shared" si="1340"/>
        <v>22</v>
      </c>
      <c r="I5902" s="3">
        <f t="shared" si="1341"/>
        <v>2</v>
      </c>
      <c r="J5902" s="3">
        <f t="shared" si="1342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343"/>
        <v>YES</v>
      </c>
      <c r="Q5902" t="str">
        <f t="shared" si="1344"/>
        <v>NO</v>
      </c>
      <c r="R5902" t="str">
        <f t="shared" si="1345"/>
        <v>NO</v>
      </c>
      <c r="S5902">
        <v>1730</v>
      </c>
      <c r="T5902" t="s">
        <v>19</v>
      </c>
      <c r="U5902" t="str">
        <f t="shared" si="1332"/>
        <v>Cambridge St</v>
      </c>
      <c r="W5902" t="str">
        <f t="shared" si="1333"/>
        <v/>
      </c>
      <c r="X5902" t="str">
        <f>IF(ISBLANK(S5902),"Intersection","Non-Intersection")</f>
        <v>Non-Intersection</v>
      </c>
      <c r="Y5902" t="s">
        <v>3607</v>
      </c>
      <c r="Z5902" t="str">
        <f t="shared" si="1334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335"/>
        <v>41275</v>
      </c>
      <c r="D5903" s="4">
        <f t="shared" si="1336"/>
        <v>0.8575342465753425</v>
      </c>
      <c r="E5903" s="3">
        <f t="shared" si="1337"/>
        <v>2013</v>
      </c>
      <c r="F5903" s="3">
        <f t="shared" si="1338"/>
        <v>11</v>
      </c>
      <c r="G5903" s="3">
        <f t="shared" si="1339"/>
        <v>10</v>
      </c>
      <c r="H5903" s="3">
        <f t="shared" si="1340"/>
        <v>1</v>
      </c>
      <c r="I5903" s="3">
        <f t="shared" si="1341"/>
        <v>9</v>
      </c>
      <c r="J5903" s="3">
        <f t="shared" si="1342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343"/>
        <v>YES</v>
      </c>
      <c r="Q5903" t="str">
        <f t="shared" si="1344"/>
        <v>NO</v>
      </c>
      <c r="R5903" t="str">
        <f t="shared" si="1345"/>
        <v>NO</v>
      </c>
      <c r="S5903">
        <v>173</v>
      </c>
      <c r="T5903" t="s">
        <v>15</v>
      </c>
      <c r="U5903" t="str">
        <f t="shared" si="1332"/>
        <v>Rindge Ave</v>
      </c>
      <c r="W5903" t="str">
        <f t="shared" si="1333"/>
        <v/>
      </c>
      <c r="X5903" t="str">
        <f>IF(ISBLANK(S5903),"Intersection","Non-Intersection")</f>
        <v>Non-Intersection</v>
      </c>
      <c r="Y5903" t="s">
        <v>3303</v>
      </c>
      <c r="Z5903" t="str">
        <f t="shared" si="1334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335"/>
        <v>41275</v>
      </c>
      <c r="D5904" s="4">
        <f t="shared" si="1336"/>
        <v>0.8575342465753425</v>
      </c>
      <c r="E5904" s="3">
        <f t="shared" si="1337"/>
        <v>2013</v>
      </c>
      <c r="F5904" s="3">
        <f t="shared" si="1338"/>
        <v>11</v>
      </c>
      <c r="G5904" s="3">
        <f t="shared" si="1339"/>
        <v>10</v>
      </c>
      <c r="H5904" s="3">
        <f t="shared" si="1340"/>
        <v>6</v>
      </c>
      <c r="I5904" s="3">
        <f t="shared" si="1341"/>
        <v>59</v>
      </c>
      <c r="J5904" s="3">
        <f t="shared" si="1342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343"/>
        <v>YES</v>
      </c>
      <c r="Q5904" t="str">
        <f t="shared" si="1344"/>
        <v>NO</v>
      </c>
      <c r="R5904" t="str">
        <f t="shared" si="1345"/>
        <v>NO</v>
      </c>
      <c r="S5904">
        <v>403</v>
      </c>
      <c r="T5904" t="s">
        <v>19</v>
      </c>
      <c r="U5904" t="str">
        <f t="shared" si="1332"/>
        <v>Cambridge St</v>
      </c>
      <c r="W5904" t="str">
        <f t="shared" si="1333"/>
        <v/>
      </c>
      <c r="X5904" t="str">
        <f>IF(ISBLANK(S5904),"Intersection","Non-Intersection")</f>
        <v>Non-Intersection</v>
      </c>
      <c r="Y5904" t="s">
        <v>6178</v>
      </c>
      <c r="Z5904" t="str">
        <f t="shared" si="1334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335"/>
        <v>41275</v>
      </c>
      <c r="D5905" s="4">
        <f t="shared" si="1336"/>
        <v>0.8575342465753425</v>
      </c>
      <c r="E5905" s="3">
        <f t="shared" si="1337"/>
        <v>2013</v>
      </c>
      <c r="F5905" s="3">
        <f t="shared" si="1338"/>
        <v>11</v>
      </c>
      <c r="G5905" s="3">
        <f t="shared" si="1339"/>
        <v>10</v>
      </c>
      <c r="H5905" s="3">
        <f t="shared" si="1340"/>
        <v>9</v>
      </c>
      <c r="I5905" s="3">
        <f t="shared" si="1341"/>
        <v>14</v>
      </c>
      <c r="J5905" s="3">
        <f t="shared" si="1342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343"/>
        <v>YES</v>
      </c>
      <c r="Q5905" t="str">
        <f t="shared" si="1344"/>
        <v>NO</v>
      </c>
      <c r="R5905" t="str">
        <f t="shared" si="1345"/>
        <v>NO</v>
      </c>
      <c r="S5905">
        <v>112</v>
      </c>
      <c r="T5905" t="s">
        <v>104</v>
      </c>
      <c r="U5905" t="str">
        <f t="shared" si="1332"/>
        <v>Inman St</v>
      </c>
      <c r="W5905" t="str">
        <f t="shared" si="1333"/>
        <v/>
      </c>
      <c r="X5905" t="str">
        <f>IF(ISBLANK(S5905),"Intersection","Non-Intersection")</f>
        <v>Non-Intersection</v>
      </c>
      <c r="Y5905" t="s">
        <v>6180</v>
      </c>
      <c r="Z5905" t="str">
        <f t="shared" si="1334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335"/>
        <v>41275</v>
      </c>
      <c r="D5906" s="4">
        <f t="shared" si="1336"/>
        <v>0.8575342465753425</v>
      </c>
      <c r="E5906" s="3">
        <f t="shared" si="1337"/>
        <v>2013</v>
      </c>
      <c r="F5906" s="3">
        <f t="shared" si="1338"/>
        <v>11</v>
      </c>
      <c r="G5906" s="3">
        <f t="shared" si="1339"/>
        <v>10</v>
      </c>
      <c r="H5906" s="3">
        <f t="shared" si="1340"/>
        <v>13</v>
      </c>
      <c r="I5906" s="3">
        <f t="shared" si="1341"/>
        <v>37</v>
      </c>
      <c r="J5906" s="3">
        <f t="shared" si="1342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343"/>
        <v>YES</v>
      </c>
      <c r="Q5906" t="str">
        <f t="shared" si="1344"/>
        <v>NO</v>
      </c>
      <c r="R5906" t="str">
        <f t="shared" si="1345"/>
        <v>NO</v>
      </c>
      <c r="T5906" t="s">
        <v>379</v>
      </c>
      <c r="U5906" t="str">
        <f t="shared" si="1332"/>
        <v>Second St</v>
      </c>
      <c r="V5906" t="s">
        <v>556</v>
      </c>
      <c r="W5906" t="str">
        <f t="shared" si="1333"/>
        <v>Bent St</v>
      </c>
      <c r="X5906" t="str">
        <f>IF(ISBLANK(S5906),"Intersection","Non-Intersection")</f>
        <v>Intersection</v>
      </c>
      <c r="Y5906" t="s">
        <v>5179</v>
      </c>
      <c r="Z5906" t="str">
        <f t="shared" si="1334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335"/>
        <v>41275</v>
      </c>
      <c r="D5907" s="4">
        <f t="shared" si="1336"/>
        <v>0.8575342465753425</v>
      </c>
      <c r="E5907" s="3">
        <f t="shared" si="1337"/>
        <v>2013</v>
      </c>
      <c r="F5907" s="3">
        <f t="shared" si="1338"/>
        <v>11</v>
      </c>
      <c r="G5907" s="3">
        <f t="shared" si="1339"/>
        <v>10</v>
      </c>
      <c r="H5907" s="3">
        <f t="shared" si="1340"/>
        <v>17</v>
      </c>
      <c r="I5907" s="3">
        <f t="shared" si="1341"/>
        <v>19</v>
      </c>
      <c r="J5907" s="3">
        <f t="shared" si="1342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343"/>
        <v>YES</v>
      </c>
      <c r="Q5907" t="str">
        <f t="shared" si="1344"/>
        <v>NO</v>
      </c>
      <c r="R5907" t="str">
        <f t="shared" si="1345"/>
        <v>NO</v>
      </c>
      <c r="T5907" t="s">
        <v>14</v>
      </c>
      <c r="U5907" t="str">
        <f t="shared" si="1332"/>
        <v>Massachusetts Ave</v>
      </c>
      <c r="V5907" t="s">
        <v>675</v>
      </c>
      <c r="W5907" t="str">
        <f t="shared" si="1333"/>
        <v>Roseland St</v>
      </c>
      <c r="X5907" t="str">
        <f>IF(ISBLANK(S5907),"Intersection","Non-Intersection")</f>
        <v>Intersection</v>
      </c>
      <c r="Y5907" t="s">
        <v>1882</v>
      </c>
      <c r="Z5907" t="str">
        <f t="shared" si="1334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335"/>
        <v>41275</v>
      </c>
      <c r="D5908" s="4">
        <f t="shared" si="1336"/>
        <v>0.8575342465753425</v>
      </c>
      <c r="E5908" s="3">
        <f t="shared" si="1337"/>
        <v>2013</v>
      </c>
      <c r="F5908" s="3">
        <f t="shared" si="1338"/>
        <v>11</v>
      </c>
      <c r="G5908" s="3">
        <f t="shared" si="1339"/>
        <v>10</v>
      </c>
      <c r="H5908" s="3">
        <f t="shared" si="1340"/>
        <v>14</v>
      </c>
      <c r="I5908" s="3">
        <f t="shared" si="1341"/>
        <v>42</v>
      </c>
      <c r="J5908" s="3">
        <f t="shared" si="1342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343"/>
        <v>YES</v>
      </c>
      <c r="Q5908" t="str">
        <f t="shared" si="1344"/>
        <v>NO</v>
      </c>
      <c r="R5908" t="str">
        <f t="shared" si="1345"/>
        <v>NO</v>
      </c>
      <c r="S5908">
        <v>11</v>
      </c>
      <c r="T5908" t="s">
        <v>2964</v>
      </c>
      <c r="U5908" t="str">
        <f t="shared" si="1332"/>
        <v>Max Ave</v>
      </c>
      <c r="W5908" t="str">
        <f t="shared" si="1333"/>
        <v/>
      </c>
      <c r="X5908" t="str">
        <f>IF(ISBLANK(S5908),"Intersection","Non-Intersection")</f>
        <v>Non-Intersection</v>
      </c>
      <c r="Y5908" t="s">
        <v>6182</v>
      </c>
      <c r="Z5908" t="str">
        <f t="shared" si="1334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335"/>
        <v>41275</v>
      </c>
      <c r="D5909" s="4">
        <f t="shared" si="1336"/>
        <v>0.86027397260273974</v>
      </c>
      <c r="E5909" s="3">
        <f t="shared" si="1337"/>
        <v>2013</v>
      </c>
      <c r="F5909" s="3">
        <f t="shared" si="1338"/>
        <v>11</v>
      </c>
      <c r="G5909" s="3">
        <f t="shared" si="1339"/>
        <v>11</v>
      </c>
      <c r="H5909" s="3">
        <f t="shared" si="1340"/>
        <v>12</v>
      </c>
      <c r="I5909" s="3">
        <f t="shared" si="1341"/>
        <v>14</v>
      </c>
      <c r="J5909" s="3">
        <f t="shared" si="1342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343"/>
        <v>YES</v>
      </c>
      <c r="Q5909" t="str">
        <f t="shared" si="1344"/>
        <v>NO</v>
      </c>
      <c r="R5909" t="str">
        <f t="shared" si="1345"/>
        <v>NO</v>
      </c>
      <c r="T5909" t="s">
        <v>698</v>
      </c>
      <c r="U5909" t="str">
        <f t="shared" si="1332"/>
        <v>Thorndike St</v>
      </c>
      <c r="V5909" t="s">
        <v>379</v>
      </c>
      <c r="W5909" t="str">
        <f t="shared" si="1333"/>
        <v>Second St</v>
      </c>
      <c r="X5909" t="str">
        <f>IF(ISBLANK(S5909),"Intersection","Non-Intersection")</f>
        <v>Intersection</v>
      </c>
      <c r="Y5909" t="s">
        <v>2761</v>
      </c>
      <c r="Z5909" t="str">
        <f t="shared" si="1334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335"/>
        <v>41275</v>
      </c>
      <c r="D5910" s="4">
        <f t="shared" si="1336"/>
        <v>0.86027397260273974</v>
      </c>
      <c r="E5910" s="3">
        <f t="shared" si="1337"/>
        <v>2013</v>
      </c>
      <c r="F5910" s="3">
        <f t="shared" si="1338"/>
        <v>11</v>
      </c>
      <c r="G5910" s="3">
        <f t="shared" si="1339"/>
        <v>11</v>
      </c>
      <c r="H5910" s="3">
        <f t="shared" si="1340"/>
        <v>13</v>
      </c>
      <c r="I5910" s="3">
        <f t="shared" si="1341"/>
        <v>40</v>
      </c>
      <c r="J5910" s="3">
        <f t="shared" si="1342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343"/>
        <v>YES</v>
      </c>
      <c r="Q5910" t="str">
        <f t="shared" si="1344"/>
        <v>YES</v>
      </c>
      <c r="R5910" t="str">
        <f t="shared" si="1345"/>
        <v>NO</v>
      </c>
      <c r="S5910">
        <v>212</v>
      </c>
      <c r="T5910" t="s">
        <v>74</v>
      </c>
      <c r="U5910" t="str">
        <f t="shared" si="1332"/>
        <v>Hampshire St</v>
      </c>
      <c r="W5910" t="str">
        <f t="shared" si="1333"/>
        <v/>
      </c>
      <c r="X5910" t="str">
        <f>IF(ISBLANK(S5910),"Intersection","Non-Intersection")</f>
        <v>Non-Intersection</v>
      </c>
      <c r="Y5910" t="s">
        <v>6184</v>
      </c>
      <c r="Z5910" t="str">
        <f t="shared" si="1334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335"/>
        <v>41275</v>
      </c>
      <c r="D5911" s="4">
        <f t="shared" si="1336"/>
        <v>0.86301369863013699</v>
      </c>
      <c r="E5911" s="3">
        <f t="shared" si="1337"/>
        <v>2013</v>
      </c>
      <c r="F5911" s="3">
        <f t="shared" si="1338"/>
        <v>11</v>
      </c>
      <c r="G5911" s="3">
        <f t="shared" si="1339"/>
        <v>12</v>
      </c>
      <c r="H5911" s="3">
        <f t="shared" si="1340"/>
        <v>8</v>
      </c>
      <c r="I5911" s="3">
        <f t="shared" si="1341"/>
        <v>39</v>
      </c>
      <c r="J5911" s="3">
        <f t="shared" si="1342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343"/>
        <v>YES</v>
      </c>
      <c r="Q5911" t="str">
        <f t="shared" si="1344"/>
        <v>NO</v>
      </c>
      <c r="R5911" t="str">
        <f t="shared" si="1345"/>
        <v>NO</v>
      </c>
      <c r="T5911" t="s">
        <v>108</v>
      </c>
      <c r="U5911" t="str">
        <f t="shared" si="1332"/>
        <v>Franklin St</v>
      </c>
      <c r="V5911" t="s">
        <v>453</v>
      </c>
      <c r="W5911" t="str">
        <f t="shared" si="1333"/>
        <v>Brookline St</v>
      </c>
      <c r="X5911" t="str">
        <f>IF(ISBLANK(S5911),"Intersection","Non-Intersection")</f>
        <v>Intersection</v>
      </c>
      <c r="Y5911" t="s">
        <v>3050</v>
      </c>
      <c r="Z5911" t="str">
        <f t="shared" si="1334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335"/>
        <v>41275</v>
      </c>
      <c r="D5912" s="4">
        <f t="shared" si="1336"/>
        <v>0.86301369863013699</v>
      </c>
      <c r="E5912" s="3">
        <f t="shared" si="1337"/>
        <v>2013</v>
      </c>
      <c r="F5912" s="3">
        <f t="shared" si="1338"/>
        <v>11</v>
      </c>
      <c r="G5912" s="3">
        <f t="shared" si="1339"/>
        <v>12</v>
      </c>
      <c r="H5912" s="3">
        <f t="shared" si="1340"/>
        <v>14</v>
      </c>
      <c r="I5912" s="3">
        <f t="shared" si="1341"/>
        <v>52</v>
      </c>
      <c r="J5912" s="3">
        <f t="shared" si="1342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343"/>
        <v>YES</v>
      </c>
      <c r="Q5912" t="str">
        <f t="shared" si="1344"/>
        <v>NO</v>
      </c>
      <c r="R5912" t="str">
        <f t="shared" si="1345"/>
        <v>NO</v>
      </c>
      <c r="T5912" t="s">
        <v>296</v>
      </c>
      <c r="U5912" t="str">
        <f t="shared" si="1332"/>
        <v>Mason St</v>
      </c>
      <c r="W5912" t="str">
        <f t="shared" si="1333"/>
        <v/>
      </c>
      <c r="X5912" t="str">
        <f>IF(ISBLANK(S5912),"Intersection","Non-Intersection")</f>
        <v>Intersection</v>
      </c>
      <c r="Y5912" t="s">
        <v>6186</v>
      </c>
      <c r="Z5912" t="str">
        <f t="shared" si="1334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335"/>
        <v>41275</v>
      </c>
      <c r="D5913" s="4">
        <f t="shared" si="1336"/>
        <v>0.86301369863013699</v>
      </c>
      <c r="E5913" s="3">
        <f t="shared" si="1337"/>
        <v>2013</v>
      </c>
      <c r="F5913" s="3">
        <f t="shared" si="1338"/>
        <v>11</v>
      </c>
      <c r="G5913" s="3">
        <f t="shared" si="1339"/>
        <v>12</v>
      </c>
      <c r="H5913" s="3">
        <f t="shared" si="1340"/>
        <v>19</v>
      </c>
      <c r="I5913" s="3">
        <f t="shared" si="1341"/>
        <v>16</v>
      </c>
      <c r="J5913" s="3">
        <f t="shared" si="1342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343"/>
        <v>YES</v>
      </c>
      <c r="Q5913" t="str">
        <f t="shared" si="1344"/>
        <v>NO</v>
      </c>
      <c r="R5913" t="str">
        <f t="shared" si="1345"/>
        <v>NO</v>
      </c>
      <c r="T5913" t="s">
        <v>195</v>
      </c>
      <c r="U5913" t="str">
        <f t="shared" si="1332"/>
        <v>Sidney St</v>
      </c>
      <c r="V5913" t="s">
        <v>958</v>
      </c>
      <c r="W5913" t="str">
        <f t="shared" si="1333"/>
        <v>Pacific St</v>
      </c>
      <c r="X5913" t="str">
        <f>IF(ISBLANK(S5913),"Intersection","Non-Intersection")</f>
        <v>Intersection</v>
      </c>
      <c r="Y5913" t="s">
        <v>1415</v>
      </c>
      <c r="Z5913" t="str">
        <f t="shared" si="1334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335"/>
        <v>41275</v>
      </c>
      <c r="D5914" s="4">
        <f t="shared" si="1336"/>
        <v>0.86575342465753424</v>
      </c>
      <c r="E5914" s="3">
        <f t="shared" si="1337"/>
        <v>2013</v>
      </c>
      <c r="F5914" s="3">
        <f t="shared" si="1338"/>
        <v>11</v>
      </c>
      <c r="G5914" s="3">
        <f t="shared" si="1339"/>
        <v>13</v>
      </c>
      <c r="H5914" s="3">
        <f t="shared" si="1340"/>
        <v>8</v>
      </c>
      <c r="I5914" s="3">
        <f t="shared" si="1341"/>
        <v>29</v>
      </c>
      <c r="J5914" s="3">
        <f t="shared" si="1342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343"/>
        <v>YES</v>
      </c>
      <c r="Q5914" t="str">
        <f t="shared" si="1344"/>
        <v>NO</v>
      </c>
      <c r="R5914" t="str">
        <f t="shared" si="1345"/>
        <v>NO</v>
      </c>
      <c r="T5914" t="s">
        <v>42</v>
      </c>
      <c r="U5914" t="str">
        <f t="shared" si="1332"/>
        <v>Putnam Ave</v>
      </c>
      <c r="V5914" t="s">
        <v>509</v>
      </c>
      <c r="W5914" t="str">
        <f t="shared" si="1333"/>
        <v>Green St</v>
      </c>
      <c r="X5914" t="str">
        <f>IF(ISBLANK(S5914),"Intersection","Non-Intersection")</f>
        <v>Intersection</v>
      </c>
      <c r="Y5914" t="s">
        <v>1436</v>
      </c>
      <c r="Z5914" t="str">
        <f t="shared" si="1334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335"/>
        <v>41275</v>
      </c>
      <c r="D5915" s="4">
        <f t="shared" si="1336"/>
        <v>0.86575342465753424</v>
      </c>
      <c r="E5915" s="3">
        <f t="shared" si="1337"/>
        <v>2013</v>
      </c>
      <c r="F5915" s="3">
        <f t="shared" si="1338"/>
        <v>11</v>
      </c>
      <c r="G5915" s="3">
        <f t="shared" si="1339"/>
        <v>13</v>
      </c>
      <c r="H5915" s="3">
        <f t="shared" si="1340"/>
        <v>8</v>
      </c>
      <c r="I5915" s="3">
        <f t="shared" si="1341"/>
        <v>0</v>
      </c>
      <c r="J5915" s="3">
        <f t="shared" si="1342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343"/>
        <v>YES</v>
      </c>
      <c r="Q5915" t="str">
        <f t="shared" si="1344"/>
        <v>NO</v>
      </c>
      <c r="R5915" t="str">
        <f t="shared" si="1345"/>
        <v>NO</v>
      </c>
      <c r="T5915" t="s">
        <v>178</v>
      </c>
      <c r="U5915" t="str">
        <f t="shared" si="1332"/>
        <v>Pleasant St</v>
      </c>
      <c r="V5915" t="s">
        <v>108</v>
      </c>
      <c r="W5915" t="str">
        <f t="shared" si="1333"/>
        <v>Franklin St</v>
      </c>
      <c r="X5915" t="str">
        <f>IF(ISBLANK(S5915),"Intersection","Non-Intersection")</f>
        <v>Intersection</v>
      </c>
      <c r="Y5915" t="s">
        <v>4244</v>
      </c>
      <c r="Z5915" t="str">
        <f t="shared" si="1334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335"/>
        <v>41275</v>
      </c>
      <c r="D5916" s="4">
        <f t="shared" si="1336"/>
        <v>0.86575342465753424</v>
      </c>
      <c r="E5916" s="3">
        <f t="shared" si="1337"/>
        <v>2013</v>
      </c>
      <c r="F5916" s="3">
        <f t="shared" si="1338"/>
        <v>11</v>
      </c>
      <c r="G5916" s="3">
        <f t="shared" si="1339"/>
        <v>13</v>
      </c>
      <c r="H5916" s="3">
        <f t="shared" si="1340"/>
        <v>10</v>
      </c>
      <c r="I5916" s="3">
        <f t="shared" si="1341"/>
        <v>54</v>
      </c>
      <c r="J5916" s="3">
        <f t="shared" si="1342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343"/>
        <v>YES</v>
      </c>
      <c r="Q5916" t="str">
        <f t="shared" si="1344"/>
        <v>YES</v>
      </c>
      <c r="R5916" t="str">
        <f t="shared" si="1345"/>
        <v>NO</v>
      </c>
      <c r="T5916" t="s">
        <v>74</v>
      </c>
      <c r="U5916" t="str">
        <f t="shared" si="1332"/>
        <v>Hampshire St</v>
      </c>
      <c r="V5916" t="s">
        <v>342</v>
      </c>
      <c r="W5916" t="str">
        <f t="shared" si="1333"/>
        <v>Prospect St</v>
      </c>
      <c r="X5916" t="str">
        <f>IF(ISBLANK(S5916),"Intersection","Non-Intersection")</f>
        <v>Intersection</v>
      </c>
      <c r="Y5916" t="s">
        <v>462</v>
      </c>
      <c r="Z5916" t="str">
        <f t="shared" si="1334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335"/>
        <v>41275</v>
      </c>
      <c r="D5917" s="4">
        <f t="shared" si="1336"/>
        <v>0.86575342465753424</v>
      </c>
      <c r="E5917" s="3">
        <f t="shared" si="1337"/>
        <v>2013</v>
      </c>
      <c r="F5917" s="3">
        <f t="shared" si="1338"/>
        <v>11</v>
      </c>
      <c r="G5917" s="3">
        <f t="shared" si="1339"/>
        <v>13</v>
      </c>
      <c r="H5917" s="3">
        <f t="shared" si="1340"/>
        <v>12</v>
      </c>
      <c r="I5917" s="3">
        <f t="shared" si="1341"/>
        <v>59</v>
      </c>
      <c r="J5917" s="3">
        <f t="shared" si="1342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343"/>
        <v>YES</v>
      </c>
      <c r="Q5917" t="str">
        <f t="shared" si="1344"/>
        <v>NO</v>
      </c>
      <c r="R5917" t="str">
        <f t="shared" si="1345"/>
        <v>NO</v>
      </c>
      <c r="S5917">
        <v>41</v>
      </c>
      <c r="T5917" t="s">
        <v>840</v>
      </c>
      <c r="U5917" t="str">
        <f t="shared" si="1332"/>
        <v>Church St</v>
      </c>
      <c r="W5917" t="str">
        <f t="shared" si="1333"/>
        <v/>
      </c>
      <c r="X5917" t="str">
        <f>IF(ISBLANK(S5917),"Intersection","Non-Intersection")</f>
        <v>Non-Intersection</v>
      </c>
      <c r="Y5917" t="s">
        <v>1180</v>
      </c>
      <c r="Z5917" t="str">
        <f t="shared" si="1334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335"/>
        <v>41275</v>
      </c>
      <c r="D5918" s="4">
        <f t="shared" si="1336"/>
        <v>0.86575342465753424</v>
      </c>
      <c r="E5918" s="3">
        <f t="shared" si="1337"/>
        <v>2013</v>
      </c>
      <c r="F5918" s="3">
        <f t="shared" si="1338"/>
        <v>11</v>
      </c>
      <c r="G5918" s="3">
        <f t="shared" si="1339"/>
        <v>13</v>
      </c>
      <c r="H5918" s="3">
        <f t="shared" si="1340"/>
        <v>17</v>
      </c>
      <c r="I5918" s="3">
        <f t="shared" si="1341"/>
        <v>23</v>
      </c>
      <c r="J5918" s="3">
        <f t="shared" si="1342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343"/>
        <v>YES</v>
      </c>
      <c r="Q5918" t="str">
        <f t="shared" si="1344"/>
        <v>NO</v>
      </c>
      <c r="R5918" t="str">
        <f t="shared" si="1345"/>
        <v>NO</v>
      </c>
      <c r="T5918" t="s">
        <v>14</v>
      </c>
      <c r="U5918" t="str">
        <f t="shared" si="1332"/>
        <v>Massachusetts Ave</v>
      </c>
      <c r="V5918" t="s">
        <v>1182</v>
      </c>
      <c r="W5918" t="str">
        <f t="shared" si="1333"/>
        <v>Amherst St</v>
      </c>
      <c r="X5918" t="str">
        <f>IF(ISBLANK(S5918),"Intersection","Non-Intersection")</f>
        <v>Intersection</v>
      </c>
      <c r="Y5918" t="s">
        <v>1240</v>
      </c>
      <c r="Z5918" t="str">
        <f t="shared" si="1334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335"/>
        <v>41275</v>
      </c>
      <c r="D5919" s="4">
        <f t="shared" si="1336"/>
        <v>0.86575342465753424</v>
      </c>
      <c r="E5919" s="3">
        <f t="shared" si="1337"/>
        <v>2013</v>
      </c>
      <c r="F5919" s="3">
        <f t="shared" si="1338"/>
        <v>11</v>
      </c>
      <c r="G5919" s="3">
        <f t="shared" si="1339"/>
        <v>13</v>
      </c>
      <c r="H5919" s="3">
        <f t="shared" si="1340"/>
        <v>9</v>
      </c>
      <c r="I5919" s="3">
        <f t="shared" si="1341"/>
        <v>0</v>
      </c>
      <c r="J5919" s="3">
        <f t="shared" si="1342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343"/>
        <v>YES</v>
      </c>
      <c r="Q5919" t="str">
        <f t="shared" si="1344"/>
        <v>NO</v>
      </c>
      <c r="R5919" t="str">
        <f t="shared" si="1345"/>
        <v>NO</v>
      </c>
      <c r="T5919" t="s">
        <v>32</v>
      </c>
      <c r="U5919" t="str">
        <f t="shared" si="1332"/>
        <v>Main St</v>
      </c>
      <c r="V5919" t="s">
        <v>444</v>
      </c>
      <c r="W5919" t="str">
        <f t="shared" si="1333"/>
        <v>Osborn St</v>
      </c>
      <c r="X5919" t="str">
        <f>IF(ISBLANK(S5919),"Intersection","Non-Intersection")</f>
        <v>Intersection</v>
      </c>
      <c r="Y5919" t="s">
        <v>445</v>
      </c>
      <c r="Z5919" t="str">
        <f t="shared" si="1334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335"/>
        <v>41275</v>
      </c>
      <c r="D5920" s="4">
        <f t="shared" si="1336"/>
        <v>0.86575342465753424</v>
      </c>
      <c r="E5920" s="3">
        <f t="shared" si="1337"/>
        <v>2013</v>
      </c>
      <c r="F5920" s="3">
        <f t="shared" si="1338"/>
        <v>11</v>
      </c>
      <c r="G5920" s="3">
        <f t="shared" si="1339"/>
        <v>13</v>
      </c>
      <c r="H5920" s="3">
        <f t="shared" si="1340"/>
        <v>17</v>
      </c>
      <c r="I5920" s="3">
        <f t="shared" si="1341"/>
        <v>0</v>
      </c>
      <c r="J5920" s="3">
        <f t="shared" si="1342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343"/>
        <v>YES</v>
      </c>
      <c r="Q5920" t="str">
        <f t="shared" si="1344"/>
        <v>NO</v>
      </c>
      <c r="R5920" t="str">
        <f t="shared" si="1345"/>
        <v>NO</v>
      </c>
      <c r="S5920">
        <v>260</v>
      </c>
      <c r="T5920" t="s">
        <v>509</v>
      </c>
      <c r="U5920" t="str">
        <f t="shared" si="1332"/>
        <v>Green St</v>
      </c>
      <c r="W5920" t="str">
        <f t="shared" si="1333"/>
        <v/>
      </c>
      <c r="X5920" t="str">
        <f>IF(ISBLANK(S5920),"Intersection","Non-Intersection")</f>
        <v>Non-Intersection</v>
      </c>
      <c r="Y5920" t="s">
        <v>5630</v>
      </c>
      <c r="Z5920" t="str">
        <f t="shared" si="1334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335"/>
        <v>41275</v>
      </c>
      <c r="D5921" s="4">
        <f t="shared" si="1336"/>
        <v>0.86849315068493149</v>
      </c>
      <c r="E5921" s="3">
        <f t="shared" si="1337"/>
        <v>2013</v>
      </c>
      <c r="F5921" s="3">
        <f t="shared" si="1338"/>
        <v>11</v>
      </c>
      <c r="G5921" s="3">
        <f t="shared" si="1339"/>
        <v>14</v>
      </c>
      <c r="H5921" s="3">
        <f t="shared" si="1340"/>
        <v>6</v>
      </c>
      <c r="I5921" s="3">
        <f t="shared" si="1341"/>
        <v>30</v>
      </c>
      <c r="J5921" s="3">
        <f t="shared" si="1342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343"/>
        <v>YES</v>
      </c>
      <c r="Q5921" t="str">
        <f t="shared" si="1344"/>
        <v>NO</v>
      </c>
      <c r="R5921" t="str">
        <f t="shared" si="1345"/>
        <v>NO</v>
      </c>
      <c r="S5921">
        <v>64</v>
      </c>
      <c r="T5921" t="s">
        <v>70</v>
      </c>
      <c r="U5921" t="str">
        <f t="shared" si="1332"/>
        <v>Pearl St</v>
      </c>
      <c r="W5921" t="str">
        <f t="shared" si="1333"/>
        <v/>
      </c>
      <c r="X5921" t="str">
        <f>IF(ISBLANK(S5921),"Intersection","Non-Intersection")</f>
        <v>Non-Intersection</v>
      </c>
      <c r="Y5921" t="s">
        <v>6187</v>
      </c>
      <c r="Z5921" t="str">
        <f t="shared" si="1334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335"/>
        <v>41275</v>
      </c>
      <c r="D5922" s="4">
        <f t="shared" si="1336"/>
        <v>0.86849315068493149</v>
      </c>
      <c r="E5922" s="3">
        <f t="shared" si="1337"/>
        <v>2013</v>
      </c>
      <c r="F5922" s="3">
        <f t="shared" si="1338"/>
        <v>11</v>
      </c>
      <c r="G5922" s="3">
        <f t="shared" si="1339"/>
        <v>14</v>
      </c>
      <c r="H5922" s="3">
        <f t="shared" si="1340"/>
        <v>14</v>
      </c>
      <c r="I5922" s="3">
        <f t="shared" si="1341"/>
        <v>29</v>
      </c>
      <c r="J5922" s="3">
        <f t="shared" si="1342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343"/>
        <v>YES</v>
      </c>
      <c r="Q5922" t="str">
        <f t="shared" si="1344"/>
        <v>NO</v>
      </c>
      <c r="R5922" t="str">
        <f t="shared" si="1345"/>
        <v>NO</v>
      </c>
      <c r="T5922" t="s">
        <v>567</v>
      </c>
      <c r="U5922" t="str">
        <f t="shared" si="1332"/>
        <v>Davis St</v>
      </c>
      <c r="V5922" t="s">
        <v>133</v>
      </c>
      <c r="W5922" t="str">
        <f t="shared" si="1333"/>
        <v>Harvard St</v>
      </c>
      <c r="X5922" t="str">
        <f>IF(ISBLANK(S5922),"Intersection","Non-Intersection")</f>
        <v>Intersection</v>
      </c>
      <c r="Y5922" t="s">
        <v>2858</v>
      </c>
      <c r="Z5922" t="str">
        <f t="shared" si="1334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335"/>
        <v>41275</v>
      </c>
      <c r="D5923" s="4">
        <f t="shared" si="1336"/>
        <v>0.86849315068493149</v>
      </c>
      <c r="E5923" s="3">
        <f t="shared" si="1337"/>
        <v>2013</v>
      </c>
      <c r="F5923" s="3">
        <f t="shared" si="1338"/>
        <v>11</v>
      </c>
      <c r="G5923" s="3">
        <f t="shared" si="1339"/>
        <v>14</v>
      </c>
      <c r="H5923" s="3">
        <f t="shared" si="1340"/>
        <v>17</v>
      </c>
      <c r="I5923" s="3">
        <f t="shared" si="1341"/>
        <v>29</v>
      </c>
      <c r="J5923" s="3">
        <f t="shared" si="1342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343"/>
        <v>YES</v>
      </c>
      <c r="Q5923" t="str">
        <f t="shared" si="1344"/>
        <v>NO</v>
      </c>
      <c r="R5923" t="str">
        <f t="shared" si="1345"/>
        <v>NO</v>
      </c>
      <c r="S5923">
        <v>372</v>
      </c>
      <c r="T5923" t="s">
        <v>15</v>
      </c>
      <c r="U5923" t="str">
        <f t="shared" si="1332"/>
        <v>Rindge Ave</v>
      </c>
      <c r="W5923" t="str">
        <f t="shared" si="1333"/>
        <v/>
      </c>
      <c r="X5923" t="str">
        <f>IF(ISBLANK(S5923),"Intersection","Non-Intersection")</f>
        <v>Non-Intersection</v>
      </c>
      <c r="Y5923" t="s">
        <v>6189</v>
      </c>
      <c r="Z5923" t="str">
        <f t="shared" si="1334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335"/>
        <v>41275</v>
      </c>
      <c r="D5924" s="4">
        <f t="shared" si="1336"/>
        <v>0.86849315068493149</v>
      </c>
      <c r="E5924" s="3">
        <f t="shared" si="1337"/>
        <v>2013</v>
      </c>
      <c r="F5924" s="3">
        <f t="shared" si="1338"/>
        <v>11</v>
      </c>
      <c r="G5924" s="3">
        <f t="shared" si="1339"/>
        <v>14</v>
      </c>
      <c r="H5924" s="3">
        <f t="shared" si="1340"/>
        <v>18</v>
      </c>
      <c r="I5924" s="3">
        <f t="shared" si="1341"/>
        <v>0</v>
      </c>
      <c r="J5924" s="3">
        <f t="shared" si="1342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343"/>
        <v>YES</v>
      </c>
      <c r="Q5924" t="str">
        <f t="shared" si="1344"/>
        <v>NO</v>
      </c>
      <c r="R5924" t="str">
        <f t="shared" si="1345"/>
        <v>NO</v>
      </c>
      <c r="S5924">
        <v>119</v>
      </c>
      <c r="T5924" t="s">
        <v>37</v>
      </c>
      <c r="U5924" t="str">
        <f t="shared" si="1332"/>
        <v>Magazine St</v>
      </c>
      <c r="W5924" t="str">
        <f t="shared" si="1333"/>
        <v/>
      </c>
      <c r="X5924" t="str">
        <f>IF(ISBLANK(S5924),"Intersection","Non-Intersection")</f>
        <v>Non-Intersection</v>
      </c>
      <c r="Y5924" t="s">
        <v>6191</v>
      </c>
      <c r="Z5924" t="str">
        <f t="shared" si="1334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335"/>
        <v>41275</v>
      </c>
      <c r="D5925" s="4">
        <f t="shared" si="1336"/>
        <v>0.87123287671232874</v>
      </c>
      <c r="E5925" s="3">
        <f t="shared" si="1337"/>
        <v>2013</v>
      </c>
      <c r="F5925" s="3">
        <f t="shared" si="1338"/>
        <v>11</v>
      </c>
      <c r="G5925" s="3">
        <f t="shared" si="1339"/>
        <v>15</v>
      </c>
      <c r="H5925" s="3">
        <f t="shared" si="1340"/>
        <v>13</v>
      </c>
      <c r="I5925" s="3">
        <f t="shared" si="1341"/>
        <v>15</v>
      </c>
      <c r="J5925" s="3">
        <f t="shared" si="1342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343"/>
        <v>YES</v>
      </c>
      <c r="Q5925" t="str">
        <f t="shared" si="1344"/>
        <v>NO</v>
      </c>
      <c r="R5925" t="str">
        <f t="shared" si="1345"/>
        <v>NO</v>
      </c>
      <c r="S5925">
        <v>133</v>
      </c>
      <c r="T5925" t="s">
        <v>942</v>
      </c>
      <c r="U5925" t="str">
        <f t="shared" si="1332"/>
        <v>Amory St</v>
      </c>
      <c r="W5925" t="str">
        <f t="shared" si="1333"/>
        <v/>
      </c>
      <c r="X5925" t="str">
        <f>IF(ISBLANK(S5925),"Intersection","Non-Intersection")</f>
        <v>Non-Intersection</v>
      </c>
      <c r="Y5925" t="s">
        <v>6193</v>
      </c>
      <c r="Z5925" t="str">
        <f t="shared" si="1334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335"/>
        <v>41275</v>
      </c>
      <c r="D5926" s="4">
        <f t="shared" si="1336"/>
        <v>0.87123287671232874</v>
      </c>
      <c r="E5926" s="3">
        <f t="shared" si="1337"/>
        <v>2013</v>
      </c>
      <c r="F5926" s="3">
        <f t="shared" si="1338"/>
        <v>11</v>
      </c>
      <c r="G5926" s="3">
        <f t="shared" si="1339"/>
        <v>15</v>
      </c>
      <c r="H5926" s="3">
        <f t="shared" si="1340"/>
        <v>17</v>
      </c>
      <c r="I5926" s="3">
        <f t="shared" si="1341"/>
        <v>30</v>
      </c>
      <c r="J5926" s="3">
        <f t="shared" si="1342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343"/>
        <v>YES</v>
      </c>
      <c r="Q5926" t="str">
        <f t="shared" si="1344"/>
        <v>NO</v>
      </c>
      <c r="R5926" t="str">
        <f t="shared" si="1345"/>
        <v>NO</v>
      </c>
      <c r="S5926">
        <v>215</v>
      </c>
      <c r="T5926" t="s">
        <v>170</v>
      </c>
      <c r="U5926" t="str">
        <f t="shared" si="1332"/>
        <v>Alewife Brook Pky</v>
      </c>
      <c r="W5926" t="str">
        <f t="shared" si="1333"/>
        <v/>
      </c>
      <c r="X5926" t="str">
        <f>IF(ISBLANK(S5926),"Intersection","Non-Intersection")</f>
        <v>Non-Intersection</v>
      </c>
      <c r="Y5926" t="s">
        <v>4750</v>
      </c>
      <c r="Z5926" t="str">
        <f t="shared" si="1334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335"/>
        <v>41275</v>
      </c>
      <c r="D5927" s="4">
        <f t="shared" si="1336"/>
        <v>0.87123287671232874</v>
      </c>
      <c r="E5927" s="3">
        <f t="shared" si="1337"/>
        <v>2013</v>
      </c>
      <c r="F5927" s="3">
        <f t="shared" si="1338"/>
        <v>11</v>
      </c>
      <c r="G5927" s="3">
        <f t="shared" si="1339"/>
        <v>15</v>
      </c>
      <c r="H5927" s="3">
        <f t="shared" si="1340"/>
        <v>8</v>
      </c>
      <c r="I5927" s="3">
        <f t="shared" si="1341"/>
        <v>10</v>
      </c>
      <c r="J5927" s="3">
        <f t="shared" si="1342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343"/>
        <v>NO</v>
      </c>
      <c r="Q5927" t="str">
        <f t="shared" si="1344"/>
        <v>YES</v>
      </c>
      <c r="R5927" t="str">
        <f t="shared" si="1345"/>
        <v>NO</v>
      </c>
      <c r="T5927" t="s">
        <v>126</v>
      </c>
      <c r="U5927" t="str">
        <f t="shared" si="1332"/>
        <v>Somerville Ave</v>
      </c>
      <c r="V5927" t="s">
        <v>268</v>
      </c>
      <c r="W5927" t="str">
        <f t="shared" si="1333"/>
        <v>White St</v>
      </c>
      <c r="X5927" t="str">
        <f>IF(ISBLANK(S5927),"Intersection","Non-Intersection")</f>
        <v>Intersection</v>
      </c>
      <c r="Y5927" t="s">
        <v>768</v>
      </c>
      <c r="Z5927" t="str">
        <f t="shared" si="1334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335"/>
        <v>41275</v>
      </c>
      <c r="D5928" s="4">
        <f t="shared" si="1336"/>
        <v>0.87397260273972599</v>
      </c>
      <c r="E5928" s="3">
        <f t="shared" si="1337"/>
        <v>2013</v>
      </c>
      <c r="F5928" s="3">
        <f t="shared" si="1338"/>
        <v>11</v>
      </c>
      <c r="G5928" s="3">
        <f t="shared" si="1339"/>
        <v>16</v>
      </c>
      <c r="H5928" s="3">
        <f t="shared" si="1340"/>
        <v>9</v>
      </c>
      <c r="I5928" s="3">
        <f t="shared" si="1341"/>
        <v>0</v>
      </c>
      <c r="J5928" s="3">
        <f t="shared" si="1342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343"/>
        <v>YES</v>
      </c>
      <c r="Q5928" t="str">
        <f t="shared" si="1344"/>
        <v>NO</v>
      </c>
      <c r="R5928" t="str">
        <f t="shared" si="1345"/>
        <v>NO</v>
      </c>
      <c r="S5928">
        <v>1336</v>
      </c>
      <c r="T5928" t="s">
        <v>14</v>
      </c>
      <c r="U5928" t="str">
        <f t="shared" si="1332"/>
        <v>Massachusetts Ave</v>
      </c>
      <c r="W5928" t="str">
        <f t="shared" si="1333"/>
        <v/>
      </c>
      <c r="X5928" t="str">
        <f>IF(ISBLANK(S5928),"Intersection","Non-Intersection")</f>
        <v>Non-Intersection</v>
      </c>
      <c r="Y5928" t="s">
        <v>6195</v>
      </c>
      <c r="Z5928" t="str">
        <f t="shared" si="1334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335"/>
        <v>41275</v>
      </c>
      <c r="D5929" s="4">
        <f t="shared" si="1336"/>
        <v>0.87671232876712324</v>
      </c>
      <c r="E5929" s="3">
        <f t="shared" si="1337"/>
        <v>2013</v>
      </c>
      <c r="F5929" s="3">
        <f t="shared" si="1338"/>
        <v>11</v>
      </c>
      <c r="G5929" s="3">
        <f t="shared" si="1339"/>
        <v>17</v>
      </c>
      <c r="H5929" s="3">
        <f t="shared" si="1340"/>
        <v>18</v>
      </c>
      <c r="I5929" s="3">
        <f t="shared" si="1341"/>
        <v>4</v>
      </c>
      <c r="J5929" s="3">
        <f t="shared" si="1342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343"/>
        <v>YES</v>
      </c>
      <c r="Q5929" t="str">
        <f t="shared" si="1344"/>
        <v>YES</v>
      </c>
      <c r="R5929" t="str">
        <f t="shared" si="1345"/>
        <v>NO</v>
      </c>
      <c r="S5929">
        <v>325</v>
      </c>
      <c r="T5929" t="s">
        <v>202</v>
      </c>
      <c r="U5929" t="str">
        <f t="shared" si="1332"/>
        <v>Vassar St</v>
      </c>
      <c r="W5929" t="str">
        <f t="shared" si="1333"/>
        <v/>
      </c>
      <c r="X5929" t="str">
        <f>IF(ISBLANK(S5929),"Intersection","Non-Intersection")</f>
        <v>Non-Intersection</v>
      </c>
      <c r="Y5929" t="s">
        <v>4774</v>
      </c>
      <c r="Z5929" t="str">
        <f t="shared" si="1334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335"/>
        <v>41275</v>
      </c>
      <c r="D5930" s="4">
        <f t="shared" si="1336"/>
        <v>0.8794520547945206</v>
      </c>
      <c r="E5930" s="3">
        <f t="shared" si="1337"/>
        <v>2013</v>
      </c>
      <c r="F5930" s="3">
        <f t="shared" si="1338"/>
        <v>11</v>
      </c>
      <c r="G5930" s="3">
        <f t="shared" si="1339"/>
        <v>18</v>
      </c>
      <c r="H5930" s="3">
        <f t="shared" si="1340"/>
        <v>2</v>
      </c>
      <c r="I5930" s="3">
        <f t="shared" si="1341"/>
        <v>0</v>
      </c>
      <c r="J5930" s="3">
        <f t="shared" si="1342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343"/>
        <v>YES</v>
      </c>
      <c r="Q5930" t="str">
        <f t="shared" si="1344"/>
        <v>NO</v>
      </c>
      <c r="R5930" t="str">
        <f t="shared" si="1345"/>
        <v>NO</v>
      </c>
      <c r="T5930" t="s">
        <v>198</v>
      </c>
      <c r="U5930" t="str">
        <f t="shared" si="1332"/>
        <v>Mount Auburn St</v>
      </c>
      <c r="W5930" t="str">
        <f t="shared" si="1333"/>
        <v/>
      </c>
      <c r="X5930" t="str">
        <f>IF(ISBLANK(S5930),"Intersection","Non-Intersection")</f>
        <v>Intersection</v>
      </c>
      <c r="Y5930" t="s">
        <v>441</v>
      </c>
      <c r="Z5930" t="str">
        <f t="shared" si="1334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335"/>
        <v>41275</v>
      </c>
      <c r="D5931" s="4">
        <f t="shared" si="1336"/>
        <v>0.8794520547945206</v>
      </c>
      <c r="E5931" s="3">
        <f t="shared" si="1337"/>
        <v>2013</v>
      </c>
      <c r="F5931" s="3">
        <f t="shared" si="1338"/>
        <v>11</v>
      </c>
      <c r="G5931" s="3">
        <f t="shared" si="1339"/>
        <v>18</v>
      </c>
      <c r="H5931" s="3">
        <f t="shared" si="1340"/>
        <v>6</v>
      </c>
      <c r="I5931" s="3">
        <f t="shared" si="1341"/>
        <v>40</v>
      </c>
      <c r="J5931" s="3">
        <f t="shared" si="1342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343"/>
        <v>YES</v>
      </c>
      <c r="Q5931" t="str">
        <f t="shared" si="1344"/>
        <v>YES</v>
      </c>
      <c r="R5931" t="str">
        <f t="shared" si="1345"/>
        <v>NO</v>
      </c>
      <c r="T5931" t="s">
        <v>14</v>
      </c>
      <c r="U5931" t="str">
        <f t="shared" si="1332"/>
        <v>Massachusetts Ave</v>
      </c>
      <c r="V5931" t="s">
        <v>70</v>
      </c>
      <c r="W5931" t="str">
        <f t="shared" si="1333"/>
        <v>Pearl St</v>
      </c>
      <c r="X5931" t="str">
        <f>IF(ISBLANK(S5931),"Intersection","Non-Intersection")</f>
        <v>Intersection</v>
      </c>
      <c r="Y5931" t="s">
        <v>855</v>
      </c>
      <c r="Z5931" t="str">
        <f t="shared" si="1334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335"/>
        <v>41275</v>
      </c>
      <c r="D5932" s="4">
        <f t="shared" si="1336"/>
        <v>0.8794520547945206</v>
      </c>
      <c r="E5932" s="3">
        <f t="shared" si="1337"/>
        <v>2013</v>
      </c>
      <c r="F5932" s="3">
        <f t="shared" si="1338"/>
        <v>11</v>
      </c>
      <c r="G5932" s="3">
        <f t="shared" si="1339"/>
        <v>18</v>
      </c>
      <c r="H5932" s="3">
        <f t="shared" si="1340"/>
        <v>10</v>
      </c>
      <c r="I5932" s="3">
        <f t="shared" si="1341"/>
        <v>16</v>
      </c>
      <c r="J5932" s="3">
        <f t="shared" si="1342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343"/>
        <v>YES</v>
      </c>
      <c r="Q5932" t="str">
        <f t="shared" si="1344"/>
        <v>NO</v>
      </c>
      <c r="R5932" t="str">
        <f t="shared" si="1345"/>
        <v>NO</v>
      </c>
      <c r="S5932">
        <v>1</v>
      </c>
      <c r="T5932" t="s">
        <v>166</v>
      </c>
      <c r="U5932" t="str">
        <f t="shared" si="1332"/>
        <v>Oxford Ave</v>
      </c>
      <c r="W5932" t="str">
        <f t="shared" si="1333"/>
        <v/>
      </c>
      <c r="X5932" t="str">
        <f>IF(ISBLANK(S5932),"Intersection","Non-Intersection")</f>
        <v>Non-Intersection</v>
      </c>
      <c r="Y5932" t="s">
        <v>6197</v>
      </c>
      <c r="Z5932" t="str">
        <f t="shared" si="1334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335"/>
        <v>41275</v>
      </c>
      <c r="D5933" s="4">
        <f t="shared" si="1336"/>
        <v>0.8794520547945206</v>
      </c>
      <c r="E5933" s="3">
        <f t="shared" si="1337"/>
        <v>2013</v>
      </c>
      <c r="F5933" s="3">
        <f t="shared" si="1338"/>
        <v>11</v>
      </c>
      <c r="G5933" s="3">
        <f t="shared" si="1339"/>
        <v>18</v>
      </c>
      <c r="H5933" s="3">
        <f t="shared" si="1340"/>
        <v>16</v>
      </c>
      <c r="I5933" s="3">
        <f t="shared" si="1341"/>
        <v>47</v>
      </c>
      <c r="J5933" s="3">
        <f t="shared" si="1342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343"/>
        <v>YES</v>
      </c>
      <c r="Q5933" t="str">
        <f t="shared" si="1344"/>
        <v>YES</v>
      </c>
      <c r="R5933" t="str">
        <f t="shared" si="1345"/>
        <v>NO</v>
      </c>
      <c r="T5933" t="s">
        <v>864</v>
      </c>
      <c r="U5933" t="str">
        <f t="shared" si="1332"/>
        <v>Middlesex St</v>
      </c>
      <c r="V5933" t="s">
        <v>15</v>
      </c>
      <c r="W5933" t="str">
        <f t="shared" si="1333"/>
        <v>Rindge Ave</v>
      </c>
      <c r="X5933" t="str">
        <f>IF(ISBLANK(S5933),"Intersection","Non-Intersection")</f>
        <v>Intersection</v>
      </c>
      <c r="Y5933" t="s">
        <v>5131</v>
      </c>
      <c r="Z5933" t="str">
        <f t="shared" si="1334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335"/>
        <v>41275</v>
      </c>
      <c r="D5934" s="4">
        <f t="shared" si="1336"/>
        <v>0.8794520547945206</v>
      </c>
      <c r="E5934" s="3">
        <f t="shared" si="1337"/>
        <v>2013</v>
      </c>
      <c r="F5934" s="3">
        <f t="shared" si="1338"/>
        <v>11</v>
      </c>
      <c r="G5934" s="3">
        <f t="shared" si="1339"/>
        <v>18</v>
      </c>
      <c r="H5934" s="3">
        <f t="shared" si="1340"/>
        <v>18</v>
      </c>
      <c r="I5934" s="3">
        <f t="shared" si="1341"/>
        <v>0</v>
      </c>
      <c r="J5934" s="3">
        <f t="shared" si="1342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343"/>
        <v>YES</v>
      </c>
      <c r="Q5934" t="str">
        <f t="shared" si="1344"/>
        <v>NO</v>
      </c>
      <c r="R5934" t="str">
        <f t="shared" si="1345"/>
        <v>NO</v>
      </c>
      <c r="T5934" t="s">
        <v>269</v>
      </c>
      <c r="U5934" t="str">
        <f t="shared" si="1332"/>
        <v>Porter Sq</v>
      </c>
      <c r="W5934" t="str">
        <f t="shared" si="1333"/>
        <v/>
      </c>
      <c r="X5934" t="str">
        <f>IF(ISBLANK(S5934),"Intersection","Non-Intersection")</f>
        <v>Intersection</v>
      </c>
      <c r="Y5934" t="s">
        <v>923</v>
      </c>
      <c r="Z5934" t="str">
        <f t="shared" si="1334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335"/>
        <v>41275</v>
      </c>
      <c r="D5935" s="4">
        <f t="shared" si="1336"/>
        <v>0.8794520547945206</v>
      </c>
      <c r="E5935" s="3">
        <f t="shared" si="1337"/>
        <v>2013</v>
      </c>
      <c r="F5935" s="3">
        <f t="shared" si="1338"/>
        <v>11</v>
      </c>
      <c r="G5935" s="3">
        <f t="shared" si="1339"/>
        <v>18</v>
      </c>
      <c r="H5935" s="3">
        <f t="shared" si="1340"/>
        <v>10</v>
      </c>
      <c r="I5935" s="3">
        <f t="shared" si="1341"/>
        <v>15</v>
      </c>
      <c r="J5935" s="3">
        <f t="shared" si="1342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343"/>
        <v>YES</v>
      </c>
      <c r="Q5935" t="str">
        <f t="shared" si="1344"/>
        <v>NO</v>
      </c>
      <c r="R5935" t="str">
        <f t="shared" si="1345"/>
        <v>NO</v>
      </c>
      <c r="S5935">
        <v>397</v>
      </c>
      <c r="T5935" t="s">
        <v>252</v>
      </c>
      <c r="U5935" t="str">
        <f t="shared" si="1332"/>
        <v>Walden St</v>
      </c>
      <c r="W5935" t="str">
        <f t="shared" si="1333"/>
        <v/>
      </c>
      <c r="X5935" t="str">
        <f>IF(ISBLANK(S5935),"Intersection","Non-Intersection")</f>
        <v>Non-Intersection</v>
      </c>
      <c r="Y5935" t="s">
        <v>377</v>
      </c>
      <c r="Z5935" t="str">
        <f t="shared" si="1334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335"/>
        <v>41275</v>
      </c>
      <c r="D5936" s="4">
        <f t="shared" si="1336"/>
        <v>0.88219178082191785</v>
      </c>
      <c r="E5936" s="3">
        <f t="shared" si="1337"/>
        <v>2013</v>
      </c>
      <c r="F5936" s="3">
        <f t="shared" si="1338"/>
        <v>11</v>
      </c>
      <c r="G5936" s="3">
        <f t="shared" si="1339"/>
        <v>19</v>
      </c>
      <c r="H5936" s="3">
        <f t="shared" si="1340"/>
        <v>8</v>
      </c>
      <c r="I5936" s="3">
        <f t="shared" si="1341"/>
        <v>0</v>
      </c>
      <c r="J5936" s="3">
        <f t="shared" si="1342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343"/>
        <v>YES</v>
      </c>
      <c r="Q5936" t="str">
        <f t="shared" si="1344"/>
        <v>NO</v>
      </c>
      <c r="R5936" t="str">
        <f t="shared" si="1345"/>
        <v>NO</v>
      </c>
      <c r="T5936" t="s">
        <v>41</v>
      </c>
      <c r="U5936" t="str">
        <f t="shared" si="1332"/>
        <v>River St</v>
      </c>
      <c r="V5936" t="s">
        <v>108</v>
      </c>
      <c r="W5936" t="str">
        <f t="shared" si="1333"/>
        <v>Franklin St</v>
      </c>
      <c r="X5936" t="str">
        <f>IF(ISBLANK(S5936),"Intersection","Non-Intersection")</f>
        <v>Intersection</v>
      </c>
      <c r="Y5936" t="s">
        <v>427</v>
      </c>
      <c r="Z5936" t="str">
        <f t="shared" si="1334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335"/>
        <v>41275</v>
      </c>
      <c r="D5937" s="4">
        <f t="shared" si="1336"/>
        <v>0.88219178082191785</v>
      </c>
      <c r="E5937" s="3">
        <f t="shared" si="1337"/>
        <v>2013</v>
      </c>
      <c r="F5937" s="3">
        <f t="shared" si="1338"/>
        <v>11</v>
      </c>
      <c r="G5937" s="3">
        <f t="shared" si="1339"/>
        <v>19</v>
      </c>
      <c r="H5937" s="3">
        <f t="shared" si="1340"/>
        <v>8</v>
      </c>
      <c r="I5937" s="3">
        <f t="shared" si="1341"/>
        <v>29</v>
      </c>
      <c r="J5937" s="3">
        <f t="shared" si="1342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343"/>
        <v>YES</v>
      </c>
      <c r="Q5937" t="str">
        <f t="shared" si="1344"/>
        <v>NO</v>
      </c>
      <c r="R5937" t="str">
        <f t="shared" si="1345"/>
        <v>YES</v>
      </c>
      <c r="T5937" t="s">
        <v>134</v>
      </c>
      <c r="U5937" t="str">
        <f t="shared" si="1332"/>
        <v>Quincy St</v>
      </c>
      <c r="V5937" t="s">
        <v>133</v>
      </c>
      <c r="W5937" t="str">
        <f t="shared" si="1333"/>
        <v>Harvard St</v>
      </c>
      <c r="X5937" t="str">
        <f>IF(ISBLANK(S5937),"Intersection","Non-Intersection")</f>
        <v>Intersection</v>
      </c>
      <c r="Y5937" t="s">
        <v>330</v>
      </c>
      <c r="Z5937" t="str">
        <f t="shared" si="1334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335"/>
        <v>41275</v>
      </c>
      <c r="D5938" s="4">
        <f t="shared" si="1336"/>
        <v>0.88219178082191785</v>
      </c>
      <c r="E5938" s="3">
        <f t="shared" si="1337"/>
        <v>2013</v>
      </c>
      <c r="F5938" s="3">
        <f t="shared" si="1338"/>
        <v>11</v>
      </c>
      <c r="G5938" s="3">
        <f t="shared" si="1339"/>
        <v>19</v>
      </c>
      <c r="H5938" s="3">
        <f t="shared" si="1340"/>
        <v>8</v>
      </c>
      <c r="I5938" s="3">
        <f t="shared" si="1341"/>
        <v>51</v>
      </c>
      <c r="J5938" s="3">
        <f t="shared" si="1342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343"/>
        <v>YES</v>
      </c>
      <c r="Q5938" t="str">
        <f t="shared" si="1344"/>
        <v>NO</v>
      </c>
      <c r="R5938" t="str">
        <f t="shared" si="1345"/>
        <v>NO</v>
      </c>
      <c r="T5938" t="s">
        <v>796</v>
      </c>
      <c r="U5938" t="str">
        <f t="shared" si="1332"/>
        <v>Portland St</v>
      </c>
      <c r="V5938" t="s">
        <v>2524</v>
      </c>
      <c r="W5938" t="str">
        <f t="shared" si="1333"/>
        <v>Technology Sq</v>
      </c>
      <c r="X5938" t="str">
        <f>IF(ISBLANK(S5938),"Intersection","Non-Intersection")</f>
        <v>Intersection</v>
      </c>
      <c r="Y5938" t="s">
        <v>6199</v>
      </c>
      <c r="Z5938" t="str">
        <f t="shared" si="1334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335"/>
        <v>41275</v>
      </c>
      <c r="D5939" s="4">
        <f t="shared" si="1336"/>
        <v>0.88219178082191785</v>
      </c>
      <c r="E5939" s="3">
        <f t="shared" si="1337"/>
        <v>2013</v>
      </c>
      <c r="F5939" s="3">
        <f t="shared" si="1338"/>
        <v>11</v>
      </c>
      <c r="G5939" s="3">
        <f t="shared" si="1339"/>
        <v>19</v>
      </c>
      <c r="H5939" s="3">
        <f t="shared" si="1340"/>
        <v>9</v>
      </c>
      <c r="I5939" s="3">
        <f t="shared" si="1341"/>
        <v>30</v>
      </c>
      <c r="J5939" s="3">
        <f t="shared" si="1342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343"/>
        <v>YES</v>
      </c>
      <c r="Q5939" t="str">
        <f t="shared" si="1344"/>
        <v>YES</v>
      </c>
      <c r="R5939" t="str">
        <f t="shared" si="1345"/>
        <v>NO</v>
      </c>
      <c r="T5939" t="s">
        <v>202</v>
      </c>
      <c r="U5939" t="str">
        <f t="shared" si="1332"/>
        <v>Vassar St</v>
      </c>
      <c r="V5939" t="s">
        <v>32</v>
      </c>
      <c r="W5939" t="str">
        <f t="shared" si="1333"/>
        <v>Main St</v>
      </c>
      <c r="X5939" t="str">
        <f>IF(ISBLANK(S5939),"Intersection","Non-Intersection")</f>
        <v>Intersection</v>
      </c>
      <c r="Y5939" t="s">
        <v>624</v>
      </c>
      <c r="Z5939" t="str">
        <f t="shared" si="1334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335"/>
        <v>41275</v>
      </c>
      <c r="D5940" s="4">
        <f t="shared" si="1336"/>
        <v>0.88219178082191785</v>
      </c>
      <c r="E5940" s="3">
        <f t="shared" si="1337"/>
        <v>2013</v>
      </c>
      <c r="F5940" s="3">
        <f t="shared" si="1338"/>
        <v>11</v>
      </c>
      <c r="G5940" s="3">
        <f t="shared" si="1339"/>
        <v>19</v>
      </c>
      <c r="H5940" s="3">
        <f t="shared" si="1340"/>
        <v>11</v>
      </c>
      <c r="I5940" s="3">
        <f t="shared" si="1341"/>
        <v>26</v>
      </c>
      <c r="J5940" s="3">
        <f t="shared" si="1342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343"/>
        <v>YES</v>
      </c>
      <c r="Q5940" t="str">
        <f t="shared" si="1344"/>
        <v>NO</v>
      </c>
      <c r="R5940" t="str">
        <f t="shared" si="1345"/>
        <v>NO</v>
      </c>
      <c r="T5940" t="s">
        <v>379</v>
      </c>
      <c r="U5940" t="str">
        <f t="shared" si="1332"/>
        <v>Second St</v>
      </c>
      <c r="V5940" t="s">
        <v>380</v>
      </c>
      <c r="W5940" t="str">
        <f t="shared" si="1333"/>
        <v>Charles St</v>
      </c>
      <c r="X5940" t="str">
        <f>IF(ISBLANK(S5940),"Intersection","Non-Intersection")</f>
        <v>Intersection</v>
      </c>
      <c r="Y5940" t="s">
        <v>381</v>
      </c>
      <c r="Z5940" t="str">
        <f t="shared" si="1334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335"/>
        <v>41275</v>
      </c>
      <c r="D5941" s="4">
        <f t="shared" si="1336"/>
        <v>0.88219178082191785</v>
      </c>
      <c r="E5941" s="3">
        <f t="shared" si="1337"/>
        <v>2013</v>
      </c>
      <c r="F5941" s="3">
        <f t="shared" si="1338"/>
        <v>11</v>
      </c>
      <c r="G5941" s="3">
        <f t="shared" si="1339"/>
        <v>19</v>
      </c>
      <c r="H5941" s="3">
        <f t="shared" si="1340"/>
        <v>15</v>
      </c>
      <c r="I5941" s="3">
        <f t="shared" si="1341"/>
        <v>21</v>
      </c>
      <c r="J5941" s="3">
        <f t="shared" si="1342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343"/>
        <v>YES</v>
      </c>
      <c r="Q5941" t="str">
        <f t="shared" si="1344"/>
        <v>NO</v>
      </c>
      <c r="R5941" t="str">
        <f t="shared" si="1345"/>
        <v>YES</v>
      </c>
      <c r="T5941" t="s">
        <v>757</v>
      </c>
      <c r="U5941" t="str">
        <f t="shared" si="1332"/>
        <v>Blackstone St</v>
      </c>
      <c r="V5941" t="s">
        <v>27</v>
      </c>
      <c r="W5941" t="str">
        <f t="shared" si="1333"/>
        <v>Western Ave</v>
      </c>
      <c r="X5941" t="str">
        <f>IF(ISBLANK(S5941),"Intersection","Non-Intersection")</f>
        <v>Intersection</v>
      </c>
      <c r="Y5941" t="s">
        <v>6201</v>
      </c>
      <c r="Z5941" t="str">
        <f t="shared" si="1334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335"/>
        <v>41275</v>
      </c>
      <c r="D5942" s="4">
        <f t="shared" si="1336"/>
        <v>0.88219178082191785</v>
      </c>
      <c r="E5942" s="3">
        <f t="shared" si="1337"/>
        <v>2013</v>
      </c>
      <c r="F5942" s="3">
        <f t="shared" si="1338"/>
        <v>11</v>
      </c>
      <c r="G5942" s="3">
        <f t="shared" si="1339"/>
        <v>19</v>
      </c>
      <c r="H5942" s="3">
        <f t="shared" si="1340"/>
        <v>17</v>
      </c>
      <c r="I5942" s="3">
        <f t="shared" si="1341"/>
        <v>42</v>
      </c>
      <c r="J5942" s="3">
        <f t="shared" si="1342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343"/>
        <v>YES</v>
      </c>
      <c r="Q5942" t="str">
        <f t="shared" si="1344"/>
        <v>NO</v>
      </c>
      <c r="R5942" t="str">
        <f t="shared" si="1345"/>
        <v>NO</v>
      </c>
      <c r="T5942" t="s">
        <v>105</v>
      </c>
      <c r="U5942" t="str">
        <f t="shared" si="1332"/>
        <v>Broadway</v>
      </c>
      <c r="V5942" t="s">
        <v>667</v>
      </c>
      <c r="W5942" t="str">
        <f t="shared" si="1333"/>
        <v>Tremont St</v>
      </c>
      <c r="X5942" t="str">
        <f>IF(ISBLANK(S5942),"Intersection","Non-Intersection")</f>
        <v>Intersection</v>
      </c>
      <c r="Y5942" t="s">
        <v>1721</v>
      </c>
      <c r="Z5942" t="str">
        <f t="shared" si="1334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335"/>
        <v>41275</v>
      </c>
      <c r="D5943" s="4">
        <f t="shared" si="1336"/>
        <v>0.88219178082191785</v>
      </c>
      <c r="E5943" s="3">
        <f t="shared" si="1337"/>
        <v>2013</v>
      </c>
      <c r="F5943" s="3">
        <f t="shared" si="1338"/>
        <v>11</v>
      </c>
      <c r="G5943" s="3">
        <f t="shared" si="1339"/>
        <v>19</v>
      </c>
      <c r="H5943" s="3">
        <f t="shared" si="1340"/>
        <v>8</v>
      </c>
      <c r="I5943" s="3">
        <f t="shared" si="1341"/>
        <v>55</v>
      </c>
      <c r="J5943" s="3">
        <f t="shared" si="1342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343"/>
        <v>YES</v>
      </c>
      <c r="Q5943" t="str">
        <f t="shared" si="1344"/>
        <v>NO</v>
      </c>
      <c r="R5943" t="str">
        <f t="shared" si="1345"/>
        <v>NO</v>
      </c>
      <c r="T5943" t="s">
        <v>198</v>
      </c>
      <c r="U5943" t="str">
        <f t="shared" si="1332"/>
        <v>Mount Auburn St</v>
      </c>
      <c r="V5943" t="s">
        <v>518</v>
      </c>
      <c r="W5943" t="str">
        <f t="shared" si="1333"/>
        <v>Willard St</v>
      </c>
      <c r="X5943" t="str">
        <f>IF(ISBLANK(S5943),"Intersection","Non-Intersection")</f>
        <v>Intersection</v>
      </c>
      <c r="Y5943" t="s">
        <v>519</v>
      </c>
      <c r="Z5943" t="str">
        <f t="shared" si="1334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335"/>
        <v>41275</v>
      </c>
      <c r="D5944" s="4">
        <f t="shared" si="1336"/>
        <v>0.88219178082191785</v>
      </c>
      <c r="E5944" s="3">
        <f t="shared" si="1337"/>
        <v>2013</v>
      </c>
      <c r="F5944" s="3">
        <f t="shared" si="1338"/>
        <v>11</v>
      </c>
      <c r="G5944" s="3">
        <f t="shared" si="1339"/>
        <v>19</v>
      </c>
      <c r="H5944" s="3">
        <f t="shared" si="1340"/>
        <v>12</v>
      </c>
      <c r="I5944" s="3">
        <f t="shared" si="1341"/>
        <v>14</v>
      </c>
      <c r="J5944" s="3">
        <f t="shared" si="1342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343"/>
        <v>YES</v>
      </c>
      <c r="Q5944" t="str">
        <f t="shared" si="1344"/>
        <v>NO</v>
      </c>
      <c r="R5944" t="str">
        <f t="shared" si="1345"/>
        <v>NO</v>
      </c>
      <c r="T5944" t="s">
        <v>198</v>
      </c>
      <c r="U5944" t="str">
        <f t="shared" si="1332"/>
        <v>Mount Auburn St</v>
      </c>
      <c r="V5944" t="s">
        <v>518</v>
      </c>
      <c r="W5944" t="str">
        <f t="shared" si="1333"/>
        <v>Willard St</v>
      </c>
      <c r="X5944" t="str">
        <f>IF(ISBLANK(S5944),"Intersection","Non-Intersection")</f>
        <v>Intersection</v>
      </c>
      <c r="Y5944" t="s">
        <v>519</v>
      </c>
      <c r="Z5944" t="str">
        <f t="shared" si="1334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335"/>
        <v>41275</v>
      </c>
      <c r="D5945" s="4">
        <f t="shared" si="1336"/>
        <v>0.88219178082191785</v>
      </c>
      <c r="E5945" s="3">
        <f t="shared" si="1337"/>
        <v>2013</v>
      </c>
      <c r="F5945" s="3">
        <f t="shared" si="1338"/>
        <v>11</v>
      </c>
      <c r="G5945" s="3">
        <f t="shared" si="1339"/>
        <v>19</v>
      </c>
      <c r="H5945" s="3">
        <f t="shared" si="1340"/>
        <v>18</v>
      </c>
      <c r="I5945" s="3">
        <f t="shared" si="1341"/>
        <v>45</v>
      </c>
      <c r="J5945" s="3">
        <f t="shared" si="1342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343"/>
        <v>YES</v>
      </c>
      <c r="Q5945" t="str">
        <f t="shared" si="1344"/>
        <v>NO</v>
      </c>
      <c r="R5945" t="str">
        <f t="shared" si="1345"/>
        <v>NO</v>
      </c>
      <c r="S5945">
        <v>699</v>
      </c>
      <c r="T5945" t="s">
        <v>198</v>
      </c>
      <c r="U5945" t="str">
        <f t="shared" si="1332"/>
        <v>Mount Auburn St</v>
      </c>
      <c r="W5945" t="str">
        <f t="shared" si="1333"/>
        <v/>
      </c>
      <c r="X5945" t="str">
        <f>IF(ISBLANK(S5945),"Intersection","Non-Intersection")</f>
        <v>Non-Intersection</v>
      </c>
      <c r="Y5945" t="s">
        <v>585</v>
      </c>
      <c r="Z5945" t="str">
        <f t="shared" si="1334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335"/>
        <v>41275</v>
      </c>
      <c r="D5946" s="4">
        <f t="shared" si="1336"/>
        <v>0.8849315068493151</v>
      </c>
      <c r="E5946" s="3">
        <f t="shared" si="1337"/>
        <v>2013</v>
      </c>
      <c r="F5946" s="3">
        <f t="shared" si="1338"/>
        <v>11</v>
      </c>
      <c r="G5946" s="3">
        <f t="shared" si="1339"/>
        <v>20</v>
      </c>
      <c r="H5946" s="3">
        <f t="shared" si="1340"/>
        <v>6</v>
      </c>
      <c r="I5946" s="3">
        <f t="shared" si="1341"/>
        <v>59</v>
      </c>
      <c r="J5946" s="3">
        <f t="shared" si="1342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343"/>
        <v>YES</v>
      </c>
      <c r="Q5946" t="str">
        <f t="shared" si="1344"/>
        <v>NO</v>
      </c>
      <c r="R5946" t="str">
        <f t="shared" si="1345"/>
        <v>NO</v>
      </c>
      <c r="S5946">
        <v>22</v>
      </c>
      <c r="T5946" t="s">
        <v>156</v>
      </c>
      <c r="U5946" t="str">
        <f t="shared" si="1332"/>
        <v>Magee St</v>
      </c>
      <c r="W5946" t="str">
        <f t="shared" si="1333"/>
        <v/>
      </c>
      <c r="X5946" t="str">
        <f>IF(ISBLANK(S5946),"Intersection","Non-Intersection")</f>
        <v>Non-Intersection</v>
      </c>
      <c r="Y5946" t="s">
        <v>6202</v>
      </c>
      <c r="Z5946" t="str">
        <f t="shared" si="1334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335"/>
        <v>41275</v>
      </c>
      <c r="D5947" s="4">
        <f t="shared" si="1336"/>
        <v>0.8849315068493151</v>
      </c>
      <c r="E5947" s="3">
        <f t="shared" si="1337"/>
        <v>2013</v>
      </c>
      <c r="F5947" s="3">
        <f t="shared" si="1338"/>
        <v>11</v>
      </c>
      <c r="G5947" s="3">
        <f t="shared" si="1339"/>
        <v>20</v>
      </c>
      <c r="H5947" s="3">
        <f t="shared" si="1340"/>
        <v>9</v>
      </c>
      <c r="I5947" s="3">
        <f t="shared" si="1341"/>
        <v>13</v>
      </c>
      <c r="J5947" s="3">
        <f t="shared" si="1342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343"/>
        <v>YES</v>
      </c>
      <c r="Q5947" t="str">
        <f t="shared" si="1344"/>
        <v>YES</v>
      </c>
      <c r="R5947" t="str">
        <f t="shared" si="1345"/>
        <v>NO</v>
      </c>
      <c r="T5947" t="s">
        <v>14</v>
      </c>
      <c r="U5947" t="str">
        <f t="shared" si="1332"/>
        <v>Massachusetts Ave</v>
      </c>
      <c r="V5947" t="s">
        <v>1426</v>
      </c>
      <c r="W5947" t="str">
        <f t="shared" si="1333"/>
        <v>Rice St</v>
      </c>
      <c r="X5947" t="str">
        <f>IF(ISBLANK(S5947),"Intersection","Non-Intersection")</f>
        <v>Intersection</v>
      </c>
      <c r="Y5947" t="s">
        <v>2369</v>
      </c>
      <c r="Z5947" t="str">
        <f t="shared" si="1334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335"/>
        <v>41275</v>
      </c>
      <c r="D5948" s="4">
        <f t="shared" si="1336"/>
        <v>0.8849315068493151</v>
      </c>
      <c r="E5948" s="3">
        <f t="shared" si="1337"/>
        <v>2013</v>
      </c>
      <c r="F5948" s="3">
        <f t="shared" si="1338"/>
        <v>11</v>
      </c>
      <c r="G5948" s="3">
        <f t="shared" si="1339"/>
        <v>20</v>
      </c>
      <c r="H5948" s="3">
        <f t="shared" si="1340"/>
        <v>13</v>
      </c>
      <c r="I5948" s="3">
        <f t="shared" si="1341"/>
        <v>40</v>
      </c>
      <c r="J5948" s="3">
        <f t="shared" si="1342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343"/>
        <v>YES</v>
      </c>
      <c r="Q5948" t="str">
        <f t="shared" si="1344"/>
        <v>NO</v>
      </c>
      <c r="R5948" t="str">
        <f t="shared" si="1345"/>
        <v>NO</v>
      </c>
      <c r="S5948">
        <v>157</v>
      </c>
      <c r="T5948" t="s">
        <v>198</v>
      </c>
      <c r="U5948" t="str">
        <f t="shared" si="1332"/>
        <v>Mount Auburn St</v>
      </c>
      <c r="W5948" t="str">
        <f t="shared" si="1333"/>
        <v/>
      </c>
      <c r="X5948" t="str">
        <f>IF(ISBLANK(S5948),"Intersection","Non-Intersection")</f>
        <v>Non-Intersection</v>
      </c>
      <c r="Y5948" t="s">
        <v>6204</v>
      </c>
      <c r="Z5948" t="str">
        <f t="shared" si="1334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335"/>
        <v>41275</v>
      </c>
      <c r="D5949" s="4">
        <f t="shared" si="1336"/>
        <v>0.88767123287671235</v>
      </c>
      <c r="E5949" s="3">
        <f t="shared" si="1337"/>
        <v>2013</v>
      </c>
      <c r="F5949" s="3">
        <f t="shared" si="1338"/>
        <v>11</v>
      </c>
      <c r="G5949" s="3">
        <f t="shared" si="1339"/>
        <v>21</v>
      </c>
      <c r="H5949" s="3">
        <f t="shared" si="1340"/>
        <v>9</v>
      </c>
      <c r="I5949" s="3">
        <f t="shared" si="1341"/>
        <v>10</v>
      </c>
      <c r="J5949" s="3">
        <f t="shared" si="1342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343"/>
        <v>YES</v>
      </c>
      <c r="Q5949" t="str">
        <f t="shared" si="1344"/>
        <v>YES</v>
      </c>
      <c r="R5949" t="str">
        <f t="shared" si="1345"/>
        <v>NO</v>
      </c>
      <c r="S5949">
        <v>190</v>
      </c>
      <c r="T5949" t="s">
        <v>119</v>
      </c>
      <c r="U5949" t="str">
        <f t="shared" si="1332"/>
        <v>Albany St</v>
      </c>
      <c r="W5949" t="str">
        <f t="shared" si="1333"/>
        <v/>
      </c>
      <c r="X5949" t="str">
        <f>IF(ISBLANK(S5949),"Intersection","Non-Intersection")</f>
        <v>Non-Intersection</v>
      </c>
      <c r="Y5949" t="s">
        <v>6206</v>
      </c>
      <c r="Z5949" t="str">
        <f t="shared" si="1334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335"/>
        <v>41275</v>
      </c>
      <c r="D5950" s="4">
        <f t="shared" si="1336"/>
        <v>0.88767123287671235</v>
      </c>
      <c r="E5950" s="3">
        <f t="shared" si="1337"/>
        <v>2013</v>
      </c>
      <c r="F5950" s="3">
        <f t="shared" si="1338"/>
        <v>11</v>
      </c>
      <c r="G5950" s="3">
        <f t="shared" si="1339"/>
        <v>21</v>
      </c>
      <c r="H5950" s="3">
        <f t="shared" si="1340"/>
        <v>7</v>
      </c>
      <c r="I5950" s="3">
        <f t="shared" si="1341"/>
        <v>50</v>
      </c>
      <c r="J5950" s="3">
        <f t="shared" si="1342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343"/>
        <v>YES</v>
      </c>
      <c r="Q5950" t="str">
        <f t="shared" si="1344"/>
        <v>NO</v>
      </c>
      <c r="R5950" t="str">
        <f t="shared" si="1345"/>
        <v>NO</v>
      </c>
      <c r="T5950" t="s">
        <v>14</v>
      </c>
      <c r="U5950" t="str">
        <f t="shared" si="1332"/>
        <v>Massachusetts Ave</v>
      </c>
      <c r="V5950" t="s">
        <v>167</v>
      </c>
      <c r="W5950" t="str">
        <f t="shared" si="1333"/>
        <v>Wendell St</v>
      </c>
      <c r="X5950" t="str">
        <f>IF(ISBLANK(S5950),"Intersection","Non-Intersection")</f>
        <v>Intersection</v>
      </c>
      <c r="Y5950" t="s">
        <v>817</v>
      </c>
      <c r="Z5950" t="str">
        <f t="shared" si="1334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335"/>
        <v>41275</v>
      </c>
      <c r="D5951" s="4">
        <f t="shared" si="1336"/>
        <v>0.88767123287671235</v>
      </c>
      <c r="E5951" s="3">
        <f t="shared" si="1337"/>
        <v>2013</v>
      </c>
      <c r="F5951" s="3">
        <f t="shared" si="1338"/>
        <v>11</v>
      </c>
      <c r="G5951" s="3">
        <f t="shared" si="1339"/>
        <v>21</v>
      </c>
      <c r="H5951" s="3">
        <f t="shared" si="1340"/>
        <v>9</v>
      </c>
      <c r="I5951" s="3">
        <f t="shared" si="1341"/>
        <v>30</v>
      </c>
      <c r="J5951" s="3">
        <f t="shared" si="1342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343"/>
        <v>YES</v>
      </c>
      <c r="Q5951" t="str">
        <f t="shared" si="1344"/>
        <v>NO</v>
      </c>
      <c r="R5951" t="str">
        <f t="shared" si="1345"/>
        <v>NO</v>
      </c>
      <c r="T5951" t="s">
        <v>74</v>
      </c>
      <c r="U5951" t="str">
        <f t="shared" si="1332"/>
        <v>Hampshire St</v>
      </c>
      <c r="V5951" t="s">
        <v>19</v>
      </c>
      <c r="W5951" t="str">
        <f t="shared" si="1333"/>
        <v>Cambridge St</v>
      </c>
      <c r="X5951" t="str">
        <f>IF(ISBLANK(S5951),"Intersection","Non-Intersection")</f>
        <v>Intersection</v>
      </c>
      <c r="Y5951" t="s">
        <v>2236</v>
      </c>
      <c r="Z5951" t="str">
        <f t="shared" si="1334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335"/>
        <v>41275</v>
      </c>
      <c r="D5952" s="4">
        <f t="shared" si="1336"/>
        <v>0.88767123287671235</v>
      </c>
      <c r="E5952" s="3">
        <f t="shared" si="1337"/>
        <v>2013</v>
      </c>
      <c r="F5952" s="3">
        <f t="shared" si="1338"/>
        <v>11</v>
      </c>
      <c r="G5952" s="3">
        <f t="shared" si="1339"/>
        <v>21</v>
      </c>
      <c r="H5952" s="3">
        <f t="shared" si="1340"/>
        <v>15</v>
      </c>
      <c r="I5952" s="3">
        <f t="shared" si="1341"/>
        <v>0</v>
      </c>
      <c r="J5952" s="3">
        <f t="shared" si="1342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343"/>
        <v>YES</v>
      </c>
      <c r="Q5952" t="str">
        <f t="shared" si="1344"/>
        <v>NO</v>
      </c>
      <c r="R5952" t="str">
        <f t="shared" si="1345"/>
        <v>NO</v>
      </c>
      <c r="S5952">
        <v>1925</v>
      </c>
      <c r="T5952" t="s">
        <v>14</v>
      </c>
      <c r="U5952" t="str">
        <f t="shared" si="1332"/>
        <v>Massachusetts Ave</v>
      </c>
      <c r="W5952" t="str">
        <f t="shared" si="1333"/>
        <v/>
      </c>
      <c r="X5952" t="str">
        <f>IF(ISBLANK(S5952),"Intersection","Non-Intersection")</f>
        <v>Non-Intersection</v>
      </c>
      <c r="Y5952" t="s">
        <v>5087</v>
      </c>
      <c r="Z5952" t="str">
        <f t="shared" si="1334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335"/>
        <v>41275</v>
      </c>
      <c r="D5953" s="4">
        <f t="shared" si="1336"/>
        <v>0.88767123287671235</v>
      </c>
      <c r="E5953" s="3">
        <f t="shared" si="1337"/>
        <v>2013</v>
      </c>
      <c r="F5953" s="3">
        <f t="shared" si="1338"/>
        <v>11</v>
      </c>
      <c r="G5953" s="3">
        <f t="shared" si="1339"/>
        <v>21</v>
      </c>
      <c r="H5953" s="3">
        <f t="shared" si="1340"/>
        <v>19</v>
      </c>
      <c r="I5953" s="3">
        <f t="shared" si="1341"/>
        <v>35</v>
      </c>
      <c r="J5953" s="3">
        <f t="shared" si="1342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343"/>
        <v>YES</v>
      </c>
      <c r="Q5953" t="str">
        <f t="shared" si="1344"/>
        <v>NO</v>
      </c>
      <c r="R5953" t="str">
        <f t="shared" si="1345"/>
        <v>NO</v>
      </c>
      <c r="S5953">
        <v>195</v>
      </c>
      <c r="T5953" t="s">
        <v>5212</v>
      </c>
      <c r="U5953" t="str">
        <f t="shared" si="1332"/>
        <v>Concord Tpke</v>
      </c>
      <c r="W5953" t="str">
        <f t="shared" si="1333"/>
        <v/>
      </c>
      <c r="X5953" t="str">
        <f>IF(ISBLANK(S5953),"Intersection","Non-Intersection")</f>
        <v>Non-Intersection</v>
      </c>
      <c r="Y5953" t="s">
        <v>6208</v>
      </c>
      <c r="Z5953" t="str">
        <f t="shared" si="1334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335"/>
        <v>41275</v>
      </c>
      <c r="D5954" s="4">
        <f t="shared" si="1336"/>
        <v>0.88767123287671235</v>
      </c>
      <c r="E5954" s="3">
        <f t="shared" si="1337"/>
        <v>2013</v>
      </c>
      <c r="F5954" s="3">
        <f t="shared" si="1338"/>
        <v>11</v>
      </c>
      <c r="G5954" s="3">
        <f t="shared" si="1339"/>
        <v>21</v>
      </c>
      <c r="H5954" s="3">
        <f t="shared" si="1340"/>
        <v>15</v>
      </c>
      <c r="I5954" s="3">
        <f t="shared" si="1341"/>
        <v>59</v>
      </c>
      <c r="J5954" s="3">
        <f t="shared" si="1342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343"/>
        <v>YES</v>
      </c>
      <c r="Q5954" t="str">
        <f t="shared" si="1344"/>
        <v>NO</v>
      </c>
      <c r="R5954" t="str">
        <f t="shared" si="1345"/>
        <v>NO</v>
      </c>
      <c r="S5954">
        <v>477</v>
      </c>
      <c r="T5954" t="s">
        <v>186</v>
      </c>
      <c r="U5954" t="str">
        <f t="shared" si="1332"/>
        <v>Concord Ave</v>
      </c>
      <c r="W5954" t="str">
        <f t="shared" si="1333"/>
        <v/>
      </c>
      <c r="X5954" t="str">
        <f>IF(ISBLANK(S5954),"Intersection","Non-Intersection")</f>
        <v>Non-Intersection</v>
      </c>
      <c r="Y5954" t="s">
        <v>6210</v>
      </c>
      <c r="Z5954" t="str">
        <f t="shared" si="1334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335"/>
        <v>41275</v>
      </c>
      <c r="D5955" s="4">
        <f t="shared" si="1336"/>
        <v>0.8904109589041096</v>
      </c>
      <c r="E5955" s="3">
        <f t="shared" si="1337"/>
        <v>2013</v>
      </c>
      <c r="F5955" s="3">
        <f t="shared" si="1338"/>
        <v>11</v>
      </c>
      <c r="G5955" s="3">
        <f t="shared" si="1339"/>
        <v>22</v>
      </c>
      <c r="H5955" s="3">
        <f t="shared" si="1340"/>
        <v>12</v>
      </c>
      <c r="I5955" s="3">
        <f t="shared" si="1341"/>
        <v>53</v>
      </c>
      <c r="J5955" s="3">
        <f t="shared" si="1342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343"/>
        <v>YES</v>
      </c>
      <c r="Q5955" t="str">
        <f t="shared" si="1344"/>
        <v>NO</v>
      </c>
      <c r="R5955" t="str">
        <f t="shared" si="1345"/>
        <v>NO</v>
      </c>
      <c r="S5955">
        <v>35</v>
      </c>
      <c r="T5955" t="s">
        <v>518</v>
      </c>
      <c r="U5955" t="str">
        <f t="shared" ref="U5955:U6018" si="1346">TRIM(PROPER(T5955))</f>
        <v>Willard St</v>
      </c>
      <c r="W5955" t="str">
        <f t="shared" ref="W5955:W6018" si="1347">TRIM(PROPER(V5955))</f>
        <v/>
      </c>
      <c r="X5955" t="str">
        <f>IF(ISBLANK(S5955),"Intersection","Non-Intersection")</f>
        <v>Non-Intersection</v>
      </c>
      <c r="Y5955" t="s">
        <v>1761</v>
      </c>
      <c r="Z5955" t="str">
        <f t="shared" ref="Z5955:Z6018" si="1348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335"/>
        <v>41275</v>
      </c>
      <c r="D5956" s="4">
        <f t="shared" si="1336"/>
        <v>0.8904109589041096</v>
      </c>
      <c r="E5956" s="3">
        <f t="shared" si="1337"/>
        <v>2013</v>
      </c>
      <c r="F5956" s="3">
        <f t="shared" si="1338"/>
        <v>11</v>
      </c>
      <c r="G5956" s="3">
        <f t="shared" si="1339"/>
        <v>22</v>
      </c>
      <c r="H5956" s="3">
        <f t="shared" si="1340"/>
        <v>17</v>
      </c>
      <c r="I5956" s="3">
        <f t="shared" si="1341"/>
        <v>51</v>
      </c>
      <c r="J5956" s="3">
        <f t="shared" si="1342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343"/>
        <v>YES</v>
      </c>
      <c r="Q5956" t="str">
        <f t="shared" si="1344"/>
        <v>NO</v>
      </c>
      <c r="R5956" t="str">
        <f t="shared" si="1345"/>
        <v>YES</v>
      </c>
      <c r="T5956" t="s">
        <v>19</v>
      </c>
      <c r="U5956" t="str">
        <f t="shared" si="1346"/>
        <v>Cambridge St</v>
      </c>
      <c r="V5956" t="s">
        <v>61</v>
      </c>
      <c r="W5956" t="str">
        <f t="shared" si="1347"/>
        <v>First St</v>
      </c>
      <c r="X5956" t="str">
        <f>IF(ISBLANK(S5956),"Intersection","Non-Intersection")</f>
        <v>Intersection</v>
      </c>
      <c r="Y5956" t="s">
        <v>494</v>
      </c>
      <c r="Z5956" t="str">
        <f t="shared" si="1348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335"/>
        <v>41275</v>
      </c>
      <c r="D5957" s="4">
        <f t="shared" si="1336"/>
        <v>0.8904109589041096</v>
      </c>
      <c r="E5957" s="3">
        <f t="shared" si="1337"/>
        <v>2013</v>
      </c>
      <c r="F5957" s="3">
        <f t="shared" si="1338"/>
        <v>11</v>
      </c>
      <c r="G5957" s="3">
        <f t="shared" si="1339"/>
        <v>22</v>
      </c>
      <c r="H5957" s="3">
        <f t="shared" si="1340"/>
        <v>22</v>
      </c>
      <c r="I5957" s="3">
        <f t="shared" si="1341"/>
        <v>25</v>
      </c>
      <c r="J5957" s="3">
        <f t="shared" si="1342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343"/>
        <v>YES</v>
      </c>
      <c r="Q5957" t="str">
        <f t="shared" si="1344"/>
        <v>NO</v>
      </c>
      <c r="R5957" t="str">
        <f t="shared" si="1345"/>
        <v>NO</v>
      </c>
      <c r="T5957" t="s">
        <v>14</v>
      </c>
      <c r="U5957" t="str">
        <f t="shared" si="1346"/>
        <v>Massachusetts Ave</v>
      </c>
      <c r="V5957" t="s">
        <v>203</v>
      </c>
      <c r="W5957" t="str">
        <f t="shared" si="1347"/>
        <v>Memorial Dr</v>
      </c>
      <c r="X5957" t="str">
        <f>IF(ISBLANK(S5957),"Intersection","Non-Intersection")</f>
        <v>Intersection</v>
      </c>
      <c r="Y5957" t="s">
        <v>3246</v>
      </c>
      <c r="Z5957" t="str">
        <f t="shared" si="1348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335"/>
        <v>41275</v>
      </c>
      <c r="D5958" s="4">
        <f t="shared" si="1336"/>
        <v>0.89315068493150684</v>
      </c>
      <c r="E5958" s="3">
        <f t="shared" si="1337"/>
        <v>2013</v>
      </c>
      <c r="F5958" s="3">
        <f t="shared" si="1338"/>
        <v>11</v>
      </c>
      <c r="G5958" s="3">
        <f t="shared" si="1339"/>
        <v>23</v>
      </c>
      <c r="H5958" s="3">
        <f t="shared" si="1340"/>
        <v>9</v>
      </c>
      <c r="I5958" s="3">
        <f t="shared" si="1341"/>
        <v>52</v>
      </c>
      <c r="J5958" s="3">
        <f t="shared" si="1342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343"/>
        <v>YES</v>
      </c>
      <c r="Q5958" t="str">
        <f t="shared" si="1344"/>
        <v>NO</v>
      </c>
      <c r="R5958" t="str">
        <f t="shared" si="1345"/>
        <v>YES</v>
      </c>
      <c r="S5958">
        <v>77</v>
      </c>
      <c r="T5958" t="s">
        <v>166</v>
      </c>
      <c r="U5958" t="str">
        <f t="shared" si="1346"/>
        <v>Oxford Ave</v>
      </c>
      <c r="W5958" t="str">
        <f t="shared" si="1347"/>
        <v/>
      </c>
      <c r="X5958" t="str">
        <f>IF(ISBLANK(S5958),"Intersection","Non-Intersection")</f>
        <v>Non-Intersection</v>
      </c>
      <c r="Y5958" t="s">
        <v>6212</v>
      </c>
      <c r="Z5958" t="str">
        <f t="shared" si="1348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335"/>
        <v>41275</v>
      </c>
      <c r="D5959" s="4">
        <f t="shared" si="1336"/>
        <v>0.89315068493150684</v>
      </c>
      <c r="E5959" s="3">
        <f t="shared" si="1337"/>
        <v>2013</v>
      </c>
      <c r="F5959" s="3">
        <f t="shared" si="1338"/>
        <v>11</v>
      </c>
      <c r="G5959" s="3">
        <f t="shared" si="1339"/>
        <v>23</v>
      </c>
      <c r="H5959" s="3">
        <f t="shared" si="1340"/>
        <v>16</v>
      </c>
      <c r="I5959" s="3">
        <f t="shared" si="1341"/>
        <v>44</v>
      </c>
      <c r="J5959" s="3">
        <f t="shared" si="1342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343"/>
        <v>YES</v>
      </c>
      <c r="Q5959" t="str">
        <f t="shared" si="1344"/>
        <v>NO</v>
      </c>
      <c r="R5959" t="str">
        <f t="shared" si="1345"/>
        <v>NO</v>
      </c>
      <c r="S5959">
        <v>400</v>
      </c>
      <c r="T5959" t="s">
        <v>133</v>
      </c>
      <c r="U5959" t="str">
        <f t="shared" si="1346"/>
        <v>Harvard St</v>
      </c>
      <c r="W5959" t="str">
        <f t="shared" si="1347"/>
        <v/>
      </c>
      <c r="X5959" t="str">
        <f>IF(ISBLANK(S5959),"Intersection","Non-Intersection")</f>
        <v>Non-Intersection</v>
      </c>
      <c r="Y5959" t="s">
        <v>6214</v>
      </c>
      <c r="Z5959" t="str">
        <f t="shared" si="1348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335"/>
        <v>41275</v>
      </c>
      <c r="D5960" s="4">
        <f t="shared" si="1336"/>
        <v>0.89589041095890409</v>
      </c>
      <c r="E5960" s="3">
        <f t="shared" si="1337"/>
        <v>2013</v>
      </c>
      <c r="F5960" s="3">
        <f t="shared" si="1338"/>
        <v>11</v>
      </c>
      <c r="G5960" s="3">
        <f t="shared" si="1339"/>
        <v>24</v>
      </c>
      <c r="H5960" s="3">
        <f t="shared" si="1340"/>
        <v>14</v>
      </c>
      <c r="I5960" s="3">
        <f t="shared" si="1341"/>
        <v>15</v>
      </c>
      <c r="J5960" s="3">
        <f t="shared" si="1342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343"/>
        <v>YES</v>
      </c>
      <c r="Q5960" t="str">
        <f t="shared" si="1344"/>
        <v>NO</v>
      </c>
      <c r="R5960" t="str">
        <f t="shared" si="1345"/>
        <v>YES</v>
      </c>
      <c r="T5960" t="s">
        <v>178</v>
      </c>
      <c r="U5960" t="str">
        <f t="shared" si="1346"/>
        <v>Pleasant St</v>
      </c>
      <c r="V5960" t="s">
        <v>27</v>
      </c>
      <c r="W5960" t="str">
        <f t="shared" si="1347"/>
        <v>Western Ave</v>
      </c>
      <c r="X5960" t="str">
        <f>IF(ISBLANK(S5960),"Intersection","Non-Intersection")</f>
        <v>Intersection</v>
      </c>
      <c r="Y5960" t="s">
        <v>4444</v>
      </c>
      <c r="Z5960" t="str">
        <f t="shared" si="1348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349">EOMONTH(B5961,MONTH(B5961)*-1)+1</f>
        <v>41275</v>
      </c>
      <c r="D5961" s="4">
        <f t="shared" ref="D5961:D6024" si="1350">YEARFRAC(C5961,B5961,1)</f>
        <v>0.89589041095890409</v>
      </c>
      <c r="E5961" s="3">
        <f t="shared" ref="E5961:E6024" si="1351">YEAR(B5961)</f>
        <v>2013</v>
      </c>
      <c r="F5961" s="3">
        <f t="shared" ref="F5961:F6024" si="1352">MONTH(B5961)</f>
        <v>11</v>
      </c>
      <c r="G5961" s="3">
        <f t="shared" ref="G5961:G6024" si="1353">DAY(B5961)</f>
        <v>24</v>
      </c>
      <c r="H5961" s="3">
        <f t="shared" ref="H5961:H6024" si="1354">HOUR(B5961)</f>
        <v>13</v>
      </c>
      <c r="I5961" s="3">
        <f t="shared" ref="I5961:I6024" si="1355">MINUTE(B5961)</f>
        <v>50</v>
      </c>
      <c r="J5961" s="3">
        <f t="shared" ref="J5961:J6024" si="1356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357">IF(OR(N5961="Auto",O5961="Auto"),"YES",IF(OR(N5961="Taxi",O5961="Taxi"),"YES",IF(OR(N5961="Van",O5961="Van"),"YES",IF(OR(N5961="Truck",O5961="Truck"),"YES","NO"))))</f>
        <v>YES</v>
      </c>
      <c r="Q5961" t="str">
        <f t="shared" ref="Q5961:Q6024" si="1358">IF(OR(N5961="Bicycle",O5961="Bicycle"),"YES","NO")</f>
        <v>NO</v>
      </c>
      <c r="R5961" t="str">
        <f t="shared" ref="R5961:R6024" si="1359">IF(OR(N5961="Pedestrian",O5961="Pedestrian"),"YES","NO")</f>
        <v>NO</v>
      </c>
      <c r="S5961">
        <v>424</v>
      </c>
      <c r="T5961" t="s">
        <v>105</v>
      </c>
      <c r="U5961" t="str">
        <f t="shared" si="1346"/>
        <v>Broadway</v>
      </c>
      <c r="W5961" t="str">
        <f t="shared" si="1347"/>
        <v/>
      </c>
      <c r="X5961" t="str">
        <f>IF(ISBLANK(S5961),"Intersection","Non-Intersection")</f>
        <v>Non-Intersection</v>
      </c>
      <c r="Y5961" t="s">
        <v>6216</v>
      </c>
      <c r="Z5961" t="str">
        <f t="shared" si="1348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349"/>
        <v>41275</v>
      </c>
      <c r="D5962" s="4">
        <f t="shared" si="1350"/>
        <v>0.89589041095890409</v>
      </c>
      <c r="E5962" s="3">
        <f t="shared" si="1351"/>
        <v>2013</v>
      </c>
      <c r="F5962" s="3">
        <f t="shared" si="1352"/>
        <v>11</v>
      </c>
      <c r="G5962" s="3">
        <f t="shared" si="1353"/>
        <v>24</v>
      </c>
      <c r="H5962" s="3">
        <f t="shared" si="1354"/>
        <v>14</v>
      </c>
      <c r="I5962" s="3">
        <f t="shared" si="1355"/>
        <v>0</v>
      </c>
      <c r="J5962" s="3">
        <f t="shared" si="1356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357"/>
        <v>YES</v>
      </c>
      <c r="Q5962" t="str">
        <f t="shared" si="1358"/>
        <v>NO</v>
      </c>
      <c r="R5962" t="str">
        <f t="shared" si="1359"/>
        <v>YES</v>
      </c>
      <c r="T5962" t="s">
        <v>825</v>
      </c>
      <c r="U5962" t="str">
        <f t="shared" si="1346"/>
        <v>Vincent St</v>
      </c>
      <c r="V5962" t="s">
        <v>550</v>
      </c>
      <c r="W5962" t="str">
        <f t="shared" si="1347"/>
        <v>Upland Rd</v>
      </c>
      <c r="X5962" t="str">
        <f>IF(ISBLANK(S5962),"Intersection","Non-Intersection")</f>
        <v>Intersection</v>
      </c>
      <c r="Y5962" t="s">
        <v>6218</v>
      </c>
      <c r="Z5962" t="str">
        <f t="shared" si="1348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349"/>
        <v>41275</v>
      </c>
      <c r="D5963" s="4">
        <f t="shared" si="1350"/>
        <v>0.89589041095890409</v>
      </c>
      <c r="E5963" s="3">
        <f t="shared" si="1351"/>
        <v>2013</v>
      </c>
      <c r="F5963" s="3">
        <f t="shared" si="1352"/>
        <v>11</v>
      </c>
      <c r="G5963" s="3">
        <f t="shared" si="1353"/>
        <v>24</v>
      </c>
      <c r="H5963" s="3">
        <f t="shared" si="1354"/>
        <v>17</v>
      </c>
      <c r="I5963" s="3">
        <f t="shared" si="1355"/>
        <v>29</v>
      </c>
      <c r="J5963" s="3">
        <f t="shared" si="1356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357"/>
        <v>YES</v>
      </c>
      <c r="Q5963" t="str">
        <f t="shared" si="1358"/>
        <v>NO</v>
      </c>
      <c r="R5963" t="str">
        <f t="shared" si="1359"/>
        <v>NO</v>
      </c>
      <c r="S5963">
        <v>1815</v>
      </c>
      <c r="T5963" t="s">
        <v>14</v>
      </c>
      <c r="U5963" t="str">
        <f t="shared" si="1346"/>
        <v>Massachusetts Ave</v>
      </c>
      <c r="W5963" t="str">
        <f t="shared" si="1347"/>
        <v/>
      </c>
      <c r="X5963" t="str">
        <f>IF(ISBLANK(S5963),"Intersection","Non-Intersection")</f>
        <v>Non-Intersection</v>
      </c>
      <c r="Y5963" t="s">
        <v>2783</v>
      </c>
      <c r="Z5963" t="str">
        <f t="shared" si="1348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349"/>
        <v>41275</v>
      </c>
      <c r="D5964" s="4">
        <f t="shared" si="1350"/>
        <v>0.89589041095890409</v>
      </c>
      <c r="E5964" s="3">
        <f t="shared" si="1351"/>
        <v>2013</v>
      </c>
      <c r="F5964" s="3">
        <f t="shared" si="1352"/>
        <v>11</v>
      </c>
      <c r="G5964" s="3">
        <f t="shared" si="1353"/>
        <v>24</v>
      </c>
      <c r="H5964" s="3">
        <f t="shared" si="1354"/>
        <v>18</v>
      </c>
      <c r="I5964" s="3">
        <f t="shared" si="1355"/>
        <v>0</v>
      </c>
      <c r="J5964" s="3">
        <f t="shared" si="1356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357"/>
        <v>YES</v>
      </c>
      <c r="Q5964" t="str">
        <f t="shared" si="1358"/>
        <v>NO</v>
      </c>
      <c r="R5964" t="str">
        <f t="shared" si="1359"/>
        <v>NO</v>
      </c>
      <c r="S5964">
        <v>1572</v>
      </c>
      <c r="T5964" t="s">
        <v>14</v>
      </c>
      <c r="U5964" t="str">
        <f t="shared" si="1346"/>
        <v>Massachusetts Ave</v>
      </c>
      <c r="W5964" t="str">
        <f t="shared" si="1347"/>
        <v/>
      </c>
      <c r="X5964" t="str">
        <f>IF(ISBLANK(S5964),"Intersection","Non-Intersection")</f>
        <v>Non-Intersection</v>
      </c>
      <c r="Y5964" t="s">
        <v>390</v>
      </c>
      <c r="Z5964" t="str">
        <f t="shared" si="1348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349"/>
        <v>41275</v>
      </c>
      <c r="D5965" s="4">
        <f t="shared" si="1350"/>
        <v>0.89863013698630134</v>
      </c>
      <c r="E5965" s="3">
        <f t="shared" si="1351"/>
        <v>2013</v>
      </c>
      <c r="F5965" s="3">
        <f t="shared" si="1352"/>
        <v>11</v>
      </c>
      <c r="G5965" s="3">
        <f t="shared" si="1353"/>
        <v>25</v>
      </c>
      <c r="H5965" s="3">
        <f t="shared" si="1354"/>
        <v>8</v>
      </c>
      <c r="I5965" s="3">
        <f t="shared" si="1355"/>
        <v>0</v>
      </c>
      <c r="J5965" s="3">
        <f t="shared" si="1356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357"/>
        <v>YES</v>
      </c>
      <c r="Q5965" t="str">
        <f t="shared" si="1358"/>
        <v>NO</v>
      </c>
      <c r="R5965" t="str">
        <f t="shared" si="1359"/>
        <v>YES</v>
      </c>
      <c r="S5965">
        <v>456</v>
      </c>
      <c r="T5965" t="s">
        <v>105</v>
      </c>
      <c r="U5965" t="str">
        <f t="shared" si="1346"/>
        <v>Broadway</v>
      </c>
      <c r="W5965" t="str">
        <f t="shared" si="1347"/>
        <v/>
      </c>
      <c r="X5965" t="str">
        <f>IF(ISBLANK(S5965),"Intersection","Non-Intersection")</f>
        <v>Non-Intersection</v>
      </c>
      <c r="Y5965" t="s">
        <v>6220</v>
      </c>
      <c r="Z5965" t="str">
        <f t="shared" si="1348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349"/>
        <v>41275</v>
      </c>
      <c r="D5966" s="4">
        <f t="shared" si="1350"/>
        <v>0.89863013698630134</v>
      </c>
      <c r="E5966" s="3">
        <f t="shared" si="1351"/>
        <v>2013</v>
      </c>
      <c r="F5966" s="3">
        <f t="shared" si="1352"/>
        <v>11</v>
      </c>
      <c r="G5966" s="3">
        <f t="shared" si="1353"/>
        <v>25</v>
      </c>
      <c r="H5966" s="3">
        <f t="shared" si="1354"/>
        <v>11</v>
      </c>
      <c r="I5966" s="3">
        <f t="shared" si="1355"/>
        <v>39</v>
      </c>
      <c r="J5966" s="3">
        <f t="shared" si="1356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357"/>
        <v>YES</v>
      </c>
      <c r="Q5966" t="str">
        <f t="shared" si="1358"/>
        <v>NO</v>
      </c>
      <c r="R5966" t="str">
        <f t="shared" si="1359"/>
        <v>NO</v>
      </c>
      <c r="S5966">
        <v>1</v>
      </c>
      <c r="T5966" t="s">
        <v>268</v>
      </c>
      <c r="U5966" t="str">
        <f t="shared" si="1346"/>
        <v>White St</v>
      </c>
      <c r="V5966" t="s">
        <v>1958</v>
      </c>
      <c r="W5966" t="str">
        <f t="shared" si="1347"/>
        <v>Porter Cir</v>
      </c>
      <c r="X5966" t="str">
        <f>IF(ISBLANK(S5966),"Intersection","Non-Intersection")</f>
        <v>Non-Intersection</v>
      </c>
      <c r="Y5966" t="s">
        <v>272</v>
      </c>
      <c r="Z5966" t="str">
        <f t="shared" si="1348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349"/>
        <v>41275</v>
      </c>
      <c r="D5967" s="4">
        <f t="shared" si="1350"/>
        <v>0.89863013698630134</v>
      </c>
      <c r="E5967" s="3">
        <f t="shared" si="1351"/>
        <v>2013</v>
      </c>
      <c r="F5967" s="3">
        <f t="shared" si="1352"/>
        <v>11</v>
      </c>
      <c r="G5967" s="3">
        <f t="shared" si="1353"/>
        <v>25</v>
      </c>
      <c r="H5967" s="3">
        <f t="shared" si="1354"/>
        <v>6</v>
      </c>
      <c r="I5967" s="3">
        <f t="shared" si="1355"/>
        <v>59</v>
      </c>
      <c r="J5967" s="3">
        <f t="shared" si="1356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357"/>
        <v>YES</v>
      </c>
      <c r="Q5967" t="str">
        <f t="shared" si="1358"/>
        <v>NO</v>
      </c>
      <c r="R5967" t="str">
        <f t="shared" si="1359"/>
        <v>NO</v>
      </c>
      <c r="T5967" t="s">
        <v>14</v>
      </c>
      <c r="U5967" t="str">
        <f t="shared" si="1346"/>
        <v>Massachusetts Ave</v>
      </c>
      <c r="V5967" t="s">
        <v>342</v>
      </c>
      <c r="W5967" t="str">
        <f t="shared" si="1347"/>
        <v>Prospect St</v>
      </c>
      <c r="X5967" t="str">
        <f>IF(ISBLANK(S5967),"Intersection","Non-Intersection")</f>
        <v>Intersection</v>
      </c>
      <c r="Y5967" t="s">
        <v>2590</v>
      </c>
      <c r="Z5967" t="str">
        <f t="shared" si="1348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349"/>
        <v>41275</v>
      </c>
      <c r="D5968" s="4">
        <f t="shared" si="1350"/>
        <v>0.89863013698630134</v>
      </c>
      <c r="E5968" s="3">
        <f t="shared" si="1351"/>
        <v>2013</v>
      </c>
      <c r="F5968" s="3">
        <f t="shared" si="1352"/>
        <v>11</v>
      </c>
      <c r="G5968" s="3">
        <f t="shared" si="1353"/>
        <v>25</v>
      </c>
      <c r="H5968" s="3">
        <f t="shared" si="1354"/>
        <v>8</v>
      </c>
      <c r="I5968" s="3">
        <f t="shared" si="1355"/>
        <v>15</v>
      </c>
      <c r="J5968" s="3">
        <f t="shared" si="1356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357"/>
        <v>YES</v>
      </c>
      <c r="Q5968" t="str">
        <f t="shared" si="1358"/>
        <v>NO</v>
      </c>
      <c r="R5968" t="str">
        <f t="shared" si="1359"/>
        <v>NO</v>
      </c>
      <c r="S5968">
        <v>7</v>
      </c>
      <c r="T5968" t="s">
        <v>1088</v>
      </c>
      <c r="U5968" t="str">
        <f t="shared" si="1346"/>
        <v>Temple St</v>
      </c>
      <c r="W5968" t="str">
        <f t="shared" si="1347"/>
        <v/>
      </c>
      <c r="X5968" t="str">
        <f>IF(ISBLANK(S5968),"Intersection","Non-Intersection")</f>
        <v>Non-Intersection</v>
      </c>
      <c r="Y5968" t="s">
        <v>6222</v>
      </c>
      <c r="Z5968" t="str">
        <f t="shared" si="1348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349"/>
        <v>41275</v>
      </c>
      <c r="D5969" s="4">
        <f t="shared" si="1350"/>
        <v>0.89863013698630134</v>
      </c>
      <c r="E5969" s="3">
        <f t="shared" si="1351"/>
        <v>2013</v>
      </c>
      <c r="F5969" s="3">
        <f t="shared" si="1352"/>
        <v>11</v>
      </c>
      <c r="G5969" s="3">
        <f t="shared" si="1353"/>
        <v>25</v>
      </c>
      <c r="H5969" s="3">
        <f t="shared" si="1354"/>
        <v>14</v>
      </c>
      <c r="I5969" s="3">
        <f t="shared" si="1355"/>
        <v>49</v>
      </c>
      <c r="J5969" s="3">
        <f t="shared" si="1356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357"/>
        <v>YES</v>
      </c>
      <c r="Q5969" t="str">
        <f t="shared" si="1358"/>
        <v>NO</v>
      </c>
      <c r="R5969" t="str">
        <f t="shared" si="1359"/>
        <v>NO</v>
      </c>
      <c r="T5969" t="s">
        <v>195</v>
      </c>
      <c r="U5969" t="str">
        <f t="shared" si="1346"/>
        <v>Sidney St</v>
      </c>
      <c r="V5969" t="s">
        <v>509</v>
      </c>
      <c r="W5969" t="str">
        <f t="shared" si="1347"/>
        <v>Green St</v>
      </c>
      <c r="X5969" t="str">
        <f>IF(ISBLANK(S5969),"Intersection","Non-Intersection")</f>
        <v>Intersection</v>
      </c>
      <c r="Y5969" t="s">
        <v>3036</v>
      </c>
      <c r="Z5969" t="str">
        <f t="shared" si="1348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349"/>
        <v>41275</v>
      </c>
      <c r="D5970" s="4">
        <f t="shared" si="1350"/>
        <v>0.90136986301369859</v>
      </c>
      <c r="E5970" s="3">
        <f t="shared" si="1351"/>
        <v>2013</v>
      </c>
      <c r="F5970" s="3">
        <f t="shared" si="1352"/>
        <v>11</v>
      </c>
      <c r="G5970" s="3">
        <f t="shared" si="1353"/>
        <v>26</v>
      </c>
      <c r="H5970" s="3">
        <f t="shared" si="1354"/>
        <v>0</v>
      </c>
      <c r="I5970" s="3">
        <f t="shared" si="1355"/>
        <v>1</v>
      </c>
      <c r="J5970" s="3">
        <f t="shared" si="1356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357"/>
        <v>YES</v>
      </c>
      <c r="Q5970" t="str">
        <f t="shared" si="1358"/>
        <v>YES</v>
      </c>
      <c r="R5970" t="str">
        <f t="shared" si="1359"/>
        <v>NO</v>
      </c>
      <c r="T5970" t="s">
        <v>14</v>
      </c>
      <c r="U5970" t="str">
        <f t="shared" si="1346"/>
        <v>Massachusetts Ave</v>
      </c>
      <c r="V5970" t="s">
        <v>202</v>
      </c>
      <c r="W5970" t="str">
        <f t="shared" si="1347"/>
        <v>Vassar St</v>
      </c>
      <c r="X5970" t="str">
        <f>IF(ISBLANK(S5970),"Intersection","Non-Intersection")</f>
        <v>Intersection</v>
      </c>
      <c r="Y5970" t="s">
        <v>361</v>
      </c>
      <c r="Z5970" t="str">
        <f t="shared" si="1348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349"/>
        <v>41275</v>
      </c>
      <c r="D5971" s="4">
        <f t="shared" si="1350"/>
        <v>0.90136986301369859</v>
      </c>
      <c r="E5971" s="3">
        <f t="shared" si="1351"/>
        <v>2013</v>
      </c>
      <c r="F5971" s="3">
        <f t="shared" si="1352"/>
        <v>11</v>
      </c>
      <c r="G5971" s="3">
        <f t="shared" si="1353"/>
        <v>26</v>
      </c>
      <c r="H5971" s="3">
        <f t="shared" si="1354"/>
        <v>11</v>
      </c>
      <c r="I5971" s="3">
        <f t="shared" si="1355"/>
        <v>55</v>
      </c>
      <c r="J5971" s="3">
        <f t="shared" si="1356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357"/>
        <v>YES</v>
      </c>
      <c r="Q5971" t="str">
        <f t="shared" si="1358"/>
        <v>NO</v>
      </c>
      <c r="R5971" t="str">
        <f t="shared" si="1359"/>
        <v>YES</v>
      </c>
      <c r="T5971" t="s">
        <v>342</v>
      </c>
      <c r="U5971" t="str">
        <f t="shared" si="1346"/>
        <v>Prospect St</v>
      </c>
      <c r="V5971" t="s">
        <v>74</v>
      </c>
      <c r="W5971" t="str">
        <f t="shared" si="1347"/>
        <v>Hampshire St</v>
      </c>
      <c r="X5971" t="str">
        <f>IF(ISBLANK(S5971),"Intersection","Non-Intersection")</f>
        <v>Intersection</v>
      </c>
      <c r="Y5971" t="s">
        <v>964</v>
      </c>
      <c r="Z5971" t="str">
        <f t="shared" si="1348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349"/>
        <v>41275</v>
      </c>
      <c r="D5972" s="4">
        <f t="shared" si="1350"/>
        <v>0.90136986301369859</v>
      </c>
      <c r="E5972" s="3">
        <f t="shared" si="1351"/>
        <v>2013</v>
      </c>
      <c r="F5972" s="3">
        <f t="shared" si="1352"/>
        <v>11</v>
      </c>
      <c r="G5972" s="3">
        <f t="shared" si="1353"/>
        <v>26</v>
      </c>
      <c r="H5972" s="3">
        <f t="shared" si="1354"/>
        <v>17</v>
      </c>
      <c r="I5972" s="3">
        <f t="shared" si="1355"/>
        <v>13</v>
      </c>
      <c r="J5972" s="3">
        <f t="shared" si="1356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357"/>
        <v>YES</v>
      </c>
      <c r="Q5972" t="str">
        <f t="shared" si="1358"/>
        <v>NO</v>
      </c>
      <c r="R5972" t="str">
        <f t="shared" si="1359"/>
        <v>NO</v>
      </c>
      <c r="T5972" t="s">
        <v>342</v>
      </c>
      <c r="U5972" t="str">
        <f t="shared" si="1346"/>
        <v>Prospect St</v>
      </c>
      <c r="V5972" t="s">
        <v>316</v>
      </c>
      <c r="W5972" t="str">
        <f t="shared" si="1347"/>
        <v>Bishop Allen Dr</v>
      </c>
      <c r="X5972" t="str">
        <f>IF(ISBLANK(S5972),"Intersection","Non-Intersection")</f>
        <v>Intersection</v>
      </c>
      <c r="Y5972" t="s">
        <v>2529</v>
      </c>
      <c r="Z5972" t="str">
        <f t="shared" si="1348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349"/>
        <v>41275</v>
      </c>
      <c r="D5973" s="4">
        <f t="shared" si="1350"/>
        <v>0.90136986301369859</v>
      </c>
      <c r="E5973" s="3">
        <f t="shared" si="1351"/>
        <v>2013</v>
      </c>
      <c r="F5973" s="3">
        <f t="shared" si="1352"/>
        <v>11</v>
      </c>
      <c r="G5973" s="3">
        <f t="shared" si="1353"/>
        <v>26</v>
      </c>
      <c r="H5973" s="3">
        <f t="shared" si="1354"/>
        <v>21</v>
      </c>
      <c r="I5973" s="3">
        <f t="shared" si="1355"/>
        <v>59</v>
      </c>
      <c r="J5973" s="3">
        <f t="shared" si="1356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357"/>
        <v>YES</v>
      </c>
      <c r="Q5973" t="str">
        <f t="shared" si="1358"/>
        <v>NO</v>
      </c>
      <c r="R5973" t="str">
        <f t="shared" si="1359"/>
        <v>NO</v>
      </c>
      <c r="S5973">
        <v>27</v>
      </c>
      <c r="T5973" t="s">
        <v>840</v>
      </c>
      <c r="U5973" t="str">
        <f t="shared" si="1346"/>
        <v>Church St</v>
      </c>
      <c r="W5973" t="str">
        <f t="shared" si="1347"/>
        <v/>
      </c>
      <c r="X5973" t="str">
        <f>IF(ISBLANK(S5973),"Intersection","Non-Intersection")</f>
        <v>Non-Intersection</v>
      </c>
      <c r="Y5973" t="s">
        <v>3032</v>
      </c>
      <c r="Z5973" t="str">
        <f t="shared" si="1348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349"/>
        <v>41275</v>
      </c>
      <c r="D5974" s="4">
        <f t="shared" si="1350"/>
        <v>0.90410958904109584</v>
      </c>
      <c r="E5974" s="3">
        <f t="shared" si="1351"/>
        <v>2013</v>
      </c>
      <c r="F5974" s="3">
        <f t="shared" si="1352"/>
        <v>11</v>
      </c>
      <c r="G5974" s="3">
        <f t="shared" si="1353"/>
        <v>27</v>
      </c>
      <c r="H5974" s="3">
        <f t="shared" si="1354"/>
        <v>7</v>
      </c>
      <c r="I5974" s="3">
        <f t="shared" si="1355"/>
        <v>19</v>
      </c>
      <c r="J5974" s="3">
        <f t="shared" si="1356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357"/>
        <v>YES</v>
      </c>
      <c r="Q5974" t="str">
        <f t="shared" si="1358"/>
        <v>NO</v>
      </c>
      <c r="R5974" t="str">
        <f t="shared" si="1359"/>
        <v>NO</v>
      </c>
      <c r="S5974">
        <v>1030</v>
      </c>
      <c r="T5974" t="s">
        <v>14</v>
      </c>
      <c r="U5974" t="str">
        <f t="shared" si="1346"/>
        <v>Massachusetts Ave</v>
      </c>
      <c r="W5974" t="str">
        <f t="shared" si="1347"/>
        <v/>
      </c>
      <c r="X5974" t="str">
        <f>IF(ISBLANK(S5974),"Intersection","Non-Intersection")</f>
        <v>Non-Intersection</v>
      </c>
      <c r="Y5974" t="s">
        <v>6224</v>
      </c>
      <c r="Z5974" t="str">
        <f t="shared" si="1348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349"/>
        <v>41275</v>
      </c>
      <c r="D5975" s="4">
        <f t="shared" si="1350"/>
        <v>0.90410958904109584</v>
      </c>
      <c r="E5975" s="3">
        <f t="shared" si="1351"/>
        <v>2013</v>
      </c>
      <c r="F5975" s="3">
        <f t="shared" si="1352"/>
        <v>11</v>
      </c>
      <c r="G5975" s="3">
        <f t="shared" si="1353"/>
        <v>27</v>
      </c>
      <c r="H5975" s="3">
        <f t="shared" si="1354"/>
        <v>14</v>
      </c>
      <c r="I5975" s="3">
        <f t="shared" si="1355"/>
        <v>25</v>
      </c>
      <c r="J5975" s="3">
        <f t="shared" si="1356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357"/>
        <v>YES</v>
      </c>
      <c r="Q5975" t="str">
        <f t="shared" si="1358"/>
        <v>NO</v>
      </c>
      <c r="R5975" t="str">
        <f t="shared" si="1359"/>
        <v>NO</v>
      </c>
      <c r="T5975" t="s">
        <v>14</v>
      </c>
      <c r="U5975" t="str">
        <f t="shared" si="1346"/>
        <v>Massachusetts Ave</v>
      </c>
      <c r="V5975" t="s">
        <v>498</v>
      </c>
      <c r="W5975" t="str">
        <f t="shared" si="1347"/>
        <v>Ellery St</v>
      </c>
      <c r="X5975" t="str">
        <f>IF(ISBLANK(S5975),"Intersection","Non-Intersection")</f>
        <v>Intersection</v>
      </c>
      <c r="Y5975" t="s">
        <v>2747</v>
      </c>
      <c r="Z5975" t="str">
        <f t="shared" si="1348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349"/>
        <v>41275</v>
      </c>
      <c r="D5976" s="4">
        <f t="shared" si="1350"/>
        <v>0.90410958904109584</v>
      </c>
      <c r="E5976" s="3">
        <f t="shared" si="1351"/>
        <v>2013</v>
      </c>
      <c r="F5976" s="3">
        <f t="shared" si="1352"/>
        <v>11</v>
      </c>
      <c r="G5976" s="3">
        <f t="shared" si="1353"/>
        <v>27</v>
      </c>
      <c r="H5976" s="3">
        <f t="shared" si="1354"/>
        <v>15</v>
      </c>
      <c r="I5976" s="3">
        <f t="shared" si="1355"/>
        <v>4</v>
      </c>
      <c r="J5976" s="3">
        <f t="shared" si="1356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357"/>
        <v>YES</v>
      </c>
      <c r="Q5976" t="str">
        <f t="shared" si="1358"/>
        <v>NO</v>
      </c>
      <c r="R5976" t="str">
        <f t="shared" si="1359"/>
        <v>NO</v>
      </c>
      <c r="T5976" t="s">
        <v>453</v>
      </c>
      <c r="U5976" t="str">
        <f t="shared" si="1346"/>
        <v>Brookline St</v>
      </c>
      <c r="V5976" t="s">
        <v>108</v>
      </c>
      <c r="W5976" t="str">
        <f t="shared" si="1347"/>
        <v>Franklin St</v>
      </c>
      <c r="X5976" t="str">
        <f>IF(ISBLANK(S5976),"Intersection","Non-Intersection")</f>
        <v>Intersection</v>
      </c>
      <c r="Y5976" t="s">
        <v>3184</v>
      </c>
      <c r="Z5976" t="str">
        <f t="shared" si="1348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349"/>
        <v>41275</v>
      </c>
      <c r="D5977" s="4">
        <f t="shared" si="1350"/>
        <v>0.90410958904109584</v>
      </c>
      <c r="E5977" s="3">
        <f t="shared" si="1351"/>
        <v>2013</v>
      </c>
      <c r="F5977" s="3">
        <f t="shared" si="1352"/>
        <v>11</v>
      </c>
      <c r="G5977" s="3">
        <f t="shared" si="1353"/>
        <v>27</v>
      </c>
      <c r="H5977" s="3">
        <f t="shared" si="1354"/>
        <v>21</v>
      </c>
      <c r="I5977" s="3">
        <f t="shared" si="1355"/>
        <v>33</v>
      </c>
      <c r="J5977" s="3">
        <f t="shared" si="1356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357"/>
        <v>NO</v>
      </c>
      <c r="Q5977" t="str">
        <f t="shared" si="1358"/>
        <v>NO</v>
      </c>
      <c r="R5977" t="str">
        <f t="shared" si="1359"/>
        <v>NO</v>
      </c>
      <c r="T5977" t="s">
        <v>1597</v>
      </c>
      <c r="U5977" t="str">
        <f t="shared" si="1346"/>
        <v>Crawford St</v>
      </c>
      <c r="V5977" t="s">
        <v>1598</v>
      </c>
      <c r="W5977" t="str">
        <f t="shared" si="1347"/>
        <v>Chatham St</v>
      </c>
      <c r="X5977" t="str">
        <f>IF(ISBLANK(S5977),"Intersection","Non-Intersection")</f>
        <v>Intersection</v>
      </c>
      <c r="Y5977" t="s">
        <v>1599</v>
      </c>
      <c r="Z5977" t="str">
        <f t="shared" si="1348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349"/>
        <v>41275</v>
      </c>
      <c r="D5978" s="4">
        <f t="shared" si="1350"/>
        <v>0.9068493150684932</v>
      </c>
      <c r="E5978" s="3">
        <f t="shared" si="1351"/>
        <v>2013</v>
      </c>
      <c r="F5978" s="3">
        <f t="shared" si="1352"/>
        <v>11</v>
      </c>
      <c r="G5978" s="3">
        <f t="shared" si="1353"/>
        <v>28</v>
      </c>
      <c r="H5978" s="3">
        <f t="shared" si="1354"/>
        <v>4</v>
      </c>
      <c r="I5978" s="3">
        <f t="shared" si="1355"/>
        <v>11</v>
      </c>
      <c r="J5978" s="3">
        <f t="shared" si="1356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357"/>
        <v>YES</v>
      </c>
      <c r="Q5978" t="str">
        <f t="shared" si="1358"/>
        <v>NO</v>
      </c>
      <c r="R5978" t="str">
        <f t="shared" si="1359"/>
        <v>NO</v>
      </c>
      <c r="S5978">
        <v>43</v>
      </c>
      <c r="T5978" t="s">
        <v>899</v>
      </c>
      <c r="U5978" t="str">
        <f t="shared" si="1346"/>
        <v>Cushing St</v>
      </c>
      <c r="W5978" t="str">
        <f t="shared" si="1347"/>
        <v/>
      </c>
      <c r="X5978" t="str">
        <f>IF(ISBLANK(S5978),"Intersection","Non-Intersection")</f>
        <v>Non-Intersection</v>
      </c>
      <c r="Y5978" t="s">
        <v>6226</v>
      </c>
      <c r="Z5978" t="str">
        <f t="shared" si="1348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349"/>
        <v>41275</v>
      </c>
      <c r="D5979" s="4">
        <f t="shared" si="1350"/>
        <v>0.90958904109589045</v>
      </c>
      <c r="E5979" s="3">
        <f t="shared" si="1351"/>
        <v>2013</v>
      </c>
      <c r="F5979" s="3">
        <f t="shared" si="1352"/>
        <v>11</v>
      </c>
      <c r="G5979" s="3">
        <f t="shared" si="1353"/>
        <v>29</v>
      </c>
      <c r="H5979" s="3">
        <f t="shared" si="1354"/>
        <v>21</v>
      </c>
      <c r="I5979" s="3">
        <f t="shared" si="1355"/>
        <v>40</v>
      </c>
      <c r="J5979" s="3">
        <f t="shared" si="1356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357"/>
        <v>YES</v>
      </c>
      <c r="Q5979" t="str">
        <f t="shared" si="1358"/>
        <v>NO</v>
      </c>
      <c r="R5979" t="str">
        <f t="shared" si="1359"/>
        <v>NO</v>
      </c>
      <c r="T5979" t="s">
        <v>14</v>
      </c>
      <c r="U5979" t="str">
        <f t="shared" si="1346"/>
        <v>Massachusetts Ave</v>
      </c>
      <c r="V5979" t="s">
        <v>126</v>
      </c>
      <c r="W5979" t="str">
        <f t="shared" si="1347"/>
        <v>Somerville Ave</v>
      </c>
      <c r="X5979" t="str">
        <f>IF(ISBLANK(S5979),"Intersection","Non-Intersection")</f>
        <v>Intersection</v>
      </c>
      <c r="Y5979" t="s">
        <v>127</v>
      </c>
      <c r="Z5979" t="str">
        <f t="shared" si="1348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349"/>
        <v>41275</v>
      </c>
      <c r="D5980" s="4">
        <f t="shared" si="1350"/>
        <v>0.90958904109589045</v>
      </c>
      <c r="E5980" s="3">
        <f t="shared" si="1351"/>
        <v>2013</v>
      </c>
      <c r="F5980" s="3">
        <f t="shared" si="1352"/>
        <v>11</v>
      </c>
      <c r="G5980" s="3">
        <f t="shared" si="1353"/>
        <v>29</v>
      </c>
      <c r="H5980" s="3">
        <f t="shared" si="1354"/>
        <v>14</v>
      </c>
      <c r="I5980" s="3">
        <f t="shared" si="1355"/>
        <v>38</v>
      </c>
      <c r="J5980" s="3">
        <f t="shared" si="1356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357"/>
        <v>YES</v>
      </c>
      <c r="Q5980" t="str">
        <f t="shared" si="1358"/>
        <v>NO</v>
      </c>
      <c r="R5980" t="str">
        <f t="shared" si="1359"/>
        <v>NO</v>
      </c>
      <c r="S5980">
        <v>356</v>
      </c>
      <c r="T5980" t="s">
        <v>260</v>
      </c>
      <c r="U5980" t="str">
        <f t="shared" si="1346"/>
        <v>Third St</v>
      </c>
      <c r="W5980" t="str">
        <f t="shared" si="1347"/>
        <v/>
      </c>
      <c r="X5980" t="str">
        <f>IF(ISBLANK(S5980),"Intersection","Non-Intersection")</f>
        <v>Non-Intersection</v>
      </c>
      <c r="Y5980" t="s">
        <v>6228</v>
      </c>
      <c r="Z5980" t="str">
        <f t="shared" si="1348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349"/>
        <v>41275</v>
      </c>
      <c r="D5981" s="4">
        <f t="shared" si="1350"/>
        <v>0.9123287671232877</v>
      </c>
      <c r="E5981" s="3">
        <f t="shared" si="1351"/>
        <v>2013</v>
      </c>
      <c r="F5981" s="3">
        <f t="shared" si="1352"/>
        <v>11</v>
      </c>
      <c r="G5981" s="3">
        <f t="shared" si="1353"/>
        <v>30</v>
      </c>
      <c r="H5981" s="3">
        <f t="shared" si="1354"/>
        <v>12</v>
      </c>
      <c r="I5981" s="3">
        <f t="shared" si="1355"/>
        <v>10</v>
      </c>
      <c r="J5981" s="3">
        <f t="shared" si="1356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357"/>
        <v>YES</v>
      </c>
      <c r="Q5981" t="str">
        <f t="shared" si="1358"/>
        <v>NO</v>
      </c>
      <c r="R5981" t="str">
        <f t="shared" si="1359"/>
        <v>NO</v>
      </c>
      <c r="T5981" t="s">
        <v>42</v>
      </c>
      <c r="U5981" t="str">
        <f t="shared" si="1346"/>
        <v>Putnam Ave</v>
      </c>
      <c r="V5981" t="s">
        <v>37</v>
      </c>
      <c r="W5981" t="str">
        <f t="shared" si="1347"/>
        <v>Magazine St</v>
      </c>
      <c r="X5981" t="str">
        <f>IF(ISBLANK(S5981),"Intersection","Non-Intersection")</f>
        <v>Intersection</v>
      </c>
      <c r="Y5981" t="s">
        <v>5552</v>
      </c>
      <c r="Z5981" t="str">
        <f t="shared" si="1348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349"/>
        <v>41275</v>
      </c>
      <c r="D5982" s="4">
        <f t="shared" si="1350"/>
        <v>0.9123287671232877</v>
      </c>
      <c r="E5982" s="3">
        <f t="shared" si="1351"/>
        <v>2013</v>
      </c>
      <c r="F5982" s="3">
        <f t="shared" si="1352"/>
        <v>11</v>
      </c>
      <c r="G5982" s="3">
        <f t="shared" si="1353"/>
        <v>30</v>
      </c>
      <c r="H5982" s="3">
        <f t="shared" si="1354"/>
        <v>8</v>
      </c>
      <c r="I5982" s="3">
        <f t="shared" si="1355"/>
        <v>29</v>
      </c>
      <c r="J5982" s="3">
        <f t="shared" si="1356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357"/>
        <v>YES</v>
      </c>
      <c r="Q5982" t="str">
        <f t="shared" si="1358"/>
        <v>NO</v>
      </c>
      <c r="R5982" t="str">
        <f t="shared" si="1359"/>
        <v>NO</v>
      </c>
      <c r="T5982" t="s">
        <v>260</v>
      </c>
      <c r="U5982" t="str">
        <f t="shared" si="1346"/>
        <v>Third St</v>
      </c>
      <c r="V5982" t="s">
        <v>1502</v>
      </c>
      <c r="W5982" t="str">
        <f t="shared" si="1347"/>
        <v>Gore St</v>
      </c>
      <c r="X5982" t="str">
        <f>IF(ISBLANK(S5982),"Intersection","Non-Intersection")</f>
        <v>Intersection</v>
      </c>
      <c r="Y5982" t="s">
        <v>1503</v>
      </c>
      <c r="Z5982" t="str">
        <f t="shared" si="1348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349"/>
        <v>41275</v>
      </c>
      <c r="D5983" s="4">
        <f t="shared" si="1350"/>
        <v>0.9123287671232877</v>
      </c>
      <c r="E5983" s="3">
        <f t="shared" si="1351"/>
        <v>2013</v>
      </c>
      <c r="F5983" s="3">
        <f t="shared" si="1352"/>
        <v>11</v>
      </c>
      <c r="G5983" s="3">
        <f t="shared" si="1353"/>
        <v>30</v>
      </c>
      <c r="H5983" s="3">
        <f t="shared" si="1354"/>
        <v>9</v>
      </c>
      <c r="I5983" s="3">
        <f t="shared" si="1355"/>
        <v>0</v>
      </c>
      <c r="J5983" s="3">
        <f t="shared" si="1356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357"/>
        <v>YES</v>
      </c>
      <c r="Q5983" t="str">
        <f t="shared" si="1358"/>
        <v>NO</v>
      </c>
      <c r="R5983" t="str">
        <f t="shared" si="1359"/>
        <v>NO</v>
      </c>
      <c r="T5983" t="s">
        <v>41</v>
      </c>
      <c r="U5983" t="str">
        <f t="shared" si="1346"/>
        <v>River St</v>
      </c>
      <c r="V5983" t="s">
        <v>42</v>
      </c>
      <c r="W5983" t="str">
        <f t="shared" si="1347"/>
        <v>Putnam Ave</v>
      </c>
      <c r="X5983" t="str">
        <f>IF(ISBLANK(S5983),"Intersection","Non-Intersection")</f>
        <v>Intersection</v>
      </c>
      <c r="Y5983" t="s">
        <v>43</v>
      </c>
      <c r="Z5983" t="str">
        <f t="shared" si="1348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349"/>
        <v>41275</v>
      </c>
      <c r="D5984" s="4">
        <f t="shared" si="1350"/>
        <v>0.9123287671232877</v>
      </c>
      <c r="E5984" s="3">
        <f t="shared" si="1351"/>
        <v>2013</v>
      </c>
      <c r="F5984" s="3">
        <f t="shared" si="1352"/>
        <v>11</v>
      </c>
      <c r="G5984" s="3">
        <f t="shared" si="1353"/>
        <v>30</v>
      </c>
      <c r="H5984" s="3">
        <f t="shared" si="1354"/>
        <v>15</v>
      </c>
      <c r="I5984" s="3">
        <f t="shared" si="1355"/>
        <v>43</v>
      </c>
      <c r="J5984" s="3">
        <f t="shared" si="1356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357"/>
        <v>YES</v>
      </c>
      <c r="Q5984" t="str">
        <f t="shared" si="1358"/>
        <v>NO</v>
      </c>
      <c r="R5984" t="str">
        <f t="shared" si="1359"/>
        <v>NO</v>
      </c>
      <c r="S5984">
        <v>699</v>
      </c>
      <c r="T5984" t="s">
        <v>198</v>
      </c>
      <c r="U5984" t="str">
        <f t="shared" si="1346"/>
        <v>Mount Auburn St</v>
      </c>
      <c r="W5984" t="str">
        <f t="shared" si="1347"/>
        <v/>
      </c>
      <c r="X5984" t="str">
        <f>IF(ISBLANK(S5984),"Intersection","Non-Intersection")</f>
        <v>Non-Intersection</v>
      </c>
      <c r="Y5984" t="s">
        <v>585</v>
      </c>
      <c r="Z5984" t="str">
        <f t="shared" si="1348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349"/>
        <v>41275</v>
      </c>
      <c r="D5985" s="4">
        <f t="shared" si="1350"/>
        <v>0.9123287671232877</v>
      </c>
      <c r="E5985" s="3">
        <f t="shared" si="1351"/>
        <v>2013</v>
      </c>
      <c r="F5985" s="3">
        <f t="shared" si="1352"/>
        <v>11</v>
      </c>
      <c r="G5985" s="3">
        <f t="shared" si="1353"/>
        <v>30</v>
      </c>
      <c r="H5985" s="3">
        <f t="shared" si="1354"/>
        <v>17</v>
      </c>
      <c r="I5985" s="3">
        <f t="shared" si="1355"/>
        <v>29</v>
      </c>
      <c r="J5985" s="3">
        <f t="shared" si="1356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357"/>
        <v>YES</v>
      </c>
      <c r="Q5985" t="str">
        <f t="shared" si="1358"/>
        <v>NO</v>
      </c>
      <c r="R5985" t="str">
        <f t="shared" si="1359"/>
        <v>NO</v>
      </c>
      <c r="S5985">
        <v>605</v>
      </c>
      <c r="T5985" t="s">
        <v>14</v>
      </c>
      <c r="U5985" t="str">
        <f t="shared" si="1346"/>
        <v>Massachusetts Ave</v>
      </c>
      <c r="W5985" t="str">
        <f t="shared" si="1347"/>
        <v/>
      </c>
      <c r="X5985" t="str">
        <f>IF(ISBLANK(S5985),"Intersection","Non-Intersection")</f>
        <v>Non-Intersection</v>
      </c>
      <c r="Y5985" t="s">
        <v>6230</v>
      </c>
      <c r="Z5985" t="str">
        <f t="shared" si="1348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349"/>
        <v>41275</v>
      </c>
      <c r="D5986" s="4">
        <f t="shared" si="1350"/>
        <v>0.9123287671232877</v>
      </c>
      <c r="E5986" s="3">
        <f t="shared" si="1351"/>
        <v>2013</v>
      </c>
      <c r="F5986" s="3">
        <f t="shared" si="1352"/>
        <v>11</v>
      </c>
      <c r="G5986" s="3">
        <f t="shared" si="1353"/>
        <v>30</v>
      </c>
      <c r="H5986" s="3">
        <f t="shared" si="1354"/>
        <v>15</v>
      </c>
      <c r="I5986" s="3">
        <f t="shared" si="1355"/>
        <v>0</v>
      </c>
      <c r="J5986" s="3">
        <f t="shared" si="1356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357"/>
        <v>YES</v>
      </c>
      <c r="Q5986" t="str">
        <f t="shared" si="1358"/>
        <v>NO</v>
      </c>
      <c r="R5986" t="str">
        <f t="shared" si="1359"/>
        <v>NO</v>
      </c>
      <c r="T5986" t="s">
        <v>252</v>
      </c>
      <c r="U5986" t="str">
        <f t="shared" si="1346"/>
        <v>Walden St</v>
      </c>
      <c r="V5986" t="s">
        <v>3633</v>
      </c>
      <c r="W5986" t="str">
        <f t="shared" si="1347"/>
        <v>Mount Pleasant St</v>
      </c>
      <c r="X5986" t="str">
        <f>IF(ISBLANK(S5986),"Intersection","Non-Intersection")</f>
        <v>Intersection</v>
      </c>
      <c r="Y5986" t="s">
        <v>5393</v>
      </c>
      <c r="Z5986" t="str">
        <f t="shared" si="1348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349"/>
        <v>41275</v>
      </c>
      <c r="D5987" s="4">
        <f t="shared" si="1350"/>
        <v>0.9123287671232877</v>
      </c>
      <c r="E5987" s="3">
        <f t="shared" si="1351"/>
        <v>2013</v>
      </c>
      <c r="F5987" s="3">
        <f t="shared" si="1352"/>
        <v>11</v>
      </c>
      <c r="G5987" s="3">
        <f t="shared" si="1353"/>
        <v>30</v>
      </c>
      <c r="H5987" s="3">
        <f t="shared" si="1354"/>
        <v>21</v>
      </c>
      <c r="I5987" s="3">
        <f t="shared" si="1355"/>
        <v>0</v>
      </c>
      <c r="J5987" s="3">
        <f t="shared" si="1356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357"/>
        <v>YES</v>
      </c>
      <c r="Q5987" t="str">
        <f t="shared" si="1358"/>
        <v>NO</v>
      </c>
      <c r="R5987" t="str">
        <f t="shared" si="1359"/>
        <v>NO</v>
      </c>
      <c r="T5987" t="s">
        <v>216</v>
      </c>
      <c r="U5987" t="str">
        <f t="shared" si="1346"/>
        <v>Washington Ave</v>
      </c>
      <c r="V5987" t="s">
        <v>354</v>
      </c>
      <c r="W5987" t="str">
        <f t="shared" si="1347"/>
        <v>Linnaean St</v>
      </c>
      <c r="X5987" t="str">
        <f>IF(ISBLANK(S5987),"Intersection","Non-Intersection")</f>
        <v>Intersection</v>
      </c>
      <c r="Y5987" t="s">
        <v>4520</v>
      </c>
      <c r="Z5987" t="str">
        <f t="shared" si="1348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349"/>
        <v>41275</v>
      </c>
      <c r="D5988" s="4">
        <f t="shared" si="1350"/>
        <v>0.91506849315068495</v>
      </c>
      <c r="E5988" s="3">
        <f t="shared" si="1351"/>
        <v>2013</v>
      </c>
      <c r="F5988" s="3">
        <f t="shared" si="1352"/>
        <v>12</v>
      </c>
      <c r="G5988" s="3">
        <f t="shared" si="1353"/>
        <v>1</v>
      </c>
      <c r="H5988" s="3">
        <f t="shared" si="1354"/>
        <v>14</v>
      </c>
      <c r="I5988" s="3">
        <f t="shared" si="1355"/>
        <v>36</v>
      </c>
      <c r="J5988" s="3">
        <f t="shared" si="1356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357"/>
        <v>YES</v>
      </c>
      <c r="Q5988" t="str">
        <f t="shared" si="1358"/>
        <v>NO</v>
      </c>
      <c r="R5988" t="str">
        <f t="shared" si="1359"/>
        <v>YES</v>
      </c>
      <c r="S5988">
        <v>30</v>
      </c>
      <c r="T5988" t="s">
        <v>199</v>
      </c>
      <c r="U5988" t="str">
        <f t="shared" si="1346"/>
        <v>Brattle St</v>
      </c>
      <c r="W5988" t="str">
        <f t="shared" si="1347"/>
        <v/>
      </c>
      <c r="X5988" t="str">
        <f>IF(ISBLANK(S5988),"Intersection","Non-Intersection")</f>
        <v>Non-Intersection</v>
      </c>
      <c r="Y5988" t="s">
        <v>4607</v>
      </c>
      <c r="Z5988" t="str">
        <f t="shared" si="1348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349"/>
        <v>41275</v>
      </c>
      <c r="D5989" s="4">
        <f t="shared" si="1350"/>
        <v>0.91506849315068495</v>
      </c>
      <c r="E5989" s="3">
        <f t="shared" si="1351"/>
        <v>2013</v>
      </c>
      <c r="F5989" s="3">
        <f t="shared" si="1352"/>
        <v>12</v>
      </c>
      <c r="G5989" s="3">
        <f t="shared" si="1353"/>
        <v>1</v>
      </c>
      <c r="H5989" s="3">
        <f t="shared" si="1354"/>
        <v>16</v>
      </c>
      <c r="I5989" s="3">
        <f t="shared" si="1355"/>
        <v>38</v>
      </c>
      <c r="J5989" s="3">
        <f t="shared" si="1356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357"/>
        <v>YES</v>
      </c>
      <c r="Q5989" t="str">
        <f t="shared" si="1358"/>
        <v>NO</v>
      </c>
      <c r="R5989" t="str">
        <f t="shared" si="1359"/>
        <v>NO</v>
      </c>
      <c r="T5989" t="s">
        <v>238</v>
      </c>
      <c r="U5989" t="str">
        <f t="shared" si="1346"/>
        <v>Kirkland St</v>
      </c>
      <c r="V5989" t="s">
        <v>224</v>
      </c>
      <c r="W5989" t="str">
        <f t="shared" si="1347"/>
        <v>Sumner Rd</v>
      </c>
      <c r="X5989" t="str">
        <f>IF(ISBLANK(S5989),"Intersection","Non-Intersection")</f>
        <v>Intersection</v>
      </c>
      <c r="Y5989" t="s">
        <v>3905</v>
      </c>
      <c r="Z5989" t="str">
        <f t="shared" si="1348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349"/>
        <v>41275</v>
      </c>
      <c r="D5990" s="4">
        <f t="shared" si="1350"/>
        <v>0.9178082191780822</v>
      </c>
      <c r="E5990" s="3">
        <f t="shared" si="1351"/>
        <v>2013</v>
      </c>
      <c r="F5990" s="3">
        <f t="shared" si="1352"/>
        <v>12</v>
      </c>
      <c r="G5990" s="3">
        <f t="shared" si="1353"/>
        <v>2</v>
      </c>
      <c r="H5990" s="3">
        <f t="shared" si="1354"/>
        <v>6</v>
      </c>
      <c r="I5990" s="3">
        <f t="shared" si="1355"/>
        <v>30</v>
      </c>
      <c r="J5990" s="3">
        <f t="shared" si="1356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357"/>
        <v>YES</v>
      </c>
      <c r="Q5990" t="str">
        <f t="shared" si="1358"/>
        <v>NO</v>
      </c>
      <c r="R5990" t="str">
        <f t="shared" si="1359"/>
        <v>NO</v>
      </c>
      <c r="T5990" t="s">
        <v>14</v>
      </c>
      <c r="U5990" t="str">
        <f t="shared" si="1346"/>
        <v>Massachusetts Ave</v>
      </c>
      <c r="V5990" t="s">
        <v>601</v>
      </c>
      <c r="W5990" t="str">
        <f t="shared" si="1347"/>
        <v>Cedar St</v>
      </c>
      <c r="X5990" t="str">
        <f>IF(ISBLANK(S5990),"Intersection","Non-Intersection")</f>
        <v>Intersection</v>
      </c>
      <c r="Y5990" t="s">
        <v>602</v>
      </c>
      <c r="Z5990" t="str">
        <f t="shared" si="1348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349"/>
        <v>41275</v>
      </c>
      <c r="D5991" s="4">
        <f t="shared" si="1350"/>
        <v>0.9178082191780822</v>
      </c>
      <c r="E5991" s="3">
        <f t="shared" si="1351"/>
        <v>2013</v>
      </c>
      <c r="F5991" s="3">
        <f t="shared" si="1352"/>
        <v>12</v>
      </c>
      <c r="G5991" s="3">
        <f t="shared" si="1353"/>
        <v>2</v>
      </c>
      <c r="H5991" s="3">
        <f t="shared" si="1354"/>
        <v>6</v>
      </c>
      <c r="I5991" s="3">
        <f t="shared" si="1355"/>
        <v>59</v>
      </c>
      <c r="J5991" s="3">
        <f t="shared" si="1356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357"/>
        <v>YES</v>
      </c>
      <c r="Q5991" t="str">
        <f t="shared" si="1358"/>
        <v>NO</v>
      </c>
      <c r="R5991" t="str">
        <f t="shared" si="1359"/>
        <v>NO</v>
      </c>
      <c r="S5991">
        <v>291</v>
      </c>
      <c r="T5991" t="s">
        <v>75</v>
      </c>
      <c r="U5991" t="str">
        <f t="shared" si="1346"/>
        <v>Elm St</v>
      </c>
      <c r="W5991" t="str">
        <f t="shared" si="1347"/>
        <v/>
      </c>
      <c r="X5991" t="str">
        <f>IF(ISBLANK(S5991),"Intersection","Non-Intersection")</f>
        <v>Non-Intersection</v>
      </c>
      <c r="Y5991" t="s">
        <v>6232</v>
      </c>
      <c r="Z5991" t="str">
        <f t="shared" si="1348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349"/>
        <v>41275</v>
      </c>
      <c r="D5992" s="4">
        <f t="shared" si="1350"/>
        <v>0.9178082191780822</v>
      </c>
      <c r="E5992" s="3">
        <f t="shared" si="1351"/>
        <v>2013</v>
      </c>
      <c r="F5992" s="3">
        <f t="shared" si="1352"/>
        <v>12</v>
      </c>
      <c r="G5992" s="3">
        <f t="shared" si="1353"/>
        <v>2</v>
      </c>
      <c r="H5992" s="3">
        <f t="shared" si="1354"/>
        <v>13</v>
      </c>
      <c r="I5992" s="3">
        <f t="shared" si="1355"/>
        <v>9</v>
      </c>
      <c r="J5992" s="3">
        <f t="shared" si="1356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357"/>
        <v>YES</v>
      </c>
      <c r="Q5992" t="str">
        <f t="shared" si="1358"/>
        <v>NO</v>
      </c>
      <c r="R5992" t="str">
        <f t="shared" si="1359"/>
        <v>NO</v>
      </c>
      <c r="T5992" t="s">
        <v>185</v>
      </c>
      <c r="U5992" t="str">
        <f t="shared" si="1346"/>
        <v>Garden St</v>
      </c>
      <c r="V5992" t="s">
        <v>449</v>
      </c>
      <c r="W5992" t="str">
        <f t="shared" si="1347"/>
        <v>Appian Way</v>
      </c>
      <c r="X5992" t="str">
        <f>IF(ISBLANK(S5992),"Intersection","Non-Intersection")</f>
        <v>Intersection</v>
      </c>
      <c r="Y5992" t="s">
        <v>729</v>
      </c>
      <c r="Z5992" t="str">
        <f t="shared" si="1348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349"/>
        <v>41275</v>
      </c>
      <c r="D5993" s="4">
        <f t="shared" si="1350"/>
        <v>0.9178082191780822</v>
      </c>
      <c r="E5993" s="3">
        <f t="shared" si="1351"/>
        <v>2013</v>
      </c>
      <c r="F5993" s="3">
        <f t="shared" si="1352"/>
        <v>12</v>
      </c>
      <c r="G5993" s="3">
        <f t="shared" si="1353"/>
        <v>2</v>
      </c>
      <c r="H5993" s="3">
        <f t="shared" si="1354"/>
        <v>12</v>
      </c>
      <c r="I5993" s="3">
        <f t="shared" si="1355"/>
        <v>4</v>
      </c>
      <c r="J5993" s="3">
        <f t="shared" si="1356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357"/>
        <v>YES</v>
      </c>
      <c r="Q5993" t="str">
        <f t="shared" si="1358"/>
        <v>NO</v>
      </c>
      <c r="R5993" t="str">
        <f t="shared" si="1359"/>
        <v>NO</v>
      </c>
      <c r="S5993">
        <v>2564</v>
      </c>
      <c r="T5993" t="s">
        <v>14</v>
      </c>
      <c r="U5993" t="str">
        <f t="shared" si="1346"/>
        <v>Massachusetts Ave</v>
      </c>
      <c r="W5993" t="str">
        <f t="shared" si="1347"/>
        <v/>
      </c>
      <c r="X5993" t="str">
        <f>IF(ISBLANK(S5993),"Intersection","Non-Intersection")</f>
        <v>Non-Intersection</v>
      </c>
      <c r="Y5993" t="s">
        <v>6095</v>
      </c>
      <c r="Z5993" t="str">
        <f t="shared" si="1348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349"/>
        <v>41275</v>
      </c>
      <c r="D5994" s="4">
        <f t="shared" si="1350"/>
        <v>0.92054794520547945</v>
      </c>
      <c r="E5994" s="3">
        <f t="shared" si="1351"/>
        <v>2013</v>
      </c>
      <c r="F5994" s="3">
        <f t="shared" si="1352"/>
        <v>12</v>
      </c>
      <c r="G5994" s="3">
        <f t="shared" si="1353"/>
        <v>3</v>
      </c>
      <c r="H5994" s="3">
        <f t="shared" si="1354"/>
        <v>6</v>
      </c>
      <c r="I5994" s="3">
        <f t="shared" si="1355"/>
        <v>59</v>
      </c>
      <c r="J5994" s="3">
        <f t="shared" si="1356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357"/>
        <v>YES</v>
      </c>
      <c r="Q5994" t="str">
        <f t="shared" si="1358"/>
        <v>NO</v>
      </c>
      <c r="R5994" t="str">
        <f t="shared" si="1359"/>
        <v>NO</v>
      </c>
      <c r="S5994">
        <v>149</v>
      </c>
      <c r="T5994" t="s">
        <v>170</v>
      </c>
      <c r="U5994" t="str">
        <f t="shared" si="1346"/>
        <v>Alewife Brook Pky</v>
      </c>
      <c r="W5994" t="str">
        <f t="shared" si="1347"/>
        <v/>
      </c>
      <c r="X5994" t="str">
        <f>IF(ISBLANK(S5994),"Intersection","Non-Intersection")</f>
        <v>Non-Intersection</v>
      </c>
      <c r="Y5994" t="s">
        <v>720</v>
      </c>
      <c r="Z5994" t="str">
        <f t="shared" si="1348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349"/>
        <v>41275</v>
      </c>
      <c r="D5995" s="4">
        <f t="shared" si="1350"/>
        <v>0.92054794520547945</v>
      </c>
      <c r="E5995" s="3">
        <f t="shared" si="1351"/>
        <v>2013</v>
      </c>
      <c r="F5995" s="3">
        <f t="shared" si="1352"/>
        <v>12</v>
      </c>
      <c r="G5995" s="3">
        <f t="shared" si="1353"/>
        <v>3</v>
      </c>
      <c r="H5995" s="3">
        <f t="shared" si="1354"/>
        <v>9</v>
      </c>
      <c r="I5995" s="3">
        <f t="shared" si="1355"/>
        <v>59</v>
      </c>
      <c r="J5995" s="3">
        <f t="shared" si="1356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357"/>
        <v>YES</v>
      </c>
      <c r="Q5995" t="str">
        <f t="shared" si="1358"/>
        <v>NO</v>
      </c>
      <c r="R5995" t="str">
        <f t="shared" si="1359"/>
        <v>NO</v>
      </c>
      <c r="T5995" t="s">
        <v>760</v>
      </c>
      <c r="U5995" t="str">
        <f t="shared" si="1346"/>
        <v>Fulkerson St</v>
      </c>
      <c r="V5995" t="s">
        <v>556</v>
      </c>
      <c r="W5995" t="str">
        <f t="shared" si="1347"/>
        <v>Bent St</v>
      </c>
      <c r="X5995" t="str">
        <f>IF(ISBLANK(S5995),"Intersection","Non-Intersection")</f>
        <v>Intersection</v>
      </c>
      <c r="Y5995" t="s">
        <v>6234</v>
      </c>
      <c r="Z5995" t="str">
        <f t="shared" si="1348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349"/>
        <v>41275</v>
      </c>
      <c r="D5996" s="4">
        <f t="shared" si="1350"/>
        <v>0.92054794520547945</v>
      </c>
      <c r="E5996" s="3">
        <f t="shared" si="1351"/>
        <v>2013</v>
      </c>
      <c r="F5996" s="3">
        <f t="shared" si="1352"/>
        <v>12</v>
      </c>
      <c r="G5996" s="3">
        <f t="shared" si="1353"/>
        <v>3</v>
      </c>
      <c r="H5996" s="3">
        <f t="shared" si="1354"/>
        <v>12</v>
      </c>
      <c r="I5996" s="3">
        <f t="shared" si="1355"/>
        <v>55</v>
      </c>
      <c r="J5996" s="3">
        <f t="shared" si="1356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357"/>
        <v>YES</v>
      </c>
      <c r="Q5996" t="str">
        <f t="shared" si="1358"/>
        <v>NO</v>
      </c>
      <c r="R5996" t="str">
        <f t="shared" si="1359"/>
        <v>NO</v>
      </c>
      <c r="T5996" t="s">
        <v>6235</v>
      </c>
      <c r="U5996" t="str">
        <f t="shared" si="1346"/>
        <v>Copley St</v>
      </c>
      <c r="V5996" t="s">
        <v>459</v>
      </c>
      <c r="W5996" t="str">
        <f t="shared" si="1347"/>
        <v>Fayerweather St</v>
      </c>
      <c r="X5996" t="str">
        <f>IF(ISBLANK(S5996),"Intersection","Non-Intersection")</f>
        <v>Intersection</v>
      </c>
      <c r="Y5996" t="s">
        <v>6236</v>
      </c>
      <c r="Z5996" t="str">
        <f t="shared" si="1348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349"/>
        <v>41275</v>
      </c>
      <c r="D5997" s="4">
        <f t="shared" si="1350"/>
        <v>0.92054794520547945</v>
      </c>
      <c r="E5997" s="3">
        <f t="shared" si="1351"/>
        <v>2013</v>
      </c>
      <c r="F5997" s="3">
        <f t="shared" si="1352"/>
        <v>12</v>
      </c>
      <c r="G5997" s="3">
        <f t="shared" si="1353"/>
        <v>3</v>
      </c>
      <c r="H5997" s="3">
        <f t="shared" si="1354"/>
        <v>17</v>
      </c>
      <c r="I5997" s="3">
        <f t="shared" si="1355"/>
        <v>12</v>
      </c>
      <c r="J5997" s="3">
        <f t="shared" si="1356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357"/>
        <v>YES</v>
      </c>
      <c r="Q5997" t="str">
        <f t="shared" si="1358"/>
        <v>YES</v>
      </c>
      <c r="R5997" t="str">
        <f t="shared" si="1359"/>
        <v>NO</v>
      </c>
      <c r="T5997" t="s">
        <v>129</v>
      </c>
      <c r="U5997" t="str">
        <f t="shared" si="1346"/>
        <v>Cardinal Medeiros Ave</v>
      </c>
      <c r="V5997" t="s">
        <v>6238</v>
      </c>
      <c r="W5997" t="str">
        <f t="shared" si="1347"/>
        <v>Michael Way</v>
      </c>
      <c r="X5997" t="str">
        <f>IF(ISBLANK(S5997),"Intersection","Non-Intersection")</f>
        <v>Intersection</v>
      </c>
      <c r="Y5997" t="s">
        <v>6239</v>
      </c>
      <c r="Z5997" t="str">
        <f t="shared" si="1348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349"/>
        <v>41275</v>
      </c>
      <c r="D5998" s="4">
        <f t="shared" si="1350"/>
        <v>0.92328767123287669</v>
      </c>
      <c r="E5998" s="3">
        <f t="shared" si="1351"/>
        <v>2013</v>
      </c>
      <c r="F5998" s="3">
        <f t="shared" si="1352"/>
        <v>12</v>
      </c>
      <c r="G5998" s="3">
        <f t="shared" si="1353"/>
        <v>4</v>
      </c>
      <c r="H5998" s="3">
        <f t="shared" si="1354"/>
        <v>12</v>
      </c>
      <c r="I5998" s="3">
        <f t="shared" si="1355"/>
        <v>24</v>
      </c>
      <c r="J5998" s="3">
        <f t="shared" si="1356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357"/>
        <v>YES</v>
      </c>
      <c r="Q5998" t="str">
        <f t="shared" si="1358"/>
        <v>NO</v>
      </c>
      <c r="R5998" t="str">
        <f t="shared" si="1359"/>
        <v>NO</v>
      </c>
      <c r="S5998">
        <v>218</v>
      </c>
      <c r="T5998" t="s">
        <v>105</v>
      </c>
      <c r="U5998" t="str">
        <f t="shared" si="1346"/>
        <v>Broadway</v>
      </c>
      <c r="W5998" t="str">
        <f t="shared" si="1347"/>
        <v/>
      </c>
      <c r="X5998" t="str">
        <f>IF(ISBLANK(S5998),"Intersection","Non-Intersection")</f>
        <v>Non-Intersection</v>
      </c>
      <c r="Y5998" t="s">
        <v>6241</v>
      </c>
      <c r="Z5998" t="str">
        <f t="shared" si="1348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349"/>
        <v>41275</v>
      </c>
      <c r="D5999" s="4">
        <f t="shared" si="1350"/>
        <v>0.92328767123287669</v>
      </c>
      <c r="E5999" s="3">
        <f t="shared" si="1351"/>
        <v>2013</v>
      </c>
      <c r="F5999" s="3">
        <f t="shared" si="1352"/>
        <v>12</v>
      </c>
      <c r="G5999" s="3">
        <f t="shared" si="1353"/>
        <v>4</v>
      </c>
      <c r="H5999" s="3">
        <f t="shared" si="1354"/>
        <v>22</v>
      </c>
      <c r="I5999" s="3">
        <f t="shared" si="1355"/>
        <v>22</v>
      </c>
      <c r="J5999" s="3">
        <f t="shared" si="1356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357"/>
        <v>YES</v>
      </c>
      <c r="Q5999" t="str">
        <f t="shared" si="1358"/>
        <v>NO</v>
      </c>
      <c r="R5999" t="str">
        <f t="shared" si="1359"/>
        <v>NO</v>
      </c>
      <c r="T5999" t="s">
        <v>50</v>
      </c>
      <c r="U5999" t="str">
        <f t="shared" si="1346"/>
        <v>Belmont St</v>
      </c>
      <c r="V5999" t="s">
        <v>3548</v>
      </c>
      <c r="W5999" t="str">
        <f t="shared" si="1347"/>
        <v>Francis Ave</v>
      </c>
      <c r="X5999" t="str">
        <f>IF(ISBLANK(S5999),"Intersection","Non-Intersection")</f>
        <v>Intersection</v>
      </c>
      <c r="Y5999" t="s">
        <v>6243</v>
      </c>
      <c r="Z5999" t="str">
        <f t="shared" si="1348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349"/>
        <v>41275</v>
      </c>
      <c r="D6000" s="4">
        <f t="shared" si="1350"/>
        <v>0.92602739726027394</v>
      </c>
      <c r="E6000" s="3">
        <f t="shared" si="1351"/>
        <v>2013</v>
      </c>
      <c r="F6000" s="3">
        <f t="shared" si="1352"/>
        <v>12</v>
      </c>
      <c r="G6000" s="3">
        <f t="shared" si="1353"/>
        <v>5</v>
      </c>
      <c r="H6000" s="3">
        <f t="shared" si="1354"/>
        <v>16</v>
      </c>
      <c r="I6000" s="3">
        <f t="shared" si="1355"/>
        <v>16</v>
      </c>
      <c r="J6000" s="3">
        <f t="shared" si="1356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357"/>
        <v>YES</v>
      </c>
      <c r="Q6000" t="str">
        <f t="shared" si="1358"/>
        <v>NO</v>
      </c>
      <c r="R6000" t="str">
        <f t="shared" si="1359"/>
        <v>NO</v>
      </c>
      <c r="T6000" t="s">
        <v>260</v>
      </c>
      <c r="U6000" t="str">
        <f t="shared" si="1346"/>
        <v>Third St</v>
      </c>
      <c r="V6000" t="s">
        <v>146</v>
      </c>
      <c r="W6000" t="str">
        <f t="shared" si="1347"/>
        <v>Spring St</v>
      </c>
      <c r="X6000" t="str">
        <f>IF(ISBLANK(S6000),"Intersection","Non-Intersection")</f>
        <v>Intersection</v>
      </c>
      <c r="Y6000" t="s">
        <v>544</v>
      </c>
      <c r="Z6000" t="str">
        <f t="shared" si="1348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349"/>
        <v>41275</v>
      </c>
      <c r="D6001" s="4">
        <f t="shared" si="1350"/>
        <v>0.92876712328767119</v>
      </c>
      <c r="E6001" s="3">
        <f t="shared" si="1351"/>
        <v>2013</v>
      </c>
      <c r="F6001" s="3">
        <f t="shared" si="1352"/>
        <v>12</v>
      </c>
      <c r="G6001" s="3">
        <f t="shared" si="1353"/>
        <v>6</v>
      </c>
      <c r="H6001" s="3">
        <f t="shared" si="1354"/>
        <v>7</v>
      </c>
      <c r="I6001" s="3">
        <f t="shared" si="1355"/>
        <v>34</v>
      </c>
      <c r="J6001" s="3">
        <f t="shared" si="1356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357"/>
        <v>YES</v>
      </c>
      <c r="Q6001" t="str">
        <f t="shared" si="1358"/>
        <v>NO</v>
      </c>
      <c r="R6001" t="str">
        <f t="shared" si="1359"/>
        <v>NO</v>
      </c>
      <c r="T6001" t="s">
        <v>1502</v>
      </c>
      <c r="U6001" t="str">
        <f t="shared" si="1346"/>
        <v>Gore St</v>
      </c>
      <c r="V6001" t="s">
        <v>20</v>
      </c>
      <c r="W6001" t="str">
        <f t="shared" si="1347"/>
        <v>Sciarappa St</v>
      </c>
      <c r="X6001" t="str">
        <f>IF(ISBLANK(S6001),"Intersection","Non-Intersection")</f>
        <v>Intersection</v>
      </c>
      <c r="Y6001" t="s">
        <v>1540</v>
      </c>
      <c r="Z6001" t="str">
        <f t="shared" si="1348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349"/>
        <v>41275</v>
      </c>
      <c r="D6002" s="4">
        <f t="shared" si="1350"/>
        <v>0.92876712328767119</v>
      </c>
      <c r="E6002" s="3">
        <f t="shared" si="1351"/>
        <v>2013</v>
      </c>
      <c r="F6002" s="3">
        <f t="shared" si="1352"/>
        <v>12</v>
      </c>
      <c r="G6002" s="3">
        <f t="shared" si="1353"/>
        <v>6</v>
      </c>
      <c r="H6002" s="3">
        <f t="shared" si="1354"/>
        <v>11</v>
      </c>
      <c r="I6002" s="3">
        <f t="shared" si="1355"/>
        <v>44</v>
      </c>
      <c r="J6002" s="3">
        <f t="shared" si="1356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357"/>
        <v>YES</v>
      </c>
      <c r="Q6002" t="str">
        <f t="shared" si="1358"/>
        <v>NO</v>
      </c>
      <c r="R6002" t="str">
        <f t="shared" si="1359"/>
        <v>NO</v>
      </c>
      <c r="S6002">
        <v>2532</v>
      </c>
      <c r="T6002" t="s">
        <v>14</v>
      </c>
      <c r="U6002" t="str">
        <f t="shared" si="1346"/>
        <v>Massachusetts Ave</v>
      </c>
      <c r="W6002" t="str">
        <f t="shared" si="1347"/>
        <v/>
      </c>
      <c r="X6002" t="str">
        <f>IF(ISBLANK(S6002),"Intersection","Non-Intersection")</f>
        <v>Non-Intersection</v>
      </c>
      <c r="Y6002" t="s">
        <v>6244</v>
      </c>
      <c r="Z6002" t="str">
        <f t="shared" si="1348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349"/>
        <v>41275</v>
      </c>
      <c r="D6003" s="4">
        <f t="shared" si="1350"/>
        <v>0.92876712328767119</v>
      </c>
      <c r="E6003" s="3">
        <f t="shared" si="1351"/>
        <v>2013</v>
      </c>
      <c r="F6003" s="3">
        <f t="shared" si="1352"/>
        <v>12</v>
      </c>
      <c r="G6003" s="3">
        <f t="shared" si="1353"/>
        <v>6</v>
      </c>
      <c r="H6003" s="3">
        <f t="shared" si="1354"/>
        <v>19</v>
      </c>
      <c r="I6003" s="3">
        <f t="shared" si="1355"/>
        <v>21</v>
      </c>
      <c r="J6003" s="3">
        <f t="shared" si="1356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357"/>
        <v>YES</v>
      </c>
      <c r="Q6003" t="str">
        <f t="shared" si="1358"/>
        <v>NO</v>
      </c>
      <c r="R6003" t="str">
        <f t="shared" si="1359"/>
        <v>NO</v>
      </c>
      <c r="T6003" t="s">
        <v>186</v>
      </c>
      <c r="U6003" t="str">
        <f t="shared" si="1346"/>
        <v>Concord Ave</v>
      </c>
      <c r="V6003" t="s">
        <v>409</v>
      </c>
      <c r="W6003" t="str">
        <f t="shared" si="1347"/>
        <v>Appleton St</v>
      </c>
      <c r="X6003" t="str">
        <f>IF(ISBLANK(S6003),"Intersection","Non-Intersection")</f>
        <v>Intersection</v>
      </c>
      <c r="Y6003" t="s">
        <v>886</v>
      </c>
      <c r="Z6003" t="str">
        <f t="shared" si="1348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349"/>
        <v>41275</v>
      </c>
      <c r="D6004" s="4">
        <f t="shared" si="1350"/>
        <v>0.92876712328767119</v>
      </c>
      <c r="E6004" s="3">
        <f t="shared" si="1351"/>
        <v>2013</v>
      </c>
      <c r="F6004" s="3">
        <f t="shared" si="1352"/>
        <v>12</v>
      </c>
      <c r="G6004" s="3">
        <f t="shared" si="1353"/>
        <v>6</v>
      </c>
      <c r="H6004" s="3">
        <f t="shared" si="1354"/>
        <v>19</v>
      </c>
      <c r="I6004" s="3">
        <f t="shared" si="1355"/>
        <v>40</v>
      </c>
      <c r="J6004" s="3">
        <f t="shared" si="1356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357"/>
        <v>YES</v>
      </c>
      <c r="Q6004" t="str">
        <f t="shared" si="1358"/>
        <v>YES</v>
      </c>
      <c r="R6004" t="str">
        <f t="shared" si="1359"/>
        <v>NO</v>
      </c>
      <c r="T6004" t="s">
        <v>14</v>
      </c>
      <c r="U6004" t="str">
        <f t="shared" si="1346"/>
        <v>Massachusetts Ave</v>
      </c>
      <c r="V6004" t="s">
        <v>202</v>
      </c>
      <c r="W6004" t="str">
        <f t="shared" si="1347"/>
        <v>Vassar St</v>
      </c>
      <c r="X6004" t="str">
        <f>IF(ISBLANK(S6004),"Intersection","Non-Intersection")</f>
        <v>Intersection</v>
      </c>
      <c r="Y6004" t="s">
        <v>361</v>
      </c>
      <c r="Z6004" t="str">
        <f t="shared" si="1348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349"/>
        <v>41275</v>
      </c>
      <c r="D6005" s="4">
        <f t="shared" si="1350"/>
        <v>0.93150684931506844</v>
      </c>
      <c r="E6005" s="3">
        <f t="shared" si="1351"/>
        <v>2013</v>
      </c>
      <c r="F6005" s="3">
        <f t="shared" si="1352"/>
        <v>12</v>
      </c>
      <c r="G6005" s="3">
        <f t="shared" si="1353"/>
        <v>7</v>
      </c>
      <c r="H6005" s="3">
        <f t="shared" si="1354"/>
        <v>6</v>
      </c>
      <c r="I6005" s="3">
        <f t="shared" si="1355"/>
        <v>59</v>
      </c>
      <c r="J6005" s="3">
        <f t="shared" si="1356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357"/>
        <v>YES</v>
      </c>
      <c r="Q6005" t="str">
        <f t="shared" si="1358"/>
        <v>NO</v>
      </c>
      <c r="R6005" t="str">
        <f t="shared" si="1359"/>
        <v>NO</v>
      </c>
      <c r="T6005" t="s">
        <v>45</v>
      </c>
      <c r="U6005" t="str">
        <f t="shared" si="1346"/>
        <v>Sherman St</v>
      </c>
      <c r="V6005" t="s">
        <v>252</v>
      </c>
      <c r="W6005" t="str">
        <f t="shared" si="1347"/>
        <v>Walden St</v>
      </c>
      <c r="X6005" t="str">
        <f>IF(ISBLANK(S6005),"Intersection","Non-Intersection")</f>
        <v>Intersection</v>
      </c>
      <c r="Y6005" t="s">
        <v>3265</v>
      </c>
      <c r="Z6005" t="str">
        <f t="shared" si="1348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349"/>
        <v>41275</v>
      </c>
      <c r="D6006" s="4">
        <f t="shared" si="1350"/>
        <v>0.93150684931506844</v>
      </c>
      <c r="E6006" s="3">
        <f t="shared" si="1351"/>
        <v>2013</v>
      </c>
      <c r="F6006" s="3">
        <f t="shared" si="1352"/>
        <v>12</v>
      </c>
      <c r="G6006" s="3">
        <f t="shared" si="1353"/>
        <v>7</v>
      </c>
      <c r="H6006" s="3">
        <f t="shared" si="1354"/>
        <v>13</v>
      </c>
      <c r="I6006" s="3">
        <f t="shared" si="1355"/>
        <v>6</v>
      </c>
      <c r="J6006" s="3">
        <f t="shared" si="1356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357"/>
        <v>YES</v>
      </c>
      <c r="Q6006" t="str">
        <f t="shared" si="1358"/>
        <v>NO</v>
      </c>
      <c r="R6006" t="str">
        <f t="shared" si="1359"/>
        <v>YES</v>
      </c>
      <c r="S6006">
        <v>1920</v>
      </c>
      <c r="T6006" t="s">
        <v>14</v>
      </c>
      <c r="U6006" t="str">
        <f t="shared" si="1346"/>
        <v>Massachusetts Ave</v>
      </c>
      <c r="W6006" t="str">
        <f t="shared" si="1347"/>
        <v/>
      </c>
      <c r="X6006" t="str">
        <f>IF(ISBLANK(S6006),"Intersection","Non-Intersection")</f>
        <v>Non-Intersection</v>
      </c>
      <c r="Y6006" t="s">
        <v>1333</v>
      </c>
      <c r="Z6006" t="str">
        <f t="shared" si="1348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349"/>
        <v>41275</v>
      </c>
      <c r="D6007" s="4">
        <f t="shared" si="1350"/>
        <v>0.93150684931506844</v>
      </c>
      <c r="E6007" s="3">
        <f t="shared" si="1351"/>
        <v>2013</v>
      </c>
      <c r="F6007" s="3">
        <f t="shared" si="1352"/>
        <v>12</v>
      </c>
      <c r="G6007" s="3">
        <f t="shared" si="1353"/>
        <v>7</v>
      </c>
      <c r="H6007" s="3">
        <f t="shared" si="1354"/>
        <v>15</v>
      </c>
      <c r="I6007" s="3">
        <f t="shared" si="1355"/>
        <v>40</v>
      </c>
      <c r="J6007" s="3">
        <f t="shared" si="1356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357"/>
        <v>YES</v>
      </c>
      <c r="Q6007" t="str">
        <f t="shared" si="1358"/>
        <v>NO</v>
      </c>
      <c r="R6007" t="str">
        <f t="shared" si="1359"/>
        <v>NO</v>
      </c>
      <c r="T6007" t="s">
        <v>342</v>
      </c>
      <c r="U6007" t="str">
        <f t="shared" si="1346"/>
        <v>Prospect St</v>
      </c>
      <c r="V6007" t="s">
        <v>19</v>
      </c>
      <c r="W6007" t="str">
        <f t="shared" si="1347"/>
        <v>Cambridge St</v>
      </c>
      <c r="X6007" t="str">
        <f>IF(ISBLANK(S6007),"Intersection","Non-Intersection")</f>
        <v>Intersection</v>
      </c>
      <c r="Y6007" t="s">
        <v>3214</v>
      </c>
      <c r="Z6007" t="str">
        <f t="shared" si="1348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349"/>
        <v>41275</v>
      </c>
      <c r="D6008" s="4">
        <f t="shared" si="1350"/>
        <v>0.93150684931506844</v>
      </c>
      <c r="E6008" s="3">
        <f t="shared" si="1351"/>
        <v>2013</v>
      </c>
      <c r="F6008" s="3">
        <f t="shared" si="1352"/>
        <v>12</v>
      </c>
      <c r="G6008" s="3">
        <f t="shared" si="1353"/>
        <v>7</v>
      </c>
      <c r="H6008" s="3">
        <f t="shared" si="1354"/>
        <v>20</v>
      </c>
      <c r="I6008" s="3">
        <f t="shared" si="1355"/>
        <v>0</v>
      </c>
      <c r="J6008" s="3">
        <f t="shared" si="1356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357"/>
        <v>YES</v>
      </c>
      <c r="Q6008" t="str">
        <f t="shared" si="1358"/>
        <v>NO</v>
      </c>
      <c r="R6008" t="str">
        <f t="shared" si="1359"/>
        <v>NO</v>
      </c>
      <c r="T6008" t="s">
        <v>316</v>
      </c>
      <c r="U6008" t="str">
        <f t="shared" si="1346"/>
        <v>Bishop Allen Dr</v>
      </c>
      <c r="W6008" t="str">
        <f t="shared" si="1347"/>
        <v/>
      </c>
      <c r="X6008" t="str">
        <f>IF(ISBLANK(S6008),"Intersection","Non-Intersection")</f>
        <v>Intersection</v>
      </c>
      <c r="Y6008" t="s">
        <v>1374</v>
      </c>
      <c r="Z6008" t="str">
        <f t="shared" si="1348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349"/>
        <v>41275</v>
      </c>
      <c r="D6009" s="4">
        <f t="shared" si="1350"/>
        <v>0.93150684931506844</v>
      </c>
      <c r="E6009" s="3">
        <f t="shared" si="1351"/>
        <v>2013</v>
      </c>
      <c r="F6009" s="3">
        <f t="shared" si="1352"/>
        <v>12</v>
      </c>
      <c r="G6009" s="3">
        <f t="shared" si="1353"/>
        <v>7</v>
      </c>
      <c r="H6009" s="3">
        <f t="shared" si="1354"/>
        <v>22</v>
      </c>
      <c r="I6009" s="3">
        <f t="shared" si="1355"/>
        <v>54</v>
      </c>
      <c r="J6009" s="3">
        <f t="shared" si="1356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357"/>
        <v>YES</v>
      </c>
      <c r="Q6009" t="str">
        <f t="shared" si="1358"/>
        <v>NO</v>
      </c>
      <c r="R6009" t="str">
        <f t="shared" si="1359"/>
        <v>NO</v>
      </c>
      <c r="S6009">
        <v>1</v>
      </c>
      <c r="T6009" t="s">
        <v>28</v>
      </c>
      <c r="U6009" t="str">
        <f t="shared" si="1346"/>
        <v>Howard St</v>
      </c>
      <c r="W6009" t="str">
        <f t="shared" si="1347"/>
        <v/>
      </c>
      <c r="X6009" t="str">
        <f>IF(ISBLANK(S6009),"Intersection","Non-Intersection")</f>
        <v>Non-Intersection</v>
      </c>
      <c r="Y6009" t="s">
        <v>6246</v>
      </c>
      <c r="Z6009" t="str">
        <f t="shared" si="1348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349"/>
        <v>41275</v>
      </c>
      <c r="D6010" s="4">
        <f t="shared" si="1350"/>
        <v>0.9342465753424658</v>
      </c>
      <c r="E6010" s="3">
        <f t="shared" si="1351"/>
        <v>2013</v>
      </c>
      <c r="F6010" s="3">
        <f t="shared" si="1352"/>
        <v>12</v>
      </c>
      <c r="G6010" s="3">
        <f t="shared" si="1353"/>
        <v>8</v>
      </c>
      <c r="H6010" s="3">
        <f t="shared" si="1354"/>
        <v>11</v>
      </c>
      <c r="I6010" s="3">
        <f t="shared" si="1355"/>
        <v>1</v>
      </c>
      <c r="J6010" s="3">
        <f t="shared" si="1356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357"/>
        <v>YES</v>
      </c>
      <c r="Q6010" t="str">
        <f t="shared" si="1358"/>
        <v>NO</v>
      </c>
      <c r="R6010" t="str">
        <f t="shared" si="1359"/>
        <v>NO</v>
      </c>
      <c r="S6010">
        <v>534</v>
      </c>
      <c r="T6010" t="s">
        <v>189</v>
      </c>
      <c r="U6010" t="str">
        <f t="shared" si="1346"/>
        <v>Windsor St</v>
      </c>
      <c r="W6010" t="str">
        <f t="shared" si="1347"/>
        <v/>
      </c>
      <c r="X6010" t="str">
        <f>IF(ISBLANK(S6010),"Intersection","Non-Intersection")</f>
        <v>Non-Intersection</v>
      </c>
      <c r="Y6010" t="s">
        <v>6248</v>
      </c>
      <c r="Z6010" t="str">
        <f t="shared" si="1348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349"/>
        <v>41275</v>
      </c>
      <c r="D6011" s="4">
        <f t="shared" si="1350"/>
        <v>0.9342465753424658</v>
      </c>
      <c r="E6011" s="3">
        <f t="shared" si="1351"/>
        <v>2013</v>
      </c>
      <c r="F6011" s="3">
        <f t="shared" si="1352"/>
        <v>12</v>
      </c>
      <c r="G6011" s="3">
        <f t="shared" si="1353"/>
        <v>8</v>
      </c>
      <c r="H6011" s="3">
        <f t="shared" si="1354"/>
        <v>13</v>
      </c>
      <c r="I6011" s="3">
        <f t="shared" si="1355"/>
        <v>25</v>
      </c>
      <c r="J6011" s="3">
        <f t="shared" si="1356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357"/>
        <v>YES</v>
      </c>
      <c r="Q6011" t="str">
        <f t="shared" si="1358"/>
        <v>NO</v>
      </c>
      <c r="R6011" t="str">
        <f t="shared" si="1359"/>
        <v>NO</v>
      </c>
      <c r="T6011" t="s">
        <v>14</v>
      </c>
      <c r="U6011" t="str">
        <f t="shared" si="1346"/>
        <v>Massachusetts Ave</v>
      </c>
      <c r="V6011" t="s">
        <v>1916</v>
      </c>
      <c r="W6011" t="str">
        <f t="shared" si="1347"/>
        <v>Hadley St</v>
      </c>
      <c r="X6011" t="str">
        <f>IF(ISBLANK(S6011),"Intersection","Non-Intersection")</f>
        <v>Intersection</v>
      </c>
      <c r="Y6011" t="s">
        <v>1917</v>
      </c>
      <c r="Z6011" t="str">
        <f t="shared" si="1348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349"/>
        <v>41275</v>
      </c>
      <c r="D6012" s="4">
        <f t="shared" si="1350"/>
        <v>0.9342465753424658</v>
      </c>
      <c r="E6012" s="3">
        <f t="shared" si="1351"/>
        <v>2013</v>
      </c>
      <c r="F6012" s="3">
        <f t="shared" si="1352"/>
        <v>12</v>
      </c>
      <c r="G6012" s="3">
        <f t="shared" si="1353"/>
        <v>8</v>
      </c>
      <c r="H6012" s="3">
        <f t="shared" si="1354"/>
        <v>12</v>
      </c>
      <c r="I6012" s="3">
        <f t="shared" si="1355"/>
        <v>0</v>
      </c>
      <c r="J6012" s="3">
        <f t="shared" si="1356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357"/>
        <v>YES</v>
      </c>
      <c r="Q6012" t="str">
        <f t="shared" si="1358"/>
        <v>NO</v>
      </c>
      <c r="R6012" t="str">
        <f t="shared" si="1359"/>
        <v>NO</v>
      </c>
      <c r="S6012">
        <v>20</v>
      </c>
      <c r="T6012" t="s">
        <v>651</v>
      </c>
      <c r="U6012" t="str">
        <f t="shared" si="1346"/>
        <v>Surrey St</v>
      </c>
      <c r="W6012" t="str">
        <f t="shared" si="1347"/>
        <v/>
      </c>
      <c r="X6012" t="str">
        <f>IF(ISBLANK(S6012),"Intersection","Non-Intersection")</f>
        <v>Non-Intersection</v>
      </c>
      <c r="Y6012" t="s">
        <v>6250</v>
      </c>
      <c r="Z6012" t="str">
        <f t="shared" si="1348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349"/>
        <v>41275</v>
      </c>
      <c r="D6013" s="4">
        <f t="shared" si="1350"/>
        <v>0.93698630136986305</v>
      </c>
      <c r="E6013" s="3">
        <f t="shared" si="1351"/>
        <v>2013</v>
      </c>
      <c r="F6013" s="3">
        <f t="shared" si="1352"/>
        <v>12</v>
      </c>
      <c r="G6013" s="3">
        <f t="shared" si="1353"/>
        <v>9</v>
      </c>
      <c r="H6013" s="3">
        <f t="shared" si="1354"/>
        <v>14</v>
      </c>
      <c r="I6013" s="3">
        <f t="shared" si="1355"/>
        <v>0</v>
      </c>
      <c r="J6013" s="3">
        <f t="shared" si="1356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357"/>
        <v>YES</v>
      </c>
      <c r="Q6013" t="str">
        <f t="shared" si="1358"/>
        <v>NO</v>
      </c>
      <c r="R6013" t="str">
        <f t="shared" si="1359"/>
        <v>NO</v>
      </c>
      <c r="T6013" t="s">
        <v>587</v>
      </c>
      <c r="U6013" t="str">
        <f t="shared" si="1346"/>
        <v>Webster Ave</v>
      </c>
      <c r="V6013" t="s">
        <v>2344</v>
      </c>
      <c r="W6013" t="str">
        <f t="shared" si="1347"/>
        <v>Bristol St</v>
      </c>
      <c r="X6013" t="str">
        <f>IF(ISBLANK(S6013),"Intersection","Non-Intersection")</f>
        <v>Intersection</v>
      </c>
      <c r="Y6013" t="s">
        <v>2345</v>
      </c>
      <c r="Z6013" t="str">
        <f t="shared" si="1348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349"/>
        <v>41275</v>
      </c>
      <c r="D6014" s="4">
        <f t="shared" si="1350"/>
        <v>0.93698630136986305</v>
      </c>
      <c r="E6014" s="3">
        <f t="shared" si="1351"/>
        <v>2013</v>
      </c>
      <c r="F6014" s="3">
        <f t="shared" si="1352"/>
        <v>12</v>
      </c>
      <c r="G6014" s="3">
        <f t="shared" si="1353"/>
        <v>9</v>
      </c>
      <c r="H6014" s="3">
        <f t="shared" si="1354"/>
        <v>6</v>
      </c>
      <c r="I6014" s="3">
        <f t="shared" si="1355"/>
        <v>59</v>
      </c>
      <c r="J6014" s="3">
        <f t="shared" si="1356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357"/>
        <v>YES</v>
      </c>
      <c r="Q6014" t="str">
        <f t="shared" si="1358"/>
        <v>NO</v>
      </c>
      <c r="R6014" t="str">
        <f t="shared" si="1359"/>
        <v>NO</v>
      </c>
      <c r="T6014" t="s">
        <v>185</v>
      </c>
      <c r="U6014" t="str">
        <f t="shared" si="1346"/>
        <v>Garden St</v>
      </c>
      <c r="V6014" t="s">
        <v>296</v>
      </c>
      <c r="W6014" t="str">
        <f t="shared" si="1347"/>
        <v>Mason St</v>
      </c>
      <c r="X6014" t="str">
        <f>IF(ISBLANK(S6014),"Intersection","Non-Intersection")</f>
        <v>Intersection</v>
      </c>
      <c r="Y6014" t="s">
        <v>594</v>
      </c>
      <c r="Z6014" t="str">
        <f t="shared" si="1348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349"/>
        <v>41275</v>
      </c>
      <c r="D6015" s="4">
        <f t="shared" si="1350"/>
        <v>0.93698630136986305</v>
      </c>
      <c r="E6015" s="3">
        <f t="shared" si="1351"/>
        <v>2013</v>
      </c>
      <c r="F6015" s="3">
        <f t="shared" si="1352"/>
        <v>12</v>
      </c>
      <c r="G6015" s="3">
        <f t="shared" si="1353"/>
        <v>9</v>
      </c>
      <c r="H6015" s="3">
        <f t="shared" si="1354"/>
        <v>8</v>
      </c>
      <c r="I6015" s="3">
        <f t="shared" si="1355"/>
        <v>30</v>
      </c>
      <c r="J6015" s="3">
        <f t="shared" si="1356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357"/>
        <v>YES</v>
      </c>
      <c r="Q6015" t="str">
        <f t="shared" si="1358"/>
        <v>NO</v>
      </c>
      <c r="R6015" t="str">
        <f t="shared" si="1359"/>
        <v>NO</v>
      </c>
      <c r="T6015" t="s">
        <v>1502</v>
      </c>
      <c r="U6015" t="str">
        <f t="shared" si="1346"/>
        <v>Gore St</v>
      </c>
      <c r="V6015" t="s">
        <v>260</v>
      </c>
      <c r="W6015" t="str">
        <f t="shared" si="1347"/>
        <v>Third St</v>
      </c>
      <c r="X6015" t="str">
        <f>IF(ISBLANK(S6015),"Intersection","Non-Intersection")</f>
        <v>Intersection</v>
      </c>
      <c r="Y6015" t="s">
        <v>2873</v>
      </c>
      <c r="Z6015" t="str">
        <f t="shared" si="1348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349"/>
        <v>41275</v>
      </c>
      <c r="D6016" s="4">
        <f t="shared" si="1350"/>
        <v>0.93698630136986305</v>
      </c>
      <c r="E6016" s="3">
        <f t="shared" si="1351"/>
        <v>2013</v>
      </c>
      <c r="F6016" s="3">
        <f t="shared" si="1352"/>
        <v>12</v>
      </c>
      <c r="G6016" s="3">
        <f t="shared" si="1353"/>
        <v>9</v>
      </c>
      <c r="H6016" s="3">
        <f t="shared" si="1354"/>
        <v>16</v>
      </c>
      <c r="I6016" s="3">
        <f t="shared" si="1355"/>
        <v>30</v>
      </c>
      <c r="J6016" s="3">
        <f t="shared" si="1356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357"/>
        <v>YES</v>
      </c>
      <c r="Q6016" t="str">
        <f t="shared" si="1358"/>
        <v>NO</v>
      </c>
      <c r="R6016" t="str">
        <f t="shared" si="1359"/>
        <v>NO</v>
      </c>
      <c r="S6016">
        <v>215</v>
      </c>
      <c r="T6016" t="s">
        <v>170</v>
      </c>
      <c r="U6016" t="str">
        <f t="shared" si="1346"/>
        <v>Alewife Brook Pky</v>
      </c>
      <c r="W6016" t="str">
        <f t="shared" si="1347"/>
        <v/>
      </c>
      <c r="X6016" t="str">
        <f>IF(ISBLANK(S6016),"Intersection","Non-Intersection")</f>
        <v>Non-Intersection</v>
      </c>
      <c r="Y6016" t="s">
        <v>4750</v>
      </c>
      <c r="Z6016" t="str">
        <f t="shared" si="1348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349"/>
        <v>41275</v>
      </c>
      <c r="D6017" s="4">
        <f t="shared" si="1350"/>
        <v>0.93698630136986305</v>
      </c>
      <c r="E6017" s="3">
        <f t="shared" si="1351"/>
        <v>2013</v>
      </c>
      <c r="F6017" s="3">
        <f t="shared" si="1352"/>
        <v>12</v>
      </c>
      <c r="G6017" s="3">
        <f t="shared" si="1353"/>
        <v>9</v>
      </c>
      <c r="H6017" s="3">
        <f t="shared" si="1354"/>
        <v>14</v>
      </c>
      <c r="I6017" s="3">
        <f t="shared" si="1355"/>
        <v>0</v>
      </c>
      <c r="J6017" s="3">
        <f t="shared" si="1356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357"/>
        <v>YES</v>
      </c>
      <c r="Q6017" t="str">
        <f t="shared" si="1358"/>
        <v>NO</v>
      </c>
      <c r="R6017" t="str">
        <f t="shared" si="1359"/>
        <v>NO</v>
      </c>
      <c r="S6017">
        <v>40</v>
      </c>
      <c r="T6017" t="s">
        <v>2580</v>
      </c>
      <c r="U6017" t="str">
        <f t="shared" si="1346"/>
        <v>Land Blvd</v>
      </c>
      <c r="W6017" t="str">
        <f t="shared" si="1347"/>
        <v/>
      </c>
      <c r="X6017" t="str">
        <f>IF(ISBLANK(S6017),"Intersection","Non-Intersection")</f>
        <v>Non-Intersection</v>
      </c>
      <c r="Y6017" t="s">
        <v>5794</v>
      </c>
      <c r="Z6017" t="str">
        <f t="shared" si="1348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349"/>
        <v>41275</v>
      </c>
      <c r="D6018" s="4">
        <f t="shared" si="1350"/>
        <v>0.9397260273972603</v>
      </c>
      <c r="E6018" s="3">
        <f t="shared" si="1351"/>
        <v>2013</v>
      </c>
      <c r="F6018" s="3">
        <f t="shared" si="1352"/>
        <v>12</v>
      </c>
      <c r="G6018" s="3">
        <f t="shared" si="1353"/>
        <v>10</v>
      </c>
      <c r="H6018" s="3">
        <f t="shared" si="1354"/>
        <v>13</v>
      </c>
      <c r="I6018" s="3">
        <f t="shared" si="1355"/>
        <v>38</v>
      </c>
      <c r="J6018" s="3">
        <f t="shared" si="1356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357"/>
        <v>YES</v>
      </c>
      <c r="Q6018" t="str">
        <f t="shared" si="1358"/>
        <v>NO</v>
      </c>
      <c r="R6018" t="str">
        <f t="shared" si="1359"/>
        <v>NO</v>
      </c>
      <c r="T6018" t="s">
        <v>1502</v>
      </c>
      <c r="U6018" t="str">
        <f t="shared" si="1346"/>
        <v>Gore St</v>
      </c>
      <c r="V6018" t="s">
        <v>260</v>
      </c>
      <c r="W6018" t="str">
        <f t="shared" si="1347"/>
        <v>Third St</v>
      </c>
      <c r="X6018" t="str">
        <f>IF(ISBLANK(S6018),"Intersection","Non-Intersection")</f>
        <v>Intersection</v>
      </c>
      <c r="Y6018" t="s">
        <v>2873</v>
      </c>
      <c r="Z6018" t="str">
        <f t="shared" si="1348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349"/>
        <v>41275</v>
      </c>
      <c r="D6019" s="4">
        <f t="shared" si="1350"/>
        <v>0.9397260273972603</v>
      </c>
      <c r="E6019" s="3">
        <f t="shared" si="1351"/>
        <v>2013</v>
      </c>
      <c r="F6019" s="3">
        <f t="shared" si="1352"/>
        <v>12</v>
      </c>
      <c r="G6019" s="3">
        <f t="shared" si="1353"/>
        <v>10</v>
      </c>
      <c r="H6019" s="3">
        <f t="shared" si="1354"/>
        <v>18</v>
      </c>
      <c r="I6019" s="3">
        <f t="shared" si="1355"/>
        <v>20</v>
      </c>
      <c r="J6019" s="3">
        <f t="shared" si="1356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357"/>
        <v>YES</v>
      </c>
      <c r="Q6019" t="str">
        <f t="shared" si="1358"/>
        <v>NO</v>
      </c>
      <c r="R6019" t="str">
        <f t="shared" si="1359"/>
        <v>YES</v>
      </c>
      <c r="T6019" t="s">
        <v>14</v>
      </c>
      <c r="U6019" t="str">
        <f t="shared" ref="U6019:U6082" si="1360">TRIM(PROPER(T6019))</f>
        <v>Massachusetts Ave</v>
      </c>
      <c r="V6019" t="s">
        <v>1438</v>
      </c>
      <c r="W6019" t="str">
        <f t="shared" ref="W6019:W6082" si="1361">TRIM(PROPER(V6019))</f>
        <v>Dunster St</v>
      </c>
      <c r="X6019" t="str">
        <f>IF(ISBLANK(S6019),"Intersection","Non-Intersection")</f>
        <v>Intersection</v>
      </c>
      <c r="Y6019" t="s">
        <v>2030</v>
      </c>
      <c r="Z6019" t="str">
        <f t="shared" ref="Z6019:Z6082" si="1362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349"/>
        <v>41275</v>
      </c>
      <c r="D6020" s="4">
        <f t="shared" si="1350"/>
        <v>0.9397260273972603</v>
      </c>
      <c r="E6020" s="3">
        <f t="shared" si="1351"/>
        <v>2013</v>
      </c>
      <c r="F6020" s="3">
        <f t="shared" si="1352"/>
        <v>12</v>
      </c>
      <c r="G6020" s="3">
        <f t="shared" si="1353"/>
        <v>10</v>
      </c>
      <c r="H6020" s="3">
        <f t="shared" si="1354"/>
        <v>12</v>
      </c>
      <c r="I6020" s="3">
        <f t="shared" si="1355"/>
        <v>0</v>
      </c>
      <c r="J6020" s="3">
        <f t="shared" si="1356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357"/>
        <v>YES</v>
      </c>
      <c r="Q6020" t="str">
        <f t="shared" si="1358"/>
        <v>NO</v>
      </c>
      <c r="R6020" t="str">
        <f t="shared" si="1359"/>
        <v>NO</v>
      </c>
      <c r="S6020">
        <v>62</v>
      </c>
      <c r="T6020" t="s">
        <v>484</v>
      </c>
      <c r="U6020" t="str">
        <f t="shared" si="1360"/>
        <v>Porter St</v>
      </c>
      <c r="W6020" t="str">
        <f t="shared" si="1361"/>
        <v/>
      </c>
      <c r="X6020" t="str">
        <f>IF(ISBLANK(S6020),"Intersection","Non-Intersection")</f>
        <v>Non-Intersection</v>
      </c>
      <c r="Y6020" t="s">
        <v>6252</v>
      </c>
      <c r="Z6020" t="str">
        <f t="shared" si="1362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349"/>
        <v>41275</v>
      </c>
      <c r="D6021" s="4">
        <f t="shared" si="1350"/>
        <v>0.9397260273972603</v>
      </c>
      <c r="E6021" s="3">
        <f t="shared" si="1351"/>
        <v>2013</v>
      </c>
      <c r="F6021" s="3">
        <f t="shared" si="1352"/>
        <v>12</v>
      </c>
      <c r="G6021" s="3">
        <f t="shared" si="1353"/>
        <v>10</v>
      </c>
      <c r="H6021" s="3">
        <f t="shared" si="1354"/>
        <v>9</v>
      </c>
      <c r="I6021" s="3">
        <f t="shared" si="1355"/>
        <v>4</v>
      </c>
      <c r="J6021" s="3">
        <f t="shared" si="1356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357"/>
        <v>YES</v>
      </c>
      <c r="Q6021" t="str">
        <f t="shared" si="1358"/>
        <v>NO</v>
      </c>
      <c r="R6021" t="str">
        <f t="shared" si="1359"/>
        <v>NO</v>
      </c>
      <c r="T6021" t="s">
        <v>14</v>
      </c>
      <c r="U6021" t="str">
        <f t="shared" si="1360"/>
        <v>Massachusetts Ave</v>
      </c>
      <c r="V6021" t="s">
        <v>185</v>
      </c>
      <c r="W6021" t="str">
        <f t="shared" si="1361"/>
        <v>Garden St</v>
      </c>
      <c r="X6021" t="str">
        <f>IF(ISBLANK(S6021),"Intersection","Non-Intersection")</f>
        <v>Intersection</v>
      </c>
      <c r="Y6021" t="s">
        <v>1247</v>
      </c>
      <c r="Z6021" t="str">
        <f t="shared" si="1362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349"/>
        <v>41275</v>
      </c>
      <c r="D6022" s="4">
        <f t="shared" si="1350"/>
        <v>0.94246575342465755</v>
      </c>
      <c r="E6022" s="3">
        <f t="shared" si="1351"/>
        <v>2013</v>
      </c>
      <c r="F6022" s="3">
        <f t="shared" si="1352"/>
        <v>12</v>
      </c>
      <c r="G6022" s="3">
        <f t="shared" si="1353"/>
        <v>11</v>
      </c>
      <c r="H6022" s="3">
        <f t="shared" si="1354"/>
        <v>18</v>
      </c>
      <c r="I6022" s="3">
        <f t="shared" si="1355"/>
        <v>14</v>
      </c>
      <c r="J6022" s="3">
        <f t="shared" si="1356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357"/>
        <v>YES</v>
      </c>
      <c r="Q6022" t="str">
        <f t="shared" si="1358"/>
        <v>YES</v>
      </c>
      <c r="R6022" t="str">
        <f t="shared" si="1359"/>
        <v>NO</v>
      </c>
      <c r="S6022">
        <v>975</v>
      </c>
      <c r="T6022" t="s">
        <v>19</v>
      </c>
      <c r="U6022" t="str">
        <f t="shared" si="1360"/>
        <v>Cambridge St</v>
      </c>
      <c r="W6022" t="str">
        <f t="shared" si="1361"/>
        <v/>
      </c>
      <c r="X6022" t="str">
        <f>IF(ISBLANK(S6022),"Intersection","Non-Intersection")</f>
        <v>Non-Intersection</v>
      </c>
      <c r="Y6022" t="s">
        <v>6254</v>
      </c>
      <c r="Z6022" t="str">
        <f t="shared" si="1362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349"/>
        <v>41275</v>
      </c>
      <c r="D6023" s="4">
        <f t="shared" si="1350"/>
        <v>0.94246575342465755</v>
      </c>
      <c r="E6023" s="3">
        <f t="shared" si="1351"/>
        <v>2013</v>
      </c>
      <c r="F6023" s="3">
        <f t="shared" si="1352"/>
        <v>12</v>
      </c>
      <c r="G6023" s="3">
        <f t="shared" si="1353"/>
        <v>11</v>
      </c>
      <c r="H6023" s="3">
        <f t="shared" si="1354"/>
        <v>19</v>
      </c>
      <c r="I6023" s="3">
        <f t="shared" si="1355"/>
        <v>15</v>
      </c>
      <c r="J6023" s="3">
        <f t="shared" si="1356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357"/>
        <v>YES</v>
      </c>
      <c r="Q6023" t="str">
        <f t="shared" si="1358"/>
        <v>NO</v>
      </c>
      <c r="R6023" t="str">
        <f t="shared" si="1359"/>
        <v>NO</v>
      </c>
      <c r="S6023">
        <v>73</v>
      </c>
      <c r="T6023" t="s">
        <v>667</v>
      </c>
      <c r="U6023" t="str">
        <f t="shared" si="1360"/>
        <v>Tremont St</v>
      </c>
      <c r="W6023" t="str">
        <f t="shared" si="1361"/>
        <v/>
      </c>
      <c r="X6023" t="str">
        <f>IF(ISBLANK(S6023),"Intersection","Non-Intersection")</f>
        <v>Non-Intersection</v>
      </c>
      <c r="Y6023" t="s">
        <v>6256</v>
      </c>
      <c r="Z6023" t="str">
        <f t="shared" si="1362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349"/>
        <v>41275</v>
      </c>
      <c r="D6024" s="4">
        <f t="shared" si="1350"/>
        <v>0.94246575342465755</v>
      </c>
      <c r="E6024" s="3">
        <f t="shared" si="1351"/>
        <v>2013</v>
      </c>
      <c r="F6024" s="3">
        <f t="shared" si="1352"/>
        <v>12</v>
      </c>
      <c r="G6024" s="3">
        <f t="shared" si="1353"/>
        <v>11</v>
      </c>
      <c r="H6024" s="3">
        <f t="shared" si="1354"/>
        <v>19</v>
      </c>
      <c r="I6024" s="3">
        <f t="shared" si="1355"/>
        <v>15</v>
      </c>
      <c r="J6024" s="3">
        <f t="shared" si="1356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357"/>
        <v>YES</v>
      </c>
      <c r="Q6024" t="str">
        <f t="shared" si="1358"/>
        <v>NO</v>
      </c>
      <c r="R6024" t="str">
        <f t="shared" si="1359"/>
        <v>NO</v>
      </c>
      <c r="S6024">
        <v>115</v>
      </c>
      <c r="T6024" t="s">
        <v>342</v>
      </c>
      <c r="U6024" t="str">
        <f t="shared" si="1360"/>
        <v>Prospect St</v>
      </c>
      <c r="W6024" t="str">
        <f t="shared" si="1361"/>
        <v/>
      </c>
      <c r="X6024" t="str">
        <f>IF(ISBLANK(S6024),"Intersection","Non-Intersection")</f>
        <v>Non-Intersection</v>
      </c>
      <c r="Y6024" t="s">
        <v>1565</v>
      </c>
      <c r="Z6024" t="str">
        <f t="shared" si="1362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363">EOMONTH(B6025,MONTH(B6025)*-1)+1</f>
        <v>41275</v>
      </c>
      <c r="D6025" s="4">
        <f t="shared" ref="D6025:D6084" si="1364">YEARFRAC(C6025,B6025,1)</f>
        <v>0.94246575342465755</v>
      </c>
      <c r="E6025" s="3">
        <f t="shared" ref="E6025:E6084" si="1365">YEAR(B6025)</f>
        <v>2013</v>
      </c>
      <c r="F6025" s="3">
        <f t="shared" ref="F6025:F6084" si="1366">MONTH(B6025)</f>
        <v>12</v>
      </c>
      <c r="G6025" s="3">
        <f t="shared" ref="G6025:G6084" si="1367">DAY(B6025)</f>
        <v>11</v>
      </c>
      <c r="H6025" s="3">
        <f t="shared" ref="H6025:H6084" si="1368">HOUR(B6025)</f>
        <v>14</v>
      </c>
      <c r="I6025" s="3">
        <f t="shared" ref="I6025:I6084" si="1369">MINUTE(B6025)</f>
        <v>0</v>
      </c>
      <c r="J6025" s="3">
        <f t="shared" ref="J6025:J6084" si="1370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371">IF(OR(N6025="Auto",O6025="Auto"),"YES",IF(OR(N6025="Taxi",O6025="Taxi"),"YES",IF(OR(N6025="Van",O6025="Van"),"YES",IF(OR(N6025="Truck",O6025="Truck"),"YES","NO"))))</f>
        <v>YES</v>
      </c>
      <c r="Q6025" t="str">
        <f t="shared" ref="Q6025:Q6084" si="1372">IF(OR(N6025="Bicycle",O6025="Bicycle"),"YES","NO")</f>
        <v>NO</v>
      </c>
      <c r="R6025" t="str">
        <f t="shared" ref="R6025:R6084" si="1373">IF(OR(N6025="Pedestrian",O6025="Pedestrian"),"YES","NO")</f>
        <v>NO</v>
      </c>
      <c r="T6025" t="s">
        <v>14</v>
      </c>
      <c r="U6025" t="str">
        <f t="shared" si="1360"/>
        <v>Massachusetts Ave</v>
      </c>
      <c r="V6025" t="s">
        <v>449</v>
      </c>
      <c r="W6025" t="str">
        <f t="shared" si="1361"/>
        <v>Appian Way</v>
      </c>
      <c r="X6025" t="str">
        <f>IF(ISBLANK(S6025),"Intersection","Non-Intersection")</f>
        <v>Intersection</v>
      </c>
      <c r="Y6025" t="s">
        <v>6258</v>
      </c>
      <c r="Z6025" t="str">
        <f t="shared" si="1362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363"/>
        <v>41275</v>
      </c>
      <c r="D6026" s="4">
        <f t="shared" si="1364"/>
        <v>0.94246575342465755</v>
      </c>
      <c r="E6026" s="3">
        <f t="shared" si="1365"/>
        <v>2013</v>
      </c>
      <c r="F6026" s="3">
        <f t="shared" si="1366"/>
        <v>12</v>
      </c>
      <c r="G6026" s="3">
        <f t="shared" si="1367"/>
        <v>11</v>
      </c>
      <c r="H6026" s="3">
        <f t="shared" si="1368"/>
        <v>15</v>
      </c>
      <c r="I6026" s="3">
        <f t="shared" si="1369"/>
        <v>45</v>
      </c>
      <c r="J6026" s="3">
        <f t="shared" si="1370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371"/>
        <v>YES</v>
      </c>
      <c r="Q6026" t="str">
        <f t="shared" si="1372"/>
        <v>NO</v>
      </c>
      <c r="R6026" t="str">
        <f t="shared" si="1373"/>
        <v>NO</v>
      </c>
      <c r="T6026" t="s">
        <v>185</v>
      </c>
      <c r="U6026" t="str">
        <f t="shared" si="1360"/>
        <v>Garden St</v>
      </c>
      <c r="V6026" t="s">
        <v>296</v>
      </c>
      <c r="W6026" t="str">
        <f t="shared" si="1361"/>
        <v>Mason St</v>
      </c>
      <c r="X6026" t="str">
        <f>IF(ISBLANK(S6026),"Intersection","Non-Intersection")</f>
        <v>Intersection</v>
      </c>
      <c r="Y6026" t="s">
        <v>594</v>
      </c>
      <c r="Z6026" t="str">
        <f t="shared" si="1362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363"/>
        <v>41275</v>
      </c>
      <c r="D6027" s="4">
        <f t="shared" si="1364"/>
        <v>0.9452054794520548</v>
      </c>
      <c r="E6027" s="3">
        <f t="shared" si="1365"/>
        <v>2013</v>
      </c>
      <c r="F6027" s="3">
        <f t="shared" si="1366"/>
        <v>12</v>
      </c>
      <c r="G6027" s="3">
        <f t="shared" si="1367"/>
        <v>12</v>
      </c>
      <c r="H6027" s="3">
        <f t="shared" si="1368"/>
        <v>12</v>
      </c>
      <c r="I6027" s="3">
        <f t="shared" si="1369"/>
        <v>4</v>
      </c>
      <c r="J6027" s="3">
        <f t="shared" si="1370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371"/>
        <v>YES</v>
      </c>
      <c r="Q6027" t="str">
        <f t="shared" si="1372"/>
        <v>NO</v>
      </c>
      <c r="R6027" t="str">
        <f t="shared" si="1373"/>
        <v>NO</v>
      </c>
      <c r="T6027" t="s">
        <v>42</v>
      </c>
      <c r="U6027" t="str">
        <f t="shared" si="1360"/>
        <v>Putnam Ave</v>
      </c>
      <c r="V6027" t="s">
        <v>509</v>
      </c>
      <c r="W6027" t="str">
        <f t="shared" si="1361"/>
        <v>Green St</v>
      </c>
      <c r="X6027" t="str">
        <f>IF(ISBLANK(S6027),"Intersection","Non-Intersection")</f>
        <v>Intersection</v>
      </c>
      <c r="Y6027" t="s">
        <v>1436</v>
      </c>
      <c r="Z6027" t="str">
        <f t="shared" si="1362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363"/>
        <v>41275</v>
      </c>
      <c r="D6028" s="4">
        <f t="shared" si="1364"/>
        <v>0.9452054794520548</v>
      </c>
      <c r="E6028" s="3">
        <f t="shared" si="1365"/>
        <v>2013</v>
      </c>
      <c r="F6028" s="3">
        <f t="shared" si="1366"/>
        <v>12</v>
      </c>
      <c r="G6028" s="3">
        <f t="shared" si="1367"/>
        <v>12</v>
      </c>
      <c r="H6028" s="3">
        <f t="shared" si="1368"/>
        <v>8</v>
      </c>
      <c r="I6028" s="3">
        <f t="shared" si="1369"/>
        <v>15</v>
      </c>
      <c r="J6028" s="3">
        <f t="shared" si="1370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371"/>
        <v>YES</v>
      </c>
      <c r="Q6028" t="str">
        <f t="shared" si="1372"/>
        <v>YES</v>
      </c>
      <c r="R6028" t="str">
        <f t="shared" si="1373"/>
        <v>NO</v>
      </c>
      <c r="T6028" t="s">
        <v>74</v>
      </c>
      <c r="U6028" t="str">
        <f t="shared" si="1360"/>
        <v>Hampshire St</v>
      </c>
      <c r="W6028" t="str">
        <f t="shared" si="1361"/>
        <v/>
      </c>
      <c r="X6028" t="str">
        <f>IF(ISBLANK(S6028),"Intersection","Non-Intersection")</f>
        <v>Intersection</v>
      </c>
      <c r="Y6028" t="s">
        <v>1519</v>
      </c>
      <c r="Z6028" t="str">
        <f t="shared" si="1362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363"/>
        <v>41275</v>
      </c>
      <c r="D6029" s="4">
        <f t="shared" si="1364"/>
        <v>0.9452054794520548</v>
      </c>
      <c r="E6029" s="3">
        <f t="shared" si="1365"/>
        <v>2013</v>
      </c>
      <c r="F6029" s="3">
        <f t="shared" si="1366"/>
        <v>12</v>
      </c>
      <c r="G6029" s="3">
        <f t="shared" si="1367"/>
        <v>12</v>
      </c>
      <c r="H6029" s="3">
        <f t="shared" si="1368"/>
        <v>16</v>
      </c>
      <c r="I6029" s="3">
        <f t="shared" si="1369"/>
        <v>30</v>
      </c>
      <c r="J6029" s="3">
        <f t="shared" si="1370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371"/>
        <v>YES</v>
      </c>
      <c r="Q6029" t="str">
        <f t="shared" si="1372"/>
        <v>NO</v>
      </c>
      <c r="R6029" t="str">
        <f t="shared" si="1373"/>
        <v>NO</v>
      </c>
      <c r="T6029" t="s">
        <v>509</v>
      </c>
      <c r="U6029" t="str">
        <f t="shared" si="1360"/>
        <v>Green St</v>
      </c>
      <c r="V6029" t="s">
        <v>178</v>
      </c>
      <c r="W6029" t="str">
        <f t="shared" si="1361"/>
        <v>Pleasant St</v>
      </c>
      <c r="X6029" t="str">
        <f>IF(ISBLANK(S6029),"Intersection","Non-Intersection")</f>
        <v>Intersection</v>
      </c>
      <c r="Y6029" t="s">
        <v>2520</v>
      </c>
      <c r="Z6029" t="str">
        <f t="shared" si="1362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363"/>
        <v>41275</v>
      </c>
      <c r="D6030" s="4">
        <f t="shared" si="1364"/>
        <v>0.9452054794520548</v>
      </c>
      <c r="E6030" s="3">
        <f t="shared" si="1365"/>
        <v>2013</v>
      </c>
      <c r="F6030" s="3">
        <f t="shared" si="1366"/>
        <v>12</v>
      </c>
      <c r="G6030" s="3">
        <f t="shared" si="1367"/>
        <v>12</v>
      </c>
      <c r="H6030" s="3">
        <f t="shared" si="1368"/>
        <v>17</v>
      </c>
      <c r="I6030" s="3">
        <f t="shared" si="1369"/>
        <v>16</v>
      </c>
      <c r="J6030" s="3">
        <f t="shared" si="1370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371"/>
        <v>YES</v>
      </c>
      <c r="Q6030" t="str">
        <f t="shared" si="1372"/>
        <v>NO</v>
      </c>
      <c r="R6030" t="str">
        <f t="shared" si="1373"/>
        <v>NO</v>
      </c>
      <c r="T6030" t="s">
        <v>14</v>
      </c>
      <c r="U6030" t="str">
        <f t="shared" si="1360"/>
        <v>Massachusetts Ave</v>
      </c>
      <c r="V6030" t="s">
        <v>94</v>
      </c>
      <c r="W6030" t="str">
        <f t="shared" si="1361"/>
        <v>Shepard St</v>
      </c>
      <c r="X6030" t="str">
        <f>IF(ISBLANK(S6030),"Intersection","Non-Intersection")</f>
        <v>Intersection</v>
      </c>
      <c r="Y6030" t="s">
        <v>95</v>
      </c>
      <c r="Z6030" t="str">
        <f t="shared" si="1362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363"/>
        <v>41275</v>
      </c>
      <c r="D6031" s="4">
        <f t="shared" si="1364"/>
        <v>0.9452054794520548</v>
      </c>
      <c r="E6031" s="3">
        <f t="shared" si="1365"/>
        <v>2013</v>
      </c>
      <c r="F6031" s="3">
        <f t="shared" si="1366"/>
        <v>12</v>
      </c>
      <c r="G6031" s="3">
        <f t="shared" si="1367"/>
        <v>12</v>
      </c>
      <c r="H6031" s="3">
        <f t="shared" si="1368"/>
        <v>17</v>
      </c>
      <c r="I6031" s="3">
        <f t="shared" si="1369"/>
        <v>30</v>
      </c>
      <c r="J6031" s="3">
        <f t="shared" si="1370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371"/>
        <v>YES</v>
      </c>
      <c r="Q6031" t="str">
        <f t="shared" si="1372"/>
        <v>NO</v>
      </c>
      <c r="R6031" t="str">
        <f t="shared" si="1373"/>
        <v>YES</v>
      </c>
      <c r="T6031" t="s">
        <v>105</v>
      </c>
      <c r="U6031" t="str">
        <f t="shared" si="1360"/>
        <v>Broadway</v>
      </c>
      <c r="V6031" t="s">
        <v>4905</v>
      </c>
      <c r="W6031" t="str">
        <f t="shared" si="1361"/>
        <v>Trowbridge Pl</v>
      </c>
      <c r="X6031" t="str">
        <f>IF(ISBLANK(S6031),"Intersection","Non-Intersection")</f>
        <v>Intersection</v>
      </c>
      <c r="Y6031" t="s">
        <v>5895</v>
      </c>
      <c r="Z6031" t="str">
        <f t="shared" si="1362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363"/>
        <v>41275</v>
      </c>
      <c r="D6032" s="4">
        <f t="shared" si="1364"/>
        <v>0.94794520547945205</v>
      </c>
      <c r="E6032" s="3">
        <f t="shared" si="1365"/>
        <v>2013</v>
      </c>
      <c r="F6032" s="3">
        <f t="shared" si="1366"/>
        <v>12</v>
      </c>
      <c r="G6032" s="3">
        <f t="shared" si="1367"/>
        <v>13</v>
      </c>
      <c r="H6032" s="3">
        <f t="shared" si="1368"/>
        <v>8</v>
      </c>
      <c r="I6032" s="3">
        <f t="shared" si="1369"/>
        <v>42</v>
      </c>
      <c r="J6032" s="3">
        <f t="shared" si="1370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371"/>
        <v>YES</v>
      </c>
      <c r="Q6032" t="str">
        <f t="shared" si="1372"/>
        <v>YES</v>
      </c>
      <c r="R6032" t="str">
        <f t="shared" si="1373"/>
        <v>NO</v>
      </c>
      <c r="T6032" t="s">
        <v>142</v>
      </c>
      <c r="U6032" t="str">
        <f t="shared" si="1360"/>
        <v>Huron Ave</v>
      </c>
      <c r="W6032" t="str">
        <f t="shared" si="1361"/>
        <v/>
      </c>
      <c r="X6032" t="str">
        <f>IF(ISBLANK(S6032),"Intersection","Non-Intersection")</f>
        <v>Intersection</v>
      </c>
      <c r="Y6032" t="s">
        <v>6260</v>
      </c>
      <c r="Z6032" t="str">
        <f t="shared" si="1362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363"/>
        <v>41275</v>
      </c>
      <c r="D6033" s="4">
        <f t="shared" si="1364"/>
        <v>0.94794520547945205</v>
      </c>
      <c r="E6033" s="3">
        <f t="shared" si="1365"/>
        <v>2013</v>
      </c>
      <c r="F6033" s="3">
        <f t="shared" si="1366"/>
        <v>12</v>
      </c>
      <c r="G6033" s="3">
        <f t="shared" si="1367"/>
        <v>13</v>
      </c>
      <c r="H6033" s="3">
        <f t="shared" si="1368"/>
        <v>8</v>
      </c>
      <c r="I6033" s="3">
        <f t="shared" si="1369"/>
        <v>49</v>
      </c>
      <c r="J6033" s="3">
        <f t="shared" si="1370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371"/>
        <v>YES</v>
      </c>
      <c r="Q6033" t="str">
        <f t="shared" si="1372"/>
        <v>NO</v>
      </c>
      <c r="R6033" t="str">
        <f t="shared" si="1373"/>
        <v>NO</v>
      </c>
      <c r="S6033">
        <v>1493</v>
      </c>
      <c r="T6033" t="s">
        <v>19</v>
      </c>
      <c r="U6033" t="str">
        <f t="shared" si="1360"/>
        <v>Cambridge St</v>
      </c>
      <c r="W6033" t="str">
        <f t="shared" si="1361"/>
        <v/>
      </c>
      <c r="X6033" t="str">
        <f>IF(ISBLANK(S6033),"Intersection","Non-Intersection")</f>
        <v>Non-Intersection</v>
      </c>
      <c r="Y6033" t="s">
        <v>1660</v>
      </c>
      <c r="Z6033" t="str">
        <f t="shared" si="1362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363"/>
        <v>41275</v>
      </c>
      <c r="D6034" s="4">
        <f t="shared" si="1364"/>
        <v>0.94794520547945205</v>
      </c>
      <c r="E6034" s="3">
        <f t="shared" si="1365"/>
        <v>2013</v>
      </c>
      <c r="F6034" s="3">
        <f t="shared" si="1366"/>
        <v>12</v>
      </c>
      <c r="G6034" s="3">
        <f t="shared" si="1367"/>
        <v>13</v>
      </c>
      <c r="H6034" s="3">
        <f t="shared" si="1368"/>
        <v>11</v>
      </c>
      <c r="I6034" s="3">
        <f t="shared" si="1369"/>
        <v>42</v>
      </c>
      <c r="J6034" s="3">
        <f t="shared" si="1370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371"/>
        <v>YES</v>
      </c>
      <c r="Q6034" t="str">
        <f t="shared" si="1372"/>
        <v>NO</v>
      </c>
      <c r="R6034" t="str">
        <f t="shared" si="1373"/>
        <v>NO</v>
      </c>
      <c r="T6034" t="s">
        <v>379</v>
      </c>
      <c r="U6034" t="str">
        <f t="shared" si="1360"/>
        <v>Second St</v>
      </c>
      <c r="V6034" t="s">
        <v>261</v>
      </c>
      <c r="W6034" t="str">
        <f t="shared" si="1361"/>
        <v>Otis St</v>
      </c>
      <c r="X6034" t="str">
        <f>IF(ISBLANK(S6034),"Intersection","Non-Intersection")</f>
        <v>Intersection</v>
      </c>
      <c r="Y6034" t="s">
        <v>1523</v>
      </c>
      <c r="Z6034" t="str">
        <f t="shared" si="1362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363"/>
        <v>41275</v>
      </c>
      <c r="D6035" s="4">
        <f t="shared" si="1364"/>
        <v>0.94794520547945205</v>
      </c>
      <c r="E6035" s="3">
        <f t="shared" si="1365"/>
        <v>2013</v>
      </c>
      <c r="F6035" s="3">
        <f t="shared" si="1366"/>
        <v>12</v>
      </c>
      <c r="G6035" s="3">
        <f t="shared" si="1367"/>
        <v>13</v>
      </c>
      <c r="H6035" s="3">
        <f t="shared" si="1368"/>
        <v>18</v>
      </c>
      <c r="I6035" s="3">
        <f t="shared" si="1369"/>
        <v>0</v>
      </c>
      <c r="J6035" s="3">
        <f t="shared" si="1370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371"/>
        <v>YES</v>
      </c>
      <c r="Q6035" t="str">
        <f t="shared" si="1372"/>
        <v>NO</v>
      </c>
      <c r="R6035" t="str">
        <f t="shared" si="1373"/>
        <v>NO</v>
      </c>
      <c r="S6035">
        <v>219</v>
      </c>
      <c r="T6035" t="s">
        <v>202</v>
      </c>
      <c r="U6035" t="str">
        <f t="shared" si="1360"/>
        <v>Vassar St</v>
      </c>
      <c r="W6035" t="str">
        <f t="shared" si="1361"/>
        <v/>
      </c>
      <c r="X6035" t="str">
        <f>IF(ISBLANK(S6035),"Intersection","Non-Intersection")</f>
        <v>Non-Intersection</v>
      </c>
      <c r="Y6035" t="s">
        <v>6261</v>
      </c>
      <c r="Z6035" t="str">
        <f t="shared" si="1362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363"/>
        <v>41275</v>
      </c>
      <c r="D6036" s="4">
        <f t="shared" si="1364"/>
        <v>0.94794520547945205</v>
      </c>
      <c r="E6036" s="3">
        <f t="shared" si="1365"/>
        <v>2013</v>
      </c>
      <c r="F6036" s="3">
        <f t="shared" si="1366"/>
        <v>12</v>
      </c>
      <c r="G6036" s="3">
        <f t="shared" si="1367"/>
        <v>13</v>
      </c>
      <c r="H6036" s="3">
        <f t="shared" si="1368"/>
        <v>18</v>
      </c>
      <c r="I6036" s="3">
        <f t="shared" si="1369"/>
        <v>0</v>
      </c>
      <c r="J6036" s="3">
        <f t="shared" si="1370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371"/>
        <v>YES</v>
      </c>
      <c r="Q6036" t="str">
        <f t="shared" si="1372"/>
        <v>NO</v>
      </c>
      <c r="R6036" t="str">
        <f t="shared" si="1373"/>
        <v>NO</v>
      </c>
      <c r="S6036">
        <v>33</v>
      </c>
      <c r="T6036" t="s">
        <v>2678</v>
      </c>
      <c r="U6036" t="str">
        <f t="shared" si="1360"/>
        <v>Jay St</v>
      </c>
      <c r="W6036" t="str">
        <f t="shared" si="1361"/>
        <v/>
      </c>
      <c r="X6036" t="str">
        <f>IF(ISBLANK(S6036),"Intersection","Non-Intersection")</f>
        <v>Non-Intersection</v>
      </c>
      <c r="Y6036" t="s">
        <v>6263</v>
      </c>
      <c r="Z6036" t="str">
        <f t="shared" si="1362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363"/>
        <v>41275</v>
      </c>
      <c r="D6037" s="4">
        <f t="shared" si="1364"/>
        <v>0.9506849315068493</v>
      </c>
      <c r="E6037" s="3">
        <f t="shared" si="1365"/>
        <v>2013</v>
      </c>
      <c r="F6037" s="3">
        <f t="shared" si="1366"/>
        <v>12</v>
      </c>
      <c r="G6037" s="3">
        <f t="shared" si="1367"/>
        <v>14</v>
      </c>
      <c r="H6037" s="3">
        <f t="shared" si="1368"/>
        <v>9</v>
      </c>
      <c r="I6037" s="3">
        <f t="shared" si="1369"/>
        <v>0</v>
      </c>
      <c r="J6037" s="3">
        <f t="shared" si="1370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371"/>
        <v>YES</v>
      </c>
      <c r="Q6037" t="str">
        <f t="shared" si="1372"/>
        <v>NO</v>
      </c>
      <c r="R6037" t="str">
        <f t="shared" si="1373"/>
        <v>NO</v>
      </c>
      <c r="S6037">
        <v>62</v>
      </c>
      <c r="T6037" t="s">
        <v>24</v>
      </c>
      <c r="U6037" t="str">
        <f t="shared" si="1360"/>
        <v>Coolidge Ave</v>
      </c>
      <c r="W6037" t="str">
        <f t="shared" si="1361"/>
        <v/>
      </c>
      <c r="X6037" t="str">
        <f>IF(ISBLANK(S6037),"Intersection","Non-Intersection")</f>
        <v>Non-Intersection</v>
      </c>
      <c r="Y6037" t="s">
        <v>6265</v>
      </c>
      <c r="Z6037" t="str">
        <f t="shared" si="1362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363"/>
        <v>41275</v>
      </c>
      <c r="D6038" s="4">
        <f t="shared" si="1364"/>
        <v>0.9506849315068493</v>
      </c>
      <c r="E6038" s="3">
        <f t="shared" si="1365"/>
        <v>2013</v>
      </c>
      <c r="F6038" s="3">
        <f t="shared" si="1366"/>
        <v>12</v>
      </c>
      <c r="G6038" s="3">
        <f t="shared" si="1367"/>
        <v>14</v>
      </c>
      <c r="H6038" s="3">
        <f t="shared" si="1368"/>
        <v>12</v>
      </c>
      <c r="I6038" s="3">
        <f t="shared" si="1369"/>
        <v>0</v>
      </c>
      <c r="J6038" s="3">
        <f t="shared" si="1370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371"/>
        <v>YES</v>
      </c>
      <c r="Q6038" t="str">
        <f t="shared" si="1372"/>
        <v>NO</v>
      </c>
      <c r="R6038" t="str">
        <f t="shared" si="1373"/>
        <v>NO</v>
      </c>
      <c r="T6038" t="s">
        <v>5170</v>
      </c>
      <c r="U6038" t="str">
        <f t="shared" si="1360"/>
        <v>Tenney St</v>
      </c>
      <c r="V6038" t="s">
        <v>75</v>
      </c>
      <c r="W6038" t="str">
        <f t="shared" si="1361"/>
        <v>Elm St</v>
      </c>
      <c r="X6038" t="str">
        <f>IF(ISBLANK(S6038),"Intersection","Non-Intersection")</f>
        <v>Intersection</v>
      </c>
      <c r="Y6038" t="s">
        <v>6267</v>
      </c>
      <c r="Z6038" t="str">
        <f t="shared" si="1362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363"/>
        <v>41275</v>
      </c>
      <c r="D6039" s="4">
        <f t="shared" si="1364"/>
        <v>0.9506849315068493</v>
      </c>
      <c r="E6039" s="3">
        <f t="shared" si="1365"/>
        <v>2013</v>
      </c>
      <c r="F6039" s="3">
        <f t="shared" si="1366"/>
        <v>12</v>
      </c>
      <c r="G6039" s="3">
        <f t="shared" si="1367"/>
        <v>14</v>
      </c>
      <c r="H6039" s="3">
        <f t="shared" si="1368"/>
        <v>16</v>
      </c>
      <c r="I6039" s="3">
        <f t="shared" si="1369"/>
        <v>34</v>
      </c>
      <c r="J6039" s="3">
        <f t="shared" si="1370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371"/>
        <v>YES</v>
      </c>
      <c r="Q6039" t="str">
        <f t="shared" si="1372"/>
        <v>NO</v>
      </c>
      <c r="R6039" t="str">
        <f t="shared" si="1373"/>
        <v>NO</v>
      </c>
      <c r="T6039" t="s">
        <v>198</v>
      </c>
      <c r="U6039" t="str">
        <f t="shared" si="1360"/>
        <v>Mount Auburn St</v>
      </c>
      <c r="V6039" t="s">
        <v>2055</v>
      </c>
      <c r="W6039" t="str">
        <f t="shared" si="1361"/>
        <v>Aberdeen Ct</v>
      </c>
      <c r="X6039" t="str">
        <f>IF(ISBLANK(S6039),"Intersection","Non-Intersection")</f>
        <v>Intersection</v>
      </c>
      <c r="Y6039" t="s">
        <v>4525</v>
      </c>
      <c r="Z6039" t="str">
        <f t="shared" si="1362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363"/>
        <v>41275</v>
      </c>
      <c r="D6040" s="4">
        <f t="shared" si="1364"/>
        <v>0.95342465753424654</v>
      </c>
      <c r="E6040" s="3">
        <f t="shared" si="1365"/>
        <v>2013</v>
      </c>
      <c r="F6040" s="3">
        <f t="shared" si="1366"/>
        <v>12</v>
      </c>
      <c r="G6040" s="3">
        <f t="shared" si="1367"/>
        <v>15</v>
      </c>
      <c r="H6040" s="3">
        <f t="shared" si="1368"/>
        <v>3</v>
      </c>
      <c r="I6040" s="3">
        <f t="shared" si="1369"/>
        <v>1</v>
      </c>
      <c r="J6040" s="3">
        <f t="shared" si="1370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371"/>
        <v>YES</v>
      </c>
      <c r="Q6040" t="str">
        <f t="shared" si="1372"/>
        <v>NO</v>
      </c>
      <c r="R6040" t="str">
        <f t="shared" si="1373"/>
        <v>NO</v>
      </c>
      <c r="S6040">
        <v>77</v>
      </c>
      <c r="T6040" t="s">
        <v>14</v>
      </c>
      <c r="U6040" t="str">
        <f t="shared" si="1360"/>
        <v>Massachusetts Ave</v>
      </c>
      <c r="W6040" t="str">
        <f t="shared" si="1361"/>
        <v/>
      </c>
      <c r="X6040" t="str">
        <f>IF(ISBLANK(S6040),"Intersection","Non-Intersection")</f>
        <v>Non-Intersection</v>
      </c>
      <c r="Y6040" t="s">
        <v>415</v>
      </c>
      <c r="Z6040" t="str">
        <f t="shared" si="1362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363"/>
        <v>41275</v>
      </c>
      <c r="D6041" s="4">
        <f t="shared" si="1364"/>
        <v>0.95342465753424654</v>
      </c>
      <c r="E6041" s="3">
        <f t="shared" si="1365"/>
        <v>2013</v>
      </c>
      <c r="F6041" s="3">
        <f t="shared" si="1366"/>
        <v>12</v>
      </c>
      <c r="G6041" s="3">
        <f t="shared" si="1367"/>
        <v>15</v>
      </c>
      <c r="H6041" s="3">
        <f t="shared" si="1368"/>
        <v>15</v>
      </c>
      <c r="I6041" s="3">
        <f t="shared" si="1369"/>
        <v>0</v>
      </c>
      <c r="J6041" s="3">
        <f t="shared" si="1370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371"/>
        <v>YES</v>
      </c>
      <c r="Q6041" t="str">
        <f t="shared" si="1372"/>
        <v>NO</v>
      </c>
      <c r="R6041" t="str">
        <f t="shared" si="1373"/>
        <v>NO</v>
      </c>
      <c r="S6041">
        <v>730</v>
      </c>
      <c r="T6041" t="s">
        <v>203</v>
      </c>
      <c r="U6041" t="str">
        <f t="shared" si="1360"/>
        <v>Memorial Dr</v>
      </c>
      <c r="W6041" t="str">
        <f t="shared" si="1361"/>
        <v/>
      </c>
      <c r="X6041" t="str">
        <f>IF(ISBLANK(S6041),"Intersection","Non-Intersection")</f>
        <v>Non-Intersection</v>
      </c>
      <c r="Y6041" t="s">
        <v>236</v>
      </c>
      <c r="Z6041" t="str">
        <f t="shared" si="1362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363"/>
        <v>41275</v>
      </c>
      <c r="D6042" s="4">
        <f t="shared" si="1364"/>
        <v>0.95342465753424654</v>
      </c>
      <c r="E6042" s="3">
        <f t="shared" si="1365"/>
        <v>2013</v>
      </c>
      <c r="F6042" s="3">
        <f t="shared" si="1366"/>
        <v>12</v>
      </c>
      <c r="G6042" s="3">
        <f t="shared" si="1367"/>
        <v>15</v>
      </c>
      <c r="H6042" s="3">
        <f t="shared" si="1368"/>
        <v>12</v>
      </c>
      <c r="I6042" s="3">
        <f t="shared" si="1369"/>
        <v>0</v>
      </c>
      <c r="J6042" s="3">
        <f t="shared" si="1370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371"/>
        <v>YES</v>
      </c>
      <c r="Q6042" t="str">
        <f t="shared" si="1372"/>
        <v>NO</v>
      </c>
      <c r="R6042" t="str">
        <f t="shared" si="1373"/>
        <v>NO</v>
      </c>
      <c r="S6042">
        <v>27</v>
      </c>
      <c r="T6042" t="s">
        <v>515</v>
      </c>
      <c r="U6042" t="str">
        <f t="shared" si="1360"/>
        <v>Newtowne Ct</v>
      </c>
      <c r="W6042" t="str">
        <f t="shared" si="1361"/>
        <v/>
      </c>
      <c r="X6042" t="str">
        <f>IF(ISBLANK(S6042),"Intersection","Non-Intersection")</f>
        <v>Non-Intersection</v>
      </c>
      <c r="Y6042" t="s">
        <v>4597</v>
      </c>
      <c r="Z6042" t="str">
        <f t="shared" si="1362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363"/>
        <v>41275</v>
      </c>
      <c r="D6043" s="4">
        <f t="shared" si="1364"/>
        <v>0.95616438356164379</v>
      </c>
      <c r="E6043" s="3">
        <f t="shared" si="1365"/>
        <v>2013</v>
      </c>
      <c r="F6043" s="3">
        <f t="shared" si="1366"/>
        <v>12</v>
      </c>
      <c r="G6043" s="3">
        <f t="shared" si="1367"/>
        <v>16</v>
      </c>
      <c r="H6043" s="3">
        <f t="shared" si="1368"/>
        <v>14</v>
      </c>
      <c r="I6043" s="3">
        <f t="shared" si="1369"/>
        <v>45</v>
      </c>
      <c r="J6043" s="3">
        <f t="shared" si="1370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371"/>
        <v>YES</v>
      </c>
      <c r="Q6043" t="str">
        <f t="shared" si="1372"/>
        <v>NO</v>
      </c>
      <c r="R6043" t="str">
        <f t="shared" si="1373"/>
        <v>NO</v>
      </c>
      <c r="T6043" t="s">
        <v>61</v>
      </c>
      <c r="U6043" t="str">
        <f t="shared" si="1360"/>
        <v>First St</v>
      </c>
      <c r="V6043" t="s">
        <v>209</v>
      </c>
      <c r="W6043" t="str">
        <f t="shared" si="1361"/>
        <v>Binney St</v>
      </c>
      <c r="X6043" t="str">
        <f>IF(ISBLANK(S6043),"Intersection","Non-Intersection")</f>
        <v>Intersection</v>
      </c>
      <c r="Y6043" t="s">
        <v>447</v>
      </c>
      <c r="Z6043" t="str">
        <f t="shared" si="1362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363"/>
        <v>41275</v>
      </c>
      <c r="D6044" s="4">
        <f t="shared" si="1364"/>
        <v>0.95616438356164379</v>
      </c>
      <c r="E6044" s="3">
        <f t="shared" si="1365"/>
        <v>2013</v>
      </c>
      <c r="F6044" s="3">
        <f t="shared" si="1366"/>
        <v>12</v>
      </c>
      <c r="G6044" s="3">
        <f t="shared" si="1367"/>
        <v>16</v>
      </c>
      <c r="H6044" s="3">
        <f t="shared" si="1368"/>
        <v>17</v>
      </c>
      <c r="I6044" s="3">
        <f t="shared" si="1369"/>
        <v>58</v>
      </c>
      <c r="J6044" s="3">
        <f t="shared" si="1370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371"/>
        <v>YES</v>
      </c>
      <c r="Q6044" t="str">
        <f t="shared" si="1372"/>
        <v>NO</v>
      </c>
      <c r="R6044" t="str">
        <f t="shared" si="1373"/>
        <v>NO</v>
      </c>
      <c r="T6044" t="s">
        <v>2158</v>
      </c>
      <c r="U6044" t="str">
        <f t="shared" si="1360"/>
        <v>Lee St</v>
      </c>
      <c r="V6044" t="s">
        <v>105</v>
      </c>
      <c r="W6044" t="str">
        <f t="shared" si="1361"/>
        <v>Broadway</v>
      </c>
      <c r="X6044" t="str">
        <f>IF(ISBLANK(S6044),"Intersection","Non-Intersection")</f>
        <v>Intersection</v>
      </c>
      <c r="Y6044" t="s">
        <v>6269</v>
      </c>
      <c r="Z6044" t="str">
        <f t="shared" si="1362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363"/>
        <v>41275</v>
      </c>
      <c r="D6045" s="4">
        <f t="shared" si="1364"/>
        <v>0.95616438356164379</v>
      </c>
      <c r="E6045" s="3">
        <f t="shared" si="1365"/>
        <v>2013</v>
      </c>
      <c r="F6045" s="3">
        <f t="shared" si="1366"/>
        <v>12</v>
      </c>
      <c r="G6045" s="3">
        <f t="shared" si="1367"/>
        <v>16</v>
      </c>
      <c r="H6045" s="3">
        <f t="shared" si="1368"/>
        <v>21</v>
      </c>
      <c r="I6045" s="3">
        <f t="shared" si="1369"/>
        <v>13</v>
      </c>
      <c r="J6045" s="3">
        <f t="shared" si="1370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371"/>
        <v>YES</v>
      </c>
      <c r="Q6045" t="str">
        <f t="shared" si="1372"/>
        <v>NO</v>
      </c>
      <c r="R6045" t="str">
        <f t="shared" si="1373"/>
        <v>YES</v>
      </c>
      <c r="T6045" t="s">
        <v>14</v>
      </c>
      <c r="U6045" t="str">
        <f t="shared" si="1360"/>
        <v>Massachusetts Ave</v>
      </c>
      <c r="V6045" t="s">
        <v>420</v>
      </c>
      <c r="W6045" t="str">
        <f t="shared" si="1361"/>
        <v>Douglass St</v>
      </c>
      <c r="X6045" t="str">
        <f>IF(ISBLANK(S6045),"Intersection","Non-Intersection")</f>
        <v>Intersection</v>
      </c>
      <c r="Y6045" t="s">
        <v>421</v>
      </c>
      <c r="Z6045" t="str">
        <f t="shared" si="1362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363"/>
        <v>41275</v>
      </c>
      <c r="D6046" s="4">
        <f t="shared" si="1364"/>
        <v>0.95616438356164379</v>
      </c>
      <c r="E6046" s="3">
        <f t="shared" si="1365"/>
        <v>2013</v>
      </c>
      <c r="F6046" s="3">
        <f t="shared" si="1366"/>
        <v>12</v>
      </c>
      <c r="G6046" s="3">
        <f t="shared" si="1367"/>
        <v>16</v>
      </c>
      <c r="H6046" s="3">
        <f t="shared" si="1368"/>
        <v>22</v>
      </c>
      <c r="I6046" s="3">
        <f t="shared" si="1369"/>
        <v>41</v>
      </c>
      <c r="J6046" s="3">
        <f t="shared" si="1370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371"/>
        <v>YES</v>
      </c>
      <c r="Q6046" t="str">
        <f t="shared" si="1372"/>
        <v>NO</v>
      </c>
      <c r="R6046" t="str">
        <f t="shared" si="1373"/>
        <v>NO</v>
      </c>
      <c r="T6046" t="s">
        <v>199</v>
      </c>
      <c r="U6046" t="str">
        <f t="shared" si="1360"/>
        <v>Brattle St</v>
      </c>
      <c r="V6046" t="s">
        <v>325</v>
      </c>
      <c r="W6046" t="str">
        <f t="shared" si="1361"/>
        <v>Eliot St</v>
      </c>
      <c r="X6046" t="str">
        <f>IF(ISBLANK(S6046),"Intersection","Non-Intersection")</f>
        <v>Intersection</v>
      </c>
      <c r="Y6046" t="s">
        <v>1695</v>
      </c>
      <c r="Z6046" t="str">
        <f t="shared" si="1362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363"/>
        <v>41275</v>
      </c>
      <c r="D6047" s="4">
        <f t="shared" si="1364"/>
        <v>0.95890410958904104</v>
      </c>
      <c r="E6047" s="3">
        <f t="shared" si="1365"/>
        <v>2013</v>
      </c>
      <c r="F6047" s="3">
        <f t="shared" si="1366"/>
        <v>12</v>
      </c>
      <c r="G6047" s="3">
        <f t="shared" si="1367"/>
        <v>17</v>
      </c>
      <c r="H6047" s="3">
        <f t="shared" si="1368"/>
        <v>14</v>
      </c>
      <c r="I6047" s="3">
        <f t="shared" si="1369"/>
        <v>10</v>
      </c>
      <c r="J6047" s="3">
        <f t="shared" si="1370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371"/>
        <v>YES</v>
      </c>
      <c r="Q6047" t="str">
        <f t="shared" si="1372"/>
        <v>NO</v>
      </c>
      <c r="R6047" t="str">
        <f t="shared" si="1373"/>
        <v>NO</v>
      </c>
      <c r="T6047" t="s">
        <v>587</v>
      </c>
      <c r="U6047" t="str">
        <f t="shared" si="1360"/>
        <v>Webster Ave</v>
      </c>
      <c r="V6047" t="s">
        <v>101</v>
      </c>
      <c r="W6047" t="str">
        <f t="shared" si="1361"/>
        <v>Columbia St</v>
      </c>
      <c r="X6047" t="str">
        <f>IF(ISBLANK(S6047),"Intersection","Non-Intersection")</f>
        <v>Intersection</v>
      </c>
      <c r="Y6047" t="s">
        <v>5814</v>
      </c>
      <c r="Z6047" t="str">
        <f t="shared" si="1362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363"/>
        <v>41275</v>
      </c>
      <c r="D6048" s="4">
        <f t="shared" si="1364"/>
        <v>0.95890410958904104</v>
      </c>
      <c r="E6048" s="3">
        <f t="shared" si="1365"/>
        <v>2013</v>
      </c>
      <c r="F6048" s="3">
        <f t="shared" si="1366"/>
        <v>12</v>
      </c>
      <c r="G6048" s="3">
        <f t="shared" si="1367"/>
        <v>17</v>
      </c>
      <c r="H6048" s="3">
        <f t="shared" si="1368"/>
        <v>15</v>
      </c>
      <c r="I6048" s="3">
        <f t="shared" si="1369"/>
        <v>56</v>
      </c>
      <c r="J6048" s="3">
        <f t="shared" si="1370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371"/>
        <v>YES</v>
      </c>
      <c r="Q6048" t="str">
        <f t="shared" si="1372"/>
        <v>NO</v>
      </c>
      <c r="R6048" t="str">
        <f t="shared" si="1373"/>
        <v>NO</v>
      </c>
      <c r="S6048">
        <v>679</v>
      </c>
      <c r="T6048" t="s">
        <v>186</v>
      </c>
      <c r="U6048" t="str">
        <f t="shared" si="1360"/>
        <v>Concord Ave</v>
      </c>
      <c r="W6048" t="str">
        <f t="shared" si="1361"/>
        <v/>
      </c>
      <c r="X6048" t="str">
        <f>IF(ISBLANK(S6048),"Intersection","Non-Intersection")</f>
        <v>Non-Intersection</v>
      </c>
      <c r="Y6048" t="s">
        <v>1335</v>
      </c>
      <c r="Z6048" t="str">
        <f t="shared" si="1362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363"/>
        <v>41275</v>
      </c>
      <c r="D6049" s="4">
        <f t="shared" si="1364"/>
        <v>0.95890410958904104</v>
      </c>
      <c r="E6049" s="3">
        <f t="shared" si="1365"/>
        <v>2013</v>
      </c>
      <c r="F6049" s="3">
        <f t="shared" si="1366"/>
        <v>12</v>
      </c>
      <c r="G6049" s="3">
        <f t="shared" si="1367"/>
        <v>17</v>
      </c>
      <c r="H6049" s="3">
        <f t="shared" si="1368"/>
        <v>18</v>
      </c>
      <c r="I6049" s="3">
        <f t="shared" si="1369"/>
        <v>0</v>
      </c>
      <c r="J6049" s="3">
        <f t="shared" si="1370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371"/>
        <v>YES</v>
      </c>
      <c r="Q6049" t="str">
        <f t="shared" si="1372"/>
        <v>NO</v>
      </c>
      <c r="R6049" t="str">
        <f t="shared" si="1373"/>
        <v>NO</v>
      </c>
      <c r="S6049">
        <v>1575</v>
      </c>
      <c r="T6049" t="s">
        <v>19</v>
      </c>
      <c r="U6049" t="str">
        <f t="shared" si="1360"/>
        <v>Cambridge St</v>
      </c>
      <c r="W6049" t="str">
        <f t="shared" si="1361"/>
        <v/>
      </c>
      <c r="X6049" t="str">
        <f>IF(ISBLANK(S6049),"Intersection","Non-Intersection")</f>
        <v>Non-Intersection</v>
      </c>
      <c r="Y6049" t="s">
        <v>64</v>
      </c>
      <c r="Z6049" t="str">
        <f t="shared" si="1362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363"/>
        <v>41275</v>
      </c>
      <c r="D6050" s="4">
        <f t="shared" si="1364"/>
        <v>0.95890410958904104</v>
      </c>
      <c r="E6050" s="3">
        <f t="shared" si="1365"/>
        <v>2013</v>
      </c>
      <c r="F6050" s="3">
        <f t="shared" si="1366"/>
        <v>12</v>
      </c>
      <c r="G6050" s="3">
        <f t="shared" si="1367"/>
        <v>17</v>
      </c>
      <c r="H6050" s="3">
        <f t="shared" si="1368"/>
        <v>15</v>
      </c>
      <c r="I6050" s="3">
        <f t="shared" si="1369"/>
        <v>59</v>
      </c>
      <c r="J6050" s="3">
        <f t="shared" si="1370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371"/>
        <v>YES</v>
      </c>
      <c r="Q6050" t="str">
        <f t="shared" si="1372"/>
        <v>NO</v>
      </c>
      <c r="R6050" t="str">
        <f t="shared" si="1373"/>
        <v>NO</v>
      </c>
      <c r="S6050">
        <v>364</v>
      </c>
      <c r="T6050" t="s">
        <v>15</v>
      </c>
      <c r="U6050" t="str">
        <f t="shared" si="1360"/>
        <v>Rindge Ave</v>
      </c>
      <c r="W6050" t="str">
        <f t="shared" si="1361"/>
        <v/>
      </c>
      <c r="X6050" t="str">
        <f>IF(ISBLANK(S6050),"Intersection","Non-Intersection")</f>
        <v>Non-Intersection</v>
      </c>
      <c r="Y6050" t="s">
        <v>542</v>
      </c>
      <c r="Z6050" t="str">
        <f t="shared" si="1362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363"/>
        <v>41275</v>
      </c>
      <c r="D6051" s="4">
        <f t="shared" si="1364"/>
        <v>0.9616438356164384</v>
      </c>
      <c r="E6051" s="3">
        <f t="shared" si="1365"/>
        <v>2013</v>
      </c>
      <c r="F6051" s="3">
        <f t="shared" si="1366"/>
        <v>12</v>
      </c>
      <c r="G6051" s="3">
        <f t="shared" si="1367"/>
        <v>18</v>
      </c>
      <c r="H6051" s="3">
        <f t="shared" si="1368"/>
        <v>9</v>
      </c>
      <c r="I6051" s="3">
        <f t="shared" si="1369"/>
        <v>40</v>
      </c>
      <c r="J6051" s="3">
        <f t="shared" si="1370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371"/>
        <v>YES</v>
      </c>
      <c r="Q6051" t="str">
        <f t="shared" si="1372"/>
        <v>NO</v>
      </c>
      <c r="R6051" t="str">
        <f t="shared" si="1373"/>
        <v>NO</v>
      </c>
      <c r="T6051" t="s">
        <v>105</v>
      </c>
      <c r="U6051" t="str">
        <f t="shared" si="1360"/>
        <v>Broadway</v>
      </c>
      <c r="V6051" t="s">
        <v>1053</v>
      </c>
      <c r="W6051" t="str">
        <f t="shared" si="1361"/>
        <v>Clark St</v>
      </c>
      <c r="X6051" t="str">
        <f>IF(ISBLANK(S6051),"Intersection","Non-Intersection")</f>
        <v>Intersection</v>
      </c>
      <c r="Y6051" t="s">
        <v>2225</v>
      </c>
      <c r="Z6051" t="str">
        <f t="shared" si="1362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363"/>
        <v>41275</v>
      </c>
      <c r="D6052" s="4">
        <f t="shared" si="1364"/>
        <v>0.9616438356164384</v>
      </c>
      <c r="E6052" s="3">
        <f t="shared" si="1365"/>
        <v>2013</v>
      </c>
      <c r="F6052" s="3">
        <f t="shared" si="1366"/>
        <v>12</v>
      </c>
      <c r="G6052" s="3">
        <f t="shared" si="1367"/>
        <v>18</v>
      </c>
      <c r="H6052" s="3">
        <f t="shared" si="1368"/>
        <v>14</v>
      </c>
      <c r="I6052" s="3">
        <f t="shared" si="1369"/>
        <v>39</v>
      </c>
      <c r="J6052" s="3">
        <f t="shared" si="1370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371"/>
        <v>YES</v>
      </c>
      <c r="Q6052" t="str">
        <f t="shared" si="1372"/>
        <v>NO</v>
      </c>
      <c r="R6052" t="str">
        <f t="shared" si="1373"/>
        <v>NO</v>
      </c>
      <c r="T6052" t="s">
        <v>198</v>
      </c>
      <c r="U6052" t="str">
        <f t="shared" si="1360"/>
        <v>Mount Auburn St</v>
      </c>
      <c r="V6052" t="s">
        <v>464</v>
      </c>
      <c r="W6052" t="str">
        <f t="shared" si="1361"/>
        <v>Aberdeen Way</v>
      </c>
      <c r="X6052" t="str">
        <f>IF(ISBLANK(S6052),"Intersection","Non-Intersection")</f>
        <v>Intersection</v>
      </c>
      <c r="Y6052" t="s">
        <v>1666</v>
      </c>
      <c r="Z6052" t="str">
        <f t="shared" si="1362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363"/>
        <v>41275</v>
      </c>
      <c r="D6053" s="4">
        <f t="shared" si="1364"/>
        <v>0.9616438356164384</v>
      </c>
      <c r="E6053" s="3">
        <f t="shared" si="1365"/>
        <v>2013</v>
      </c>
      <c r="F6053" s="3">
        <f t="shared" si="1366"/>
        <v>12</v>
      </c>
      <c r="G6053" s="3">
        <f t="shared" si="1367"/>
        <v>18</v>
      </c>
      <c r="H6053" s="3">
        <f t="shared" si="1368"/>
        <v>16</v>
      </c>
      <c r="I6053" s="3">
        <f t="shared" si="1369"/>
        <v>50</v>
      </c>
      <c r="J6053" s="3">
        <f t="shared" si="1370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371"/>
        <v>YES</v>
      </c>
      <c r="Q6053" t="str">
        <f t="shared" si="1372"/>
        <v>NO</v>
      </c>
      <c r="R6053" t="str">
        <f t="shared" si="1373"/>
        <v>NO</v>
      </c>
      <c r="T6053" t="s">
        <v>14</v>
      </c>
      <c r="U6053" t="str">
        <f t="shared" si="1360"/>
        <v>Massachusetts Ave</v>
      </c>
      <c r="V6053" t="s">
        <v>1275</v>
      </c>
      <c r="W6053" t="str">
        <f t="shared" si="1361"/>
        <v>Richard Ave</v>
      </c>
      <c r="X6053" t="str">
        <f>IF(ISBLANK(S6053),"Intersection","Non-Intersection")</f>
        <v>Intersection</v>
      </c>
      <c r="Y6053" t="s">
        <v>2495</v>
      </c>
      <c r="Z6053" t="str">
        <f t="shared" si="1362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363"/>
        <v>41275</v>
      </c>
      <c r="D6054" s="4">
        <f t="shared" si="1364"/>
        <v>0.9616438356164384</v>
      </c>
      <c r="E6054" s="3">
        <f t="shared" si="1365"/>
        <v>2013</v>
      </c>
      <c r="F6054" s="3">
        <f t="shared" si="1366"/>
        <v>12</v>
      </c>
      <c r="G6054" s="3">
        <f t="shared" si="1367"/>
        <v>18</v>
      </c>
      <c r="H6054" s="3">
        <f t="shared" si="1368"/>
        <v>9</v>
      </c>
      <c r="I6054" s="3">
        <f t="shared" si="1369"/>
        <v>14</v>
      </c>
      <c r="J6054" s="3">
        <f t="shared" si="1370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371"/>
        <v>YES</v>
      </c>
      <c r="Q6054" t="str">
        <f t="shared" si="1372"/>
        <v>NO</v>
      </c>
      <c r="R6054" t="str">
        <f t="shared" si="1373"/>
        <v>NO</v>
      </c>
      <c r="S6054">
        <v>31</v>
      </c>
      <c r="T6054" t="s">
        <v>413</v>
      </c>
      <c r="U6054" t="str">
        <f t="shared" si="1360"/>
        <v>Smith Pl</v>
      </c>
      <c r="W6054" t="str">
        <f t="shared" si="1361"/>
        <v/>
      </c>
      <c r="X6054" t="str">
        <f>IF(ISBLANK(S6054),"Intersection","Non-Intersection")</f>
        <v>Non-Intersection</v>
      </c>
      <c r="Y6054" t="s">
        <v>4339</v>
      </c>
      <c r="Z6054" t="str">
        <f t="shared" si="1362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363"/>
        <v>41275</v>
      </c>
      <c r="D6055" s="4">
        <f t="shared" si="1364"/>
        <v>0.9616438356164384</v>
      </c>
      <c r="E6055" s="3">
        <f t="shared" si="1365"/>
        <v>2013</v>
      </c>
      <c r="F6055" s="3">
        <f t="shared" si="1366"/>
        <v>12</v>
      </c>
      <c r="G6055" s="3">
        <f t="shared" si="1367"/>
        <v>18</v>
      </c>
      <c r="H6055" s="3">
        <f t="shared" si="1368"/>
        <v>13</v>
      </c>
      <c r="I6055" s="3">
        <f t="shared" si="1369"/>
        <v>30</v>
      </c>
      <c r="J6055" s="3">
        <f t="shared" si="1370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371"/>
        <v>YES</v>
      </c>
      <c r="Q6055" t="str">
        <f t="shared" si="1372"/>
        <v>NO</v>
      </c>
      <c r="R6055" t="str">
        <f t="shared" si="1373"/>
        <v>NO</v>
      </c>
      <c r="T6055" t="s">
        <v>634</v>
      </c>
      <c r="U6055" t="str">
        <f t="shared" si="1360"/>
        <v>Chauncy St</v>
      </c>
      <c r="V6055" t="s">
        <v>2460</v>
      </c>
      <c r="W6055" t="str">
        <f t="shared" si="1361"/>
        <v>Langdon St</v>
      </c>
      <c r="X6055" t="str">
        <f>IF(ISBLANK(S6055),"Intersection","Non-Intersection")</f>
        <v>Intersection</v>
      </c>
      <c r="Y6055" t="s">
        <v>6270</v>
      </c>
      <c r="Z6055" t="str">
        <f t="shared" si="1362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363"/>
        <v>41275</v>
      </c>
      <c r="D6056" s="4">
        <f t="shared" si="1364"/>
        <v>0.96438356164383565</v>
      </c>
      <c r="E6056" s="3">
        <f t="shared" si="1365"/>
        <v>2013</v>
      </c>
      <c r="F6056" s="3">
        <f t="shared" si="1366"/>
        <v>12</v>
      </c>
      <c r="G6056" s="3">
        <f t="shared" si="1367"/>
        <v>19</v>
      </c>
      <c r="H6056" s="3">
        <f t="shared" si="1368"/>
        <v>11</v>
      </c>
      <c r="I6056" s="3">
        <f t="shared" si="1369"/>
        <v>42</v>
      </c>
      <c r="J6056" s="3">
        <f t="shared" si="1370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371"/>
        <v>YES</v>
      </c>
      <c r="Q6056" t="str">
        <f t="shared" si="1372"/>
        <v>NO</v>
      </c>
      <c r="R6056" t="str">
        <f t="shared" si="1373"/>
        <v>NO</v>
      </c>
      <c r="S6056">
        <v>128</v>
      </c>
      <c r="T6056" t="s">
        <v>166</v>
      </c>
      <c r="U6056" t="str">
        <f t="shared" si="1360"/>
        <v>Oxford Ave</v>
      </c>
      <c r="W6056" t="str">
        <f t="shared" si="1361"/>
        <v/>
      </c>
      <c r="X6056" t="str">
        <f>IF(ISBLANK(S6056),"Intersection","Non-Intersection")</f>
        <v>Non-Intersection</v>
      </c>
      <c r="Y6056" t="s">
        <v>6272</v>
      </c>
      <c r="Z6056" t="str">
        <f t="shared" si="1362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363"/>
        <v>41275</v>
      </c>
      <c r="D6057" s="4">
        <f t="shared" si="1364"/>
        <v>0.96438356164383565</v>
      </c>
      <c r="E6057" s="3">
        <f t="shared" si="1365"/>
        <v>2013</v>
      </c>
      <c r="F6057" s="3">
        <f t="shared" si="1366"/>
        <v>12</v>
      </c>
      <c r="G6057" s="3">
        <f t="shared" si="1367"/>
        <v>19</v>
      </c>
      <c r="H6057" s="3">
        <f t="shared" si="1368"/>
        <v>13</v>
      </c>
      <c r="I6057" s="3">
        <f t="shared" si="1369"/>
        <v>34</v>
      </c>
      <c r="J6057" s="3">
        <f t="shared" si="1370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371"/>
        <v>YES</v>
      </c>
      <c r="Q6057" t="str">
        <f t="shared" si="1372"/>
        <v>NO</v>
      </c>
      <c r="R6057" t="str">
        <f t="shared" si="1373"/>
        <v>YES</v>
      </c>
      <c r="S6057">
        <v>35</v>
      </c>
      <c r="T6057" t="s">
        <v>456</v>
      </c>
      <c r="U6057" t="str">
        <f t="shared" si="1360"/>
        <v>Oxford St</v>
      </c>
      <c r="W6057" t="str">
        <f t="shared" si="1361"/>
        <v/>
      </c>
      <c r="X6057" t="str">
        <f>IF(ISBLANK(S6057),"Intersection","Non-Intersection")</f>
        <v>Non-Intersection</v>
      </c>
      <c r="Y6057" t="s">
        <v>6273</v>
      </c>
      <c r="Z6057" t="str">
        <f t="shared" si="1362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363"/>
        <v>41275</v>
      </c>
      <c r="D6058" s="4">
        <f t="shared" si="1364"/>
        <v>0.96438356164383565</v>
      </c>
      <c r="E6058" s="3">
        <f t="shared" si="1365"/>
        <v>2013</v>
      </c>
      <c r="F6058" s="3">
        <f t="shared" si="1366"/>
        <v>12</v>
      </c>
      <c r="G6058" s="3">
        <f t="shared" si="1367"/>
        <v>19</v>
      </c>
      <c r="H6058" s="3">
        <f t="shared" si="1368"/>
        <v>3</v>
      </c>
      <c r="I6058" s="3">
        <f t="shared" si="1369"/>
        <v>0</v>
      </c>
      <c r="J6058" s="3">
        <f t="shared" si="1370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371"/>
        <v>YES</v>
      </c>
      <c r="Q6058" t="str">
        <f t="shared" si="1372"/>
        <v>NO</v>
      </c>
      <c r="R6058" t="str">
        <f t="shared" si="1373"/>
        <v>NO</v>
      </c>
      <c r="S6058">
        <v>41</v>
      </c>
      <c r="T6058" t="s">
        <v>167</v>
      </c>
      <c r="U6058" t="str">
        <f t="shared" si="1360"/>
        <v>Wendell St</v>
      </c>
      <c r="W6058" t="str">
        <f t="shared" si="1361"/>
        <v/>
      </c>
      <c r="X6058" t="str">
        <f>IF(ISBLANK(S6058),"Intersection","Non-Intersection")</f>
        <v>Non-Intersection</v>
      </c>
      <c r="Y6058" t="s">
        <v>4425</v>
      </c>
      <c r="Z6058" t="str">
        <f t="shared" si="1362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363"/>
        <v>41275</v>
      </c>
      <c r="D6059" s="4">
        <f t="shared" si="1364"/>
        <v>0.96438356164383565</v>
      </c>
      <c r="E6059" s="3">
        <f t="shared" si="1365"/>
        <v>2013</v>
      </c>
      <c r="F6059" s="3">
        <f t="shared" si="1366"/>
        <v>12</v>
      </c>
      <c r="G6059" s="3">
        <f t="shared" si="1367"/>
        <v>19</v>
      </c>
      <c r="H6059" s="3">
        <f t="shared" si="1368"/>
        <v>13</v>
      </c>
      <c r="I6059" s="3">
        <f t="shared" si="1369"/>
        <v>30</v>
      </c>
      <c r="J6059" s="3">
        <f t="shared" si="1370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371"/>
        <v>YES</v>
      </c>
      <c r="Q6059" t="str">
        <f t="shared" si="1372"/>
        <v>NO</v>
      </c>
      <c r="R6059" t="str">
        <f t="shared" si="1373"/>
        <v>NO</v>
      </c>
      <c r="T6059" t="s">
        <v>41</v>
      </c>
      <c r="U6059" t="str">
        <f t="shared" si="1360"/>
        <v>River St</v>
      </c>
      <c r="V6059" t="s">
        <v>1683</v>
      </c>
      <c r="W6059" t="str">
        <f t="shared" si="1361"/>
        <v>Kelly Rd</v>
      </c>
      <c r="X6059" t="str">
        <f>IF(ISBLANK(S6059),"Intersection","Non-Intersection")</f>
        <v>Intersection</v>
      </c>
      <c r="Y6059" t="s">
        <v>6275</v>
      </c>
      <c r="Z6059" t="str">
        <f t="shared" si="1362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363"/>
        <v>41275</v>
      </c>
      <c r="D6060" s="4">
        <f t="shared" si="1364"/>
        <v>0.96438356164383565</v>
      </c>
      <c r="E6060" s="3">
        <f t="shared" si="1365"/>
        <v>2013</v>
      </c>
      <c r="F6060" s="3">
        <f t="shared" si="1366"/>
        <v>12</v>
      </c>
      <c r="G6060" s="3">
        <f t="shared" si="1367"/>
        <v>19</v>
      </c>
      <c r="H6060" s="3">
        <f t="shared" si="1368"/>
        <v>14</v>
      </c>
      <c r="I6060" s="3">
        <f t="shared" si="1369"/>
        <v>0</v>
      </c>
      <c r="J6060" s="3">
        <f t="shared" si="1370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371"/>
        <v>YES</v>
      </c>
      <c r="Q6060" t="str">
        <f t="shared" si="1372"/>
        <v>NO</v>
      </c>
      <c r="R6060" t="str">
        <f t="shared" si="1373"/>
        <v>NO</v>
      </c>
      <c r="S6060">
        <v>1666</v>
      </c>
      <c r="T6060" t="s">
        <v>14</v>
      </c>
      <c r="U6060" t="str">
        <f t="shared" si="1360"/>
        <v>Massachusetts Ave</v>
      </c>
      <c r="W6060" t="str">
        <f t="shared" si="1361"/>
        <v/>
      </c>
      <c r="X6060" t="str">
        <f>IF(ISBLANK(S6060),"Intersection","Non-Intersection")</f>
        <v>Non-Intersection</v>
      </c>
      <c r="Y6060" t="s">
        <v>6276</v>
      </c>
      <c r="Z6060" t="str">
        <f t="shared" si="1362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363"/>
        <v>41275</v>
      </c>
      <c r="D6061" s="4">
        <f t="shared" si="1364"/>
        <v>0.9671232876712329</v>
      </c>
      <c r="E6061" s="3">
        <f t="shared" si="1365"/>
        <v>2013</v>
      </c>
      <c r="F6061" s="3">
        <f t="shared" si="1366"/>
        <v>12</v>
      </c>
      <c r="G6061" s="3">
        <f t="shared" si="1367"/>
        <v>20</v>
      </c>
      <c r="H6061" s="3">
        <f t="shared" si="1368"/>
        <v>13</v>
      </c>
      <c r="I6061" s="3">
        <f t="shared" si="1369"/>
        <v>50</v>
      </c>
      <c r="J6061" s="3">
        <f t="shared" si="1370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371"/>
        <v>YES</v>
      </c>
      <c r="Q6061" t="str">
        <f t="shared" si="1372"/>
        <v>NO</v>
      </c>
      <c r="R6061" t="str">
        <f t="shared" si="1373"/>
        <v>NO</v>
      </c>
      <c r="S6061">
        <v>1280</v>
      </c>
      <c r="T6061" t="s">
        <v>14</v>
      </c>
      <c r="U6061" t="str">
        <f t="shared" si="1360"/>
        <v>Massachusetts Ave</v>
      </c>
      <c r="W6061" t="str">
        <f t="shared" si="1361"/>
        <v/>
      </c>
      <c r="X6061" t="str">
        <f>IF(ISBLANK(S6061),"Intersection","Non-Intersection")</f>
        <v>Non-Intersection</v>
      </c>
      <c r="Y6061" t="s">
        <v>5056</v>
      </c>
      <c r="Z6061" t="str">
        <f t="shared" si="1362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363"/>
        <v>41275</v>
      </c>
      <c r="D6062" s="4">
        <f t="shared" si="1364"/>
        <v>0.9671232876712329</v>
      </c>
      <c r="E6062" s="3">
        <f t="shared" si="1365"/>
        <v>2013</v>
      </c>
      <c r="F6062" s="3">
        <f t="shared" si="1366"/>
        <v>12</v>
      </c>
      <c r="G6062" s="3">
        <f t="shared" si="1367"/>
        <v>20</v>
      </c>
      <c r="H6062" s="3">
        <f t="shared" si="1368"/>
        <v>17</v>
      </c>
      <c r="I6062" s="3">
        <f t="shared" si="1369"/>
        <v>57</v>
      </c>
      <c r="J6062" s="3">
        <f t="shared" si="1370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371"/>
        <v>YES</v>
      </c>
      <c r="Q6062" t="str">
        <f t="shared" si="1372"/>
        <v>YES</v>
      </c>
      <c r="R6062" t="str">
        <f t="shared" si="1373"/>
        <v>NO</v>
      </c>
      <c r="S6062">
        <v>297</v>
      </c>
      <c r="T6062" t="s">
        <v>105</v>
      </c>
      <c r="U6062" t="str">
        <f t="shared" si="1360"/>
        <v>Broadway</v>
      </c>
      <c r="W6062" t="str">
        <f t="shared" si="1361"/>
        <v/>
      </c>
      <c r="X6062" t="str">
        <f>IF(ISBLANK(S6062),"Intersection","Non-Intersection")</f>
        <v>Non-Intersection</v>
      </c>
      <c r="Y6062" t="s">
        <v>2161</v>
      </c>
      <c r="Z6062" t="str">
        <f t="shared" si="1362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363"/>
        <v>41275</v>
      </c>
      <c r="D6063" s="4">
        <f t="shared" si="1364"/>
        <v>0.9671232876712329</v>
      </c>
      <c r="E6063" s="3">
        <f t="shared" si="1365"/>
        <v>2013</v>
      </c>
      <c r="F6063" s="3">
        <f t="shared" si="1366"/>
        <v>12</v>
      </c>
      <c r="G6063" s="3">
        <f t="shared" si="1367"/>
        <v>20</v>
      </c>
      <c r="H6063" s="3">
        <f t="shared" si="1368"/>
        <v>11</v>
      </c>
      <c r="I6063" s="3">
        <f t="shared" si="1369"/>
        <v>6</v>
      </c>
      <c r="J6063" s="3">
        <f t="shared" si="1370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371"/>
        <v>YES</v>
      </c>
      <c r="Q6063" t="str">
        <f t="shared" si="1372"/>
        <v>NO</v>
      </c>
      <c r="R6063" t="str">
        <f t="shared" si="1373"/>
        <v>NO</v>
      </c>
      <c r="S6063">
        <v>50</v>
      </c>
      <c r="T6063" t="s">
        <v>840</v>
      </c>
      <c r="U6063" t="str">
        <f t="shared" si="1360"/>
        <v>Church St</v>
      </c>
      <c r="W6063" t="str">
        <f t="shared" si="1361"/>
        <v/>
      </c>
      <c r="X6063" t="str">
        <f>IF(ISBLANK(S6063),"Intersection","Non-Intersection")</f>
        <v>Non-Intersection</v>
      </c>
      <c r="Y6063" t="s">
        <v>6278</v>
      </c>
      <c r="Z6063" t="str">
        <f t="shared" si="1362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363"/>
        <v>41275</v>
      </c>
      <c r="D6064" s="4">
        <f t="shared" si="1364"/>
        <v>0.96986301369863015</v>
      </c>
      <c r="E6064" s="3">
        <f t="shared" si="1365"/>
        <v>2013</v>
      </c>
      <c r="F6064" s="3">
        <f t="shared" si="1366"/>
        <v>12</v>
      </c>
      <c r="G6064" s="3">
        <f t="shared" si="1367"/>
        <v>21</v>
      </c>
      <c r="H6064" s="3">
        <f t="shared" si="1368"/>
        <v>9</v>
      </c>
      <c r="I6064" s="3">
        <f t="shared" si="1369"/>
        <v>0</v>
      </c>
      <c r="J6064" s="3">
        <f t="shared" si="1370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371"/>
        <v>YES</v>
      </c>
      <c r="Q6064" t="str">
        <f t="shared" si="1372"/>
        <v>NO</v>
      </c>
      <c r="R6064" t="str">
        <f t="shared" si="1373"/>
        <v>NO</v>
      </c>
      <c r="S6064">
        <v>52</v>
      </c>
      <c r="T6064" t="s">
        <v>1520</v>
      </c>
      <c r="U6064" t="str">
        <f t="shared" si="1360"/>
        <v>Fayette St</v>
      </c>
      <c r="W6064" t="str">
        <f t="shared" si="1361"/>
        <v/>
      </c>
      <c r="X6064" t="str">
        <f>IF(ISBLANK(S6064),"Intersection","Non-Intersection")</f>
        <v>Non-Intersection</v>
      </c>
      <c r="Y6064" t="s">
        <v>5447</v>
      </c>
      <c r="Z6064" t="str">
        <f t="shared" si="1362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363"/>
        <v>41275</v>
      </c>
      <c r="D6065" s="4">
        <f t="shared" si="1364"/>
        <v>0.96986301369863015</v>
      </c>
      <c r="E6065" s="3">
        <f t="shared" si="1365"/>
        <v>2013</v>
      </c>
      <c r="F6065" s="3">
        <f t="shared" si="1366"/>
        <v>12</v>
      </c>
      <c r="G6065" s="3">
        <f t="shared" si="1367"/>
        <v>21</v>
      </c>
      <c r="H6065" s="3">
        <f t="shared" si="1368"/>
        <v>12</v>
      </c>
      <c r="I6065" s="3">
        <f t="shared" si="1369"/>
        <v>59</v>
      </c>
      <c r="J6065" s="3">
        <f t="shared" si="1370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371"/>
        <v>YES</v>
      </c>
      <c r="Q6065" t="str">
        <f t="shared" si="1372"/>
        <v>NO</v>
      </c>
      <c r="R6065" t="str">
        <f t="shared" si="1373"/>
        <v>NO</v>
      </c>
      <c r="S6065">
        <v>1740</v>
      </c>
      <c r="T6065" t="s">
        <v>14</v>
      </c>
      <c r="U6065" t="str">
        <f t="shared" si="1360"/>
        <v>Massachusetts Ave</v>
      </c>
      <c r="W6065" t="str">
        <f t="shared" si="1361"/>
        <v/>
      </c>
      <c r="X6065" t="str">
        <f>IF(ISBLANK(S6065),"Intersection","Non-Intersection")</f>
        <v>Non-Intersection</v>
      </c>
      <c r="Y6065" t="s">
        <v>3093</v>
      </c>
      <c r="Z6065" t="str">
        <f t="shared" si="1362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363"/>
        <v>41275</v>
      </c>
      <c r="D6066" s="4">
        <f t="shared" si="1364"/>
        <v>0.9726027397260274</v>
      </c>
      <c r="E6066" s="3">
        <f t="shared" si="1365"/>
        <v>2013</v>
      </c>
      <c r="F6066" s="3">
        <f t="shared" si="1366"/>
        <v>12</v>
      </c>
      <c r="G6066" s="3">
        <f t="shared" si="1367"/>
        <v>22</v>
      </c>
      <c r="H6066" s="3">
        <f t="shared" si="1368"/>
        <v>11</v>
      </c>
      <c r="I6066" s="3">
        <f t="shared" si="1369"/>
        <v>23</v>
      </c>
      <c r="J6066" s="3">
        <f t="shared" si="1370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371"/>
        <v>YES</v>
      </c>
      <c r="Q6066" t="str">
        <f t="shared" si="1372"/>
        <v>NO</v>
      </c>
      <c r="R6066" t="str">
        <f t="shared" si="1373"/>
        <v>YES</v>
      </c>
      <c r="S6066">
        <v>66</v>
      </c>
      <c r="T6066" t="s">
        <v>45</v>
      </c>
      <c r="U6066" t="str">
        <f t="shared" si="1360"/>
        <v>Sherman St</v>
      </c>
      <c r="W6066" t="str">
        <f t="shared" si="1361"/>
        <v/>
      </c>
      <c r="X6066" t="str">
        <f>IF(ISBLANK(S6066),"Intersection","Non-Intersection")</f>
        <v>Non-Intersection</v>
      </c>
      <c r="Y6066" t="s">
        <v>6280</v>
      </c>
      <c r="Z6066" t="str">
        <f t="shared" si="1362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363"/>
        <v>41275</v>
      </c>
      <c r="D6067" s="4">
        <f t="shared" si="1364"/>
        <v>0.9726027397260274</v>
      </c>
      <c r="E6067" s="3">
        <f t="shared" si="1365"/>
        <v>2013</v>
      </c>
      <c r="F6067" s="3">
        <f t="shared" si="1366"/>
        <v>12</v>
      </c>
      <c r="G6067" s="3">
        <f t="shared" si="1367"/>
        <v>22</v>
      </c>
      <c r="H6067" s="3">
        <f t="shared" si="1368"/>
        <v>12</v>
      </c>
      <c r="I6067" s="3">
        <f t="shared" si="1369"/>
        <v>0</v>
      </c>
      <c r="J6067" s="3">
        <f t="shared" si="1370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371"/>
        <v>YES</v>
      </c>
      <c r="Q6067" t="str">
        <f t="shared" si="1372"/>
        <v>NO</v>
      </c>
      <c r="R6067" t="str">
        <f t="shared" si="1373"/>
        <v>NO</v>
      </c>
      <c r="S6067">
        <v>149</v>
      </c>
      <c r="T6067" t="s">
        <v>667</v>
      </c>
      <c r="U6067" t="str">
        <f t="shared" si="1360"/>
        <v>Tremont St</v>
      </c>
      <c r="W6067" t="str">
        <f t="shared" si="1361"/>
        <v/>
      </c>
      <c r="X6067" t="str">
        <f>IF(ISBLANK(S6067),"Intersection","Non-Intersection")</f>
        <v>Non-Intersection</v>
      </c>
      <c r="Y6067" t="s">
        <v>6282</v>
      </c>
      <c r="Z6067" t="str">
        <f t="shared" si="1362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363"/>
        <v>41275</v>
      </c>
      <c r="D6068" s="4">
        <f t="shared" si="1364"/>
        <v>0.9726027397260274</v>
      </c>
      <c r="E6068" s="3">
        <f t="shared" si="1365"/>
        <v>2013</v>
      </c>
      <c r="F6068" s="3">
        <f t="shared" si="1366"/>
        <v>12</v>
      </c>
      <c r="G6068" s="3">
        <f t="shared" si="1367"/>
        <v>22</v>
      </c>
      <c r="H6068" s="3">
        <f t="shared" si="1368"/>
        <v>5</v>
      </c>
      <c r="I6068" s="3">
        <f t="shared" si="1369"/>
        <v>16</v>
      </c>
      <c r="J6068" s="3">
        <f t="shared" si="1370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371"/>
        <v>YES</v>
      </c>
      <c r="Q6068" t="str">
        <f t="shared" si="1372"/>
        <v>NO</v>
      </c>
      <c r="R6068" t="str">
        <f t="shared" si="1373"/>
        <v>NO</v>
      </c>
      <c r="S6068">
        <v>580</v>
      </c>
      <c r="T6068" t="s">
        <v>198</v>
      </c>
      <c r="U6068" t="str">
        <f t="shared" si="1360"/>
        <v>Mount Auburn St</v>
      </c>
      <c r="W6068" t="str">
        <f t="shared" si="1361"/>
        <v/>
      </c>
      <c r="X6068" t="str">
        <f>IF(ISBLANK(S6068),"Intersection","Non-Intersection")</f>
        <v>Non-Intersection</v>
      </c>
      <c r="Y6068" t="s">
        <v>5469</v>
      </c>
      <c r="Z6068" t="str">
        <f t="shared" si="1362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363"/>
        <v>41275</v>
      </c>
      <c r="D6069" s="4">
        <f t="shared" si="1364"/>
        <v>0.9726027397260274</v>
      </c>
      <c r="E6069" s="3">
        <f t="shared" si="1365"/>
        <v>2013</v>
      </c>
      <c r="F6069" s="3">
        <f t="shared" si="1366"/>
        <v>12</v>
      </c>
      <c r="G6069" s="3">
        <f t="shared" si="1367"/>
        <v>22</v>
      </c>
      <c r="H6069" s="3">
        <f t="shared" si="1368"/>
        <v>19</v>
      </c>
      <c r="I6069" s="3">
        <f t="shared" si="1369"/>
        <v>34</v>
      </c>
      <c r="J6069" s="3">
        <f t="shared" si="1370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371"/>
        <v>YES</v>
      </c>
      <c r="Q6069" t="str">
        <f t="shared" si="1372"/>
        <v>NO</v>
      </c>
      <c r="R6069" t="str">
        <f t="shared" si="1373"/>
        <v>NO</v>
      </c>
      <c r="T6069" t="s">
        <v>14</v>
      </c>
      <c r="U6069" t="str">
        <f t="shared" si="1360"/>
        <v>Massachusetts Ave</v>
      </c>
      <c r="V6069" t="s">
        <v>1371</v>
      </c>
      <c r="W6069" t="str">
        <f t="shared" si="1361"/>
        <v>Front St</v>
      </c>
      <c r="X6069" t="str">
        <f>IF(ISBLANK(S6069),"Intersection","Non-Intersection")</f>
        <v>Intersection</v>
      </c>
      <c r="Y6069" t="s">
        <v>5457</v>
      </c>
      <c r="Z6069" t="str">
        <f t="shared" si="1362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363"/>
        <v>41275</v>
      </c>
      <c r="D6070" s="4">
        <f t="shared" si="1364"/>
        <v>0.9726027397260274</v>
      </c>
      <c r="E6070" s="3">
        <f t="shared" si="1365"/>
        <v>2013</v>
      </c>
      <c r="F6070" s="3">
        <f t="shared" si="1366"/>
        <v>12</v>
      </c>
      <c r="G6070" s="3">
        <f t="shared" si="1367"/>
        <v>22</v>
      </c>
      <c r="H6070" s="3">
        <f t="shared" si="1368"/>
        <v>21</v>
      </c>
      <c r="I6070" s="3">
        <f t="shared" si="1369"/>
        <v>18</v>
      </c>
      <c r="J6070" s="3">
        <f t="shared" si="1370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371"/>
        <v>YES</v>
      </c>
      <c r="Q6070" t="str">
        <f t="shared" si="1372"/>
        <v>NO</v>
      </c>
      <c r="R6070" t="str">
        <f t="shared" si="1373"/>
        <v>YES</v>
      </c>
      <c r="T6070" t="s">
        <v>487</v>
      </c>
      <c r="U6070" t="str">
        <f t="shared" si="1360"/>
        <v>Beech St</v>
      </c>
      <c r="V6070" t="s">
        <v>75</v>
      </c>
      <c r="W6070" t="str">
        <f t="shared" si="1361"/>
        <v>Elm St</v>
      </c>
      <c r="X6070" t="str">
        <f>IF(ISBLANK(S6070),"Intersection","Non-Intersection")</f>
        <v>Intersection</v>
      </c>
      <c r="Y6070" t="s">
        <v>1989</v>
      </c>
      <c r="Z6070" t="str">
        <f t="shared" si="1362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363"/>
        <v>41275</v>
      </c>
      <c r="D6071" s="4">
        <f t="shared" si="1364"/>
        <v>0.97534246575342465</v>
      </c>
      <c r="E6071" s="3">
        <f t="shared" si="1365"/>
        <v>2013</v>
      </c>
      <c r="F6071" s="3">
        <f t="shared" si="1366"/>
        <v>12</v>
      </c>
      <c r="G6071" s="3">
        <f t="shared" si="1367"/>
        <v>23</v>
      </c>
      <c r="H6071" s="3">
        <f t="shared" si="1368"/>
        <v>15</v>
      </c>
      <c r="I6071" s="3">
        <f t="shared" si="1369"/>
        <v>14</v>
      </c>
      <c r="J6071" s="3">
        <f t="shared" si="1370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371"/>
        <v>YES</v>
      </c>
      <c r="Q6071" t="str">
        <f t="shared" si="1372"/>
        <v>NO</v>
      </c>
      <c r="R6071" t="str">
        <f t="shared" si="1373"/>
        <v>NO</v>
      </c>
      <c r="S6071">
        <v>0</v>
      </c>
      <c r="T6071" t="s">
        <v>185</v>
      </c>
      <c r="U6071" t="str">
        <f t="shared" si="1360"/>
        <v>Garden St</v>
      </c>
      <c r="W6071" t="str">
        <f t="shared" si="1361"/>
        <v/>
      </c>
      <c r="X6071" t="str">
        <f>IF(ISBLANK(S6071),"Intersection","Non-Intersection")</f>
        <v>Non-Intersection</v>
      </c>
      <c r="Y6071" t="s">
        <v>3901</v>
      </c>
      <c r="Z6071" t="str">
        <f t="shared" si="1362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363"/>
        <v>41275</v>
      </c>
      <c r="D6072" s="4">
        <f t="shared" si="1364"/>
        <v>0.9780821917808219</v>
      </c>
      <c r="E6072" s="3">
        <f t="shared" si="1365"/>
        <v>2013</v>
      </c>
      <c r="F6072" s="3">
        <f t="shared" si="1366"/>
        <v>12</v>
      </c>
      <c r="G6072" s="3">
        <f t="shared" si="1367"/>
        <v>24</v>
      </c>
      <c r="H6072" s="3">
        <f t="shared" si="1368"/>
        <v>12</v>
      </c>
      <c r="I6072" s="3">
        <f t="shared" si="1369"/>
        <v>59</v>
      </c>
      <c r="J6072" s="3">
        <f t="shared" si="1370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371"/>
        <v>YES</v>
      </c>
      <c r="Q6072" t="str">
        <f t="shared" si="1372"/>
        <v>NO</v>
      </c>
      <c r="R6072" t="str">
        <f t="shared" si="1373"/>
        <v>NO</v>
      </c>
      <c r="T6072" t="s">
        <v>42</v>
      </c>
      <c r="U6072" t="str">
        <f t="shared" si="1360"/>
        <v>Putnam Ave</v>
      </c>
      <c r="V6072" t="s">
        <v>178</v>
      </c>
      <c r="W6072" t="str">
        <f t="shared" si="1361"/>
        <v>Pleasant St</v>
      </c>
      <c r="X6072" t="str">
        <f>IF(ISBLANK(S6072),"Intersection","Non-Intersection")</f>
        <v>Intersection</v>
      </c>
      <c r="Y6072" t="s">
        <v>179</v>
      </c>
      <c r="Z6072" t="str">
        <f t="shared" si="1362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363"/>
        <v>41275</v>
      </c>
      <c r="D6073" s="4">
        <f t="shared" si="1364"/>
        <v>0.9780821917808219</v>
      </c>
      <c r="E6073" s="3">
        <f t="shared" si="1365"/>
        <v>2013</v>
      </c>
      <c r="F6073" s="3">
        <f t="shared" si="1366"/>
        <v>12</v>
      </c>
      <c r="G6073" s="3">
        <f t="shared" si="1367"/>
        <v>24</v>
      </c>
      <c r="H6073" s="3">
        <f t="shared" si="1368"/>
        <v>13</v>
      </c>
      <c r="I6073" s="3">
        <f t="shared" si="1369"/>
        <v>43</v>
      </c>
      <c r="J6073" s="3">
        <f t="shared" si="1370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371"/>
        <v>YES</v>
      </c>
      <c r="Q6073" t="str">
        <f t="shared" si="1372"/>
        <v>NO</v>
      </c>
      <c r="R6073" t="str">
        <f t="shared" si="1373"/>
        <v>NO</v>
      </c>
      <c r="T6073" t="s">
        <v>146</v>
      </c>
      <c r="U6073" t="str">
        <f t="shared" si="1360"/>
        <v>Spring St</v>
      </c>
      <c r="V6073" t="s">
        <v>20</v>
      </c>
      <c r="W6073" t="str">
        <f t="shared" si="1361"/>
        <v>Sciarappa St</v>
      </c>
      <c r="X6073" t="str">
        <f>IF(ISBLANK(S6073),"Intersection","Non-Intersection")</f>
        <v>Intersection</v>
      </c>
      <c r="Y6073" t="s">
        <v>6284</v>
      </c>
      <c r="Z6073" t="str">
        <f t="shared" si="1362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363"/>
        <v>41275</v>
      </c>
      <c r="D6074" s="4">
        <f t="shared" si="1364"/>
        <v>0.9780821917808219</v>
      </c>
      <c r="E6074" s="3">
        <f t="shared" si="1365"/>
        <v>2013</v>
      </c>
      <c r="F6074" s="3">
        <f t="shared" si="1366"/>
        <v>12</v>
      </c>
      <c r="G6074" s="3">
        <f t="shared" si="1367"/>
        <v>24</v>
      </c>
      <c r="H6074" s="3">
        <f t="shared" si="1368"/>
        <v>16</v>
      </c>
      <c r="I6074" s="3">
        <f t="shared" si="1369"/>
        <v>57</v>
      </c>
      <c r="J6074" s="3">
        <f t="shared" si="1370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371"/>
        <v>YES</v>
      </c>
      <c r="Q6074" t="str">
        <f t="shared" si="1372"/>
        <v>NO</v>
      </c>
      <c r="R6074" t="str">
        <f t="shared" si="1373"/>
        <v>YES</v>
      </c>
      <c r="S6074">
        <v>1274</v>
      </c>
      <c r="T6074" t="s">
        <v>14</v>
      </c>
      <c r="U6074" t="str">
        <f t="shared" si="1360"/>
        <v>Massachusetts Ave</v>
      </c>
      <c r="W6074" t="str">
        <f t="shared" si="1361"/>
        <v/>
      </c>
      <c r="X6074" t="str">
        <f>IF(ISBLANK(S6074),"Intersection","Non-Intersection")</f>
        <v>Non-Intersection</v>
      </c>
      <c r="Y6074" t="s">
        <v>6286</v>
      </c>
      <c r="Z6074" t="str">
        <f t="shared" si="1362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363"/>
        <v>41275</v>
      </c>
      <c r="D6075" s="4">
        <f t="shared" si="1364"/>
        <v>0.98356164383561639</v>
      </c>
      <c r="E6075" s="3">
        <f t="shared" si="1365"/>
        <v>2013</v>
      </c>
      <c r="F6075" s="3">
        <f t="shared" si="1366"/>
        <v>12</v>
      </c>
      <c r="G6075" s="3">
        <f t="shared" si="1367"/>
        <v>26</v>
      </c>
      <c r="H6075" s="3">
        <f t="shared" si="1368"/>
        <v>14</v>
      </c>
      <c r="I6075" s="3">
        <f t="shared" si="1369"/>
        <v>45</v>
      </c>
      <c r="J6075" s="3">
        <f t="shared" si="1370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371"/>
        <v>YES</v>
      </c>
      <c r="Q6075" t="str">
        <f t="shared" si="1372"/>
        <v>NO</v>
      </c>
      <c r="R6075" t="str">
        <f t="shared" si="1373"/>
        <v>NO</v>
      </c>
      <c r="T6075" t="s">
        <v>971</v>
      </c>
      <c r="U6075" t="str">
        <f t="shared" si="1360"/>
        <v>Ellsworth Ave</v>
      </c>
      <c r="V6075" t="s">
        <v>19</v>
      </c>
      <c r="W6075" t="str">
        <f t="shared" si="1361"/>
        <v>Cambridge St</v>
      </c>
      <c r="X6075" t="str">
        <f>IF(ISBLANK(S6075),"Intersection","Non-Intersection")</f>
        <v>Intersection</v>
      </c>
      <c r="Y6075" t="s">
        <v>972</v>
      </c>
      <c r="Z6075" t="str">
        <f t="shared" si="1362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363"/>
        <v>41275</v>
      </c>
      <c r="D6076" s="4">
        <f t="shared" si="1364"/>
        <v>0.98630136986301364</v>
      </c>
      <c r="E6076" s="3">
        <f t="shared" si="1365"/>
        <v>2013</v>
      </c>
      <c r="F6076" s="3">
        <f t="shared" si="1366"/>
        <v>12</v>
      </c>
      <c r="G6076" s="3">
        <f t="shared" si="1367"/>
        <v>27</v>
      </c>
      <c r="H6076" s="3">
        <f t="shared" si="1368"/>
        <v>17</v>
      </c>
      <c r="I6076" s="3">
        <f t="shared" si="1369"/>
        <v>0</v>
      </c>
      <c r="J6076" s="3">
        <f t="shared" si="1370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371"/>
        <v>YES</v>
      </c>
      <c r="Q6076" t="str">
        <f t="shared" si="1372"/>
        <v>NO</v>
      </c>
      <c r="R6076" t="str">
        <f t="shared" si="1373"/>
        <v>NO</v>
      </c>
      <c r="S6076">
        <v>375</v>
      </c>
      <c r="T6076" t="s">
        <v>6287</v>
      </c>
      <c r="U6076" t="str">
        <f t="shared" si="1360"/>
        <v>Norfolk Ct</v>
      </c>
      <c r="W6076" t="str">
        <f t="shared" si="1361"/>
        <v/>
      </c>
      <c r="X6076" t="str">
        <f>IF(ISBLANK(S6076),"Intersection","Non-Intersection")</f>
        <v>Non-Intersection</v>
      </c>
      <c r="Y6076" t="s">
        <v>6288</v>
      </c>
      <c r="Z6076" t="str">
        <f t="shared" si="1362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363"/>
        <v>41275</v>
      </c>
      <c r="D6077" s="4">
        <f t="shared" si="1364"/>
        <v>0.98630136986301364</v>
      </c>
      <c r="E6077" s="3">
        <f t="shared" si="1365"/>
        <v>2013</v>
      </c>
      <c r="F6077" s="3">
        <f t="shared" si="1366"/>
        <v>12</v>
      </c>
      <c r="G6077" s="3">
        <f t="shared" si="1367"/>
        <v>27</v>
      </c>
      <c r="H6077" s="3">
        <f t="shared" si="1368"/>
        <v>15</v>
      </c>
      <c r="I6077" s="3">
        <f t="shared" si="1369"/>
        <v>20</v>
      </c>
      <c r="J6077" s="3">
        <f t="shared" si="1370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371"/>
        <v>YES</v>
      </c>
      <c r="Q6077" t="str">
        <f t="shared" si="1372"/>
        <v>NO</v>
      </c>
      <c r="R6077" t="str">
        <f t="shared" si="1373"/>
        <v>YES</v>
      </c>
      <c r="T6077" t="s">
        <v>198</v>
      </c>
      <c r="U6077" t="str">
        <f t="shared" si="1360"/>
        <v>Mount Auburn St</v>
      </c>
      <c r="V6077" t="s">
        <v>1525</v>
      </c>
      <c r="W6077" t="str">
        <f t="shared" si="1361"/>
        <v>Lowell St</v>
      </c>
      <c r="X6077" t="str">
        <f>IF(ISBLANK(S6077),"Intersection","Non-Intersection")</f>
        <v>Intersection</v>
      </c>
      <c r="Y6077" t="s">
        <v>1526</v>
      </c>
      <c r="Z6077" t="str">
        <f t="shared" si="1362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363"/>
        <v>41275</v>
      </c>
      <c r="D6078" s="4">
        <f t="shared" si="1364"/>
        <v>0.989041095890411</v>
      </c>
      <c r="E6078" s="3">
        <f t="shared" si="1365"/>
        <v>2013</v>
      </c>
      <c r="F6078" s="3">
        <f t="shared" si="1366"/>
        <v>12</v>
      </c>
      <c r="G6078" s="3">
        <f t="shared" si="1367"/>
        <v>28</v>
      </c>
      <c r="H6078" s="3">
        <f t="shared" si="1368"/>
        <v>13</v>
      </c>
      <c r="I6078" s="3">
        <f t="shared" si="1369"/>
        <v>28</v>
      </c>
      <c r="J6078" s="3">
        <f t="shared" si="1370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371"/>
        <v>YES</v>
      </c>
      <c r="Q6078" t="str">
        <f t="shared" si="1372"/>
        <v>NO</v>
      </c>
      <c r="R6078" t="str">
        <f t="shared" si="1373"/>
        <v>NO</v>
      </c>
      <c r="T6078" t="s">
        <v>74</v>
      </c>
      <c r="U6078" t="str">
        <f t="shared" si="1360"/>
        <v>Hampshire St</v>
      </c>
      <c r="V6078" t="s">
        <v>342</v>
      </c>
      <c r="W6078" t="str">
        <f t="shared" si="1361"/>
        <v>Prospect St</v>
      </c>
      <c r="X6078" t="str">
        <f>IF(ISBLANK(S6078),"Intersection","Non-Intersection")</f>
        <v>Intersection</v>
      </c>
      <c r="Y6078" t="s">
        <v>462</v>
      </c>
      <c r="Z6078" t="str">
        <f t="shared" si="1362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363"/>
        <v>41275</v>
      </c>
      <c r="D6079" s="4">
        <f t="shared" si="1364"/>
        <v>0.99178082191780825</v>
      </c>
      <c r="E6079" s="3">
        <f t="shared" si="1365"/>
        <v>2013</v>
      </c>
      <c r="F6079" s="3">
        <f t="shared" si="1366"/>
        <v>12</v>
      </c>
      <c r="G6079" s="3">
        <f t="shared" si="1367"/>
        <v>29</v>
      </c>
      <c r="H6079" s="3">
        <f t="shared" si="1368"/>
        <v>17</v>
      </c>
      <c r="I6079" s="3">
        <f t="shared" si="1369"/>
        <v>0</v>
      </c>
      <c r="J6079" s="3">
        <f t="shared" si="1370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371"/>
        <v>YES</v>
      </c>
      <c r="Q6079" t="str">
        <f t="shared" si="1372"/>
        <v>NO</v>
      </c>
      <c r="R6079" t="str">
        <f t="shared" si="1373"/>
        <v>NO</v>
      </c>
      <c r="S6079">
        <v>100</v>
      </c>
      <c r="T6079" t="s">
        <v>1062</v>
      </c>
      <c r="U6079" t="str">
        <f t="shared" si="1360"/>
        <v>Cambridgeside Pl</v>
      </c>
      <c r="W6079" t="str">
        <f t="shared" si="1361"/>
        <v/>
      </c>
      <c r="X6079" t="str">
        <f>IF(ISBLANK(S6079),"Intersection","Non-Intersection")</f>
        <v>Non-Intersection</v>
      </c>
      <c r="Y6079" t="s">
        <v>1143</v>
      </c>
      <c r="Z6079" t="str">
        <f t="shared" si="1362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363"/>
        <v>41275</v>
      </c>
      <c r="D6080" s="4">
        <f t="shared" si="1364"/>
        <v>0.99178082191780825</v>
      </c>
      <c r="E6080" s="3">
        <f t="shared" si="1365"/>
        <v>2013</v>
      </c>
      <c r="F6080" s="3">
        <f t="shared" si="1366"/>
        <v>12</v>
      </c>
      <c r="G6080" s="3">
        <f t="shared" si="1367"/>
        <v>29</v>
      </c>
      <c r="H6080" s="3">
        <f t="shared" si="1368"/>
        <v>17</v>
      </c>
      <c r="I6080" s="3">
        <f t="shared" si="1369"/>
        <v>29</v>
      </c>
      <c r="J6080" s="3">
        <f t="shared" si="1370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371"/>
        <v>YES</v>
      </c>
      <c r="Q6080" t="str">
        <f t="shared" si="1372"/>
        <v>NO</v>
      </c>
      <c r="R6080" t="str">
        <f t="shared" si="1373"/>
        <v>NO</v>
      </c>
      <c r="S6080">
        <v>46</v>
      </c>
      <c r="T6080" t="s">
        <v>1438</v>
      </c>
      <c r="U6080" t="str">
        <f t="shared" si="1360"/>
        <v>Dunster St</v>
      </c>
      <c r="W6080" t="str">
        <f t="shared" si="1361"/>
        <v/>
      </c>
      <c r="X6080" t="str">
        <f>IF(ISBLANK(S6080),"Intersection","Non-Intersection")</f>
        <v>Non-Intersection</v>
      </c>
      <c r="Y6080" t="s">
        <v>6290</v>
      </c>
      <c r="Z6080" t="str">
        <f t="shared" si="1362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363"/>
        <v>41275</v>
      </c>
      <c r="D6081" s="4">
        <f t="shared" si="1364"/>
        <v>0.99178082191780825</v>
      </c>
      <c r="E6081" s="3">
        <f t="shared" si="1365"/>
        <v>2013</v>
      </c>
      <c r="F6081" s="3">
        <f t="shared" si="1366"/>
        <v>12</v>
      </c>
      <c r="G6081" s="3">
        <f t="shared" si="1367"/>
        <v>29</v>
      </c>
      <c r="H6081" s="3">
        <f t="shared" si="1368"/>
        <v>9</v>
      </c>
      <c r="I6081" s="3">
        <f t="shared" si="1369"/>
        <v>59</v>
      </c>
      <c r="J6081" s="3">
        <f t="shared" si="1370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371"/>
        <v>YES</v>
      </c>
      <c r="Q6081" t="str">
        <f t="shared" si="1372"/>
        <v>NO</v>
      </c>
      <c r="R6081" t="str">
        <f t="shared" si="1373"/>
        <v>NO</v>
      </c>
      <c r="T6081" t="s">
        <v>745</v>
      </c>
      <c r="U6081" t="str">
        <f t="shared" si="1360"/>
        <v>Norfolk St</v>
      </c>
      <c r="V6081" t="s">
        <v>19</v>
      </c>
      <c r="W6081" t="str">
        <f t="shared" si="1361"/>
        <v>Cambridge St</v>
      </c>
      <c r="X6081" t="str">
        <f>IF(ISBLANK(S6081),"Intersection","Non-Intersection")</f>
        <v>Intersection</v>
      </c>
      <c r="Y6081" t="s">
        <v>2106</v>
      </c>
      <c r="Z6081" t="str">
        <f t="shared" si="1362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363"/>
        <v>41275</v>
      </c>
      <c r="D6082" s="4">
        <f t="shared" si="1364"/>
        <v>0.99178082191780825</v>
      </c>
      <c r="E6082" s="3">
        <f t="shared" si="1365"/>
        <v>2013</v>
      </c>
      <c r="F6082" s="3">
        <f t="shared" si="1366"/>
        <v>12</v>
      </c>
      <c r="G6082" s="3">
        <f t="shared" si="1367"/>
        <v>29</v>
      </c>
      <c r="H6082" s="3">
        <f t="shared" si="1368"/>
        <v>17</v>
      </c>
      <c r="I6082" s="3">
        <f t="shared" si="1369"/>
        <v>55</v>
      </c>
      <c r="J6082" s="3">
        <f t="shared" si="1370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371"/>
        <v>YES</v>
      </c>
      <c r="Q6082" t="str">
        <f t="shared" si="1372"/>
        <v>NO</v>
      </c>
      <c r="R6082" t="str">
        <f t="shared" si="1373"/>
        <v>YES</v>
      </c>
      <c r="T6082" t="s">
        <v>19</v>
      </c>
      <c r="U6082" t="str">
        <f t="shared" si="1360"/>
        <v>Cambridge St</v>
      </c>
      <c r="V6082" t="s">
        <v>101</v>
      </c>
      <c r="W6082" t="str">
        <f t="shared" si="1361"/>
        <v>Columbia St</v>
      </c>
      <c r="X6082" t="str">
        <f>IF(ISBLANK(S6082),"Intersection","Non-Intersection")</f>
        <v>Intersection</v>
      </c>
      <c r="Y6082" t="s">
        <v>438</v>
      </c>
      <c r="Z6082" t="str">
        <f t="shared" si="1362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363"/>
        <v>41275</v>
      </c>
      <c r="D6083" s="4">
        <f t="shared" si="1364"/>
        <v>0.9945205479452055</v>
      </c>
      <c r="E6083" s="3">
        <f t="shared" si="1365"/>
        <v>2013</v>
      </c>
      <c r="F6083" s="3">
        <f t="shared" si="1366"/>
        <v>12</v>
      </c>
      <c r="G6083" s="3">
        <f t="shared" si="1367"/>
        <v>30</v>
      </c>
      <c r="H6083" s="3">
        <f t="shared" si="1368"/>
        <v>1</v>
      </c>
      <c r="I6083" s="3">
        <f t="shared" si="1369"/>
        <v>50</v>
      </c>
      <c r="J6083" s="3">
        <f t="shared" si="1370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371"/>
        <v>YES</v>
      </c>
      <c r="Q6083" t="str">
        <f t="shared" si="1372"/>
        <v>NO</v>
      </c>
      <c r="R6083" t="str">
        <f t="shared" si="1373"/>
        <v>NO</v>
      </c>
      <c r="S6083">
        <v>147</v>
      </c>
      <c r="T6083" t="s">
        <v>199</v>
      </c>
      <c r="U6083" t="str">
        <f t="shared" ref="U6083:U6087" si="1374">TRIM(PROPER(T6083))</f>
        <v>Brattle St</v>
      </c>
      <c r="W6083" t="str">
        <f t="shared" ref="W6083:W6087" si="1375">TRIM(PROPER(V6083))</f>
        <v/>
      </c>
      <c r="X6083" t="str">
        <f>IF(ISBLANK(S6083),"Intersection","Non-Intersection")</f>
        <v>Non-Intersection</v>
      </c>
      <c r="Y6083" t="s">
        <v>6292</v>
      </c>
      <c r="Z6083" t="str">
        <f t="shared" ref="Z6083:Z6087" si="1376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363"/>
        <v>41275</v>
      </c>
      <c r="D6084" s="4">
        <f t="shared" si="1364"/>
        <v>0.9945205479452055</v>
      </c>
      <c r="E6084" s="3">
        <f t="shared" si="1365"/>
        <v>2013</v>
      </c>
      <c r="F6084" s="3">
        <f t="shared" si="1366"/>
        <v>12</v>
      </c>
      <c r="G6084" s="3">
        <f t="shared" si="1367"/>
        <v>30</v>
      </c>
      <c r="H6084" s="3">
        <f t="shared" si="1368"/>
        <v>8</v>
      </c>
      <c r="I6084" s="3">
        <f t="shared" si="1369"/>
        <v>0</v>
      </c>
      <c r="J6084" s="3">
        <f t="shared" si="1370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371"/>
        <v>YES</v>
      </c>
      <c r="Q6084" t="str">
        <f t="shared" si="1372"/>
        <v>NO</v>
      </c>
      <c r="R6084" t="str">
        <f t="shared" si="1373"/>
        <v>NO</v>
      </c>
      <c r="S6084">
        <v>30</v>
      </c>
      <c r="T6084" t="s">
        <v>15</v>
      </c>
      <c r="U6084" t="str">
        <f t="shared" si="1374"/>
        <v>Rindge Ave</v>
      </c>
      <c r="W6084" t="str">
        <f t="shared" si="1375"/>
        <v/>
      </c>
      <c r="X6084" t="str">
        <f>IF(ISBLANK(S6084),"Intersection","Non-Intersection")</f>
        <v>Non-Intersection</v>
      </c>
      <c r="Y6084" t="s">
        <v>1610</v>
      </c>
      <c r="Z6084" t="str">
        <f t="shared" si="1376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377">IF(OR(N6085="Auto",O6085="Auto"),"YES",IF(OR(N6085="Taxi",O6085="Taxi"),"YES",IF(OR(N6085="Van",O6085="Van"),"YES",IF(OR(N6085="Truck",O6085="Truck"),"YES","NO"))))</f>
        <v>YES</v>
      </c>
      <c r="Q6085" t="str">
        <f t="shared" ref="Q6085:Q6087" si="1378">IF(OR(N6085="Bicycle",O6085="Bicycle"),"YES","NO")</f>
        <v>NO</v>
      </c>
      <c r="R6085" t="str">
        <f t="shared" ref="R6085:R6087" si="1379">IF(OR(N6085="Pedestrian",O6085="Pedestrian"),"YES","NO")</f>
        <v>NO</v>
      </c>
      <c r="T6085" t="s">
        <v>342</v>
      </c>
      <c r="U6085" t="str">
        <f t="shared" si="1374"/>
        <v>Prospect St</v>
      </c>
      <c r="V6085" t="s">
        <v>105</v>
      </c>
      <c r="W6085" t="str">
        <f t="shared" si="1375"/>
        <v>Broadway</v>
      </c>
      <c r="X6085" t="str">
        <f>IF(ISBLANK(S6085),"Intersection","Non-Intersection")</f>
        <v>Intersection</v>
      </c>
      <c r="Y6085" t="s">
        <v>725</v>
      </c>
      <c r="Z6085" t="str">
        <f t="shared" si="1376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377"/>
        <v>YES</v>
      </c>
      <c r="Q6086" t="str">
        <f t="shared" si="1378"/>
        <v>NO</v>
      </c>
      <c r="R6086" t="str">
        <f t="shared" si="1379"/>
        <v>NO</v>
      </c>
      <c r="S6086">
        <v>275</v>
      </c>
      <c r="T6086" t="s">
        <v>710</v>
      </c>
      <c r="U6086" t="str">
        <f t="shared" si="1374"/>
        <v>Fresh Pond Pky</v>
      </c>
      <c r="W6086" t="str">
        <f t="shared" si="1375"/>
        <v/>
      </c>
      <c r="X6086" t="str">
        <f>IF(ISBLANK(S6086),"Intersection","Non-Intersection")</f>
        <v>Non-Intersection</v>
      </c>
      <c r="Y6086" t="s">
        <v>3710</v>
      </c>
      <c r="Z6086" t="str">
        <f t="shared" si="1376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377"/>
        <v>YES</v>
      </c>
      <c r="Q6087" t="str">
        <f t="shared" si="1378"/>
        <v>NO</v>
      </c>
      <c r="R6087" t="str">
        <f t="shared" si="1379"/>
        <v>YES</v>
      </c>
      <c r="T6087" t="s">
        <v>32</v>
      </c>
      <c r="U6087" t="str">
        <f t="shared" si="1374"/>
        <v>Main St</v>
      </c>
      <c r="V6087" t="s">
        <v>79</v>
      </c>
      <c r="W6087" t="str">
        <f t="shared" si="1375"/>
        <v>Ames St</v>
      </c>
      <c r="X6087" t="str">
        <f>IF(ISBLANK(S6087),"Intersection","Non-Intersection")</f>
        <v>Intersection</v>
      </c>
      <c r="Y6087" t="s">
        <v>4050</v>
      </c>
      <c r="Z6087" t="str">
        <f t="shared" si="1376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Heat Map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2015-10-14T17:44:56Z</dcterms:modified>
</cp:coreProperties>
</file>