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8" windowWidth="14352" windowHeight="7380" activeTab="2"/>
  </bookViews>
  <sheets>
    <sheet name="Thống kê" sheetId="3" r:id="rId1"/>
    <sheet name="Đơn hàng" sheetId="2" r:id="rId2"/>
    <sheet name="Giá Gốc" sheetId="1" r:id="rId3"/>
  </sheets>
  <definedNames>
    <definedName name="_xlnm._FilterDatabase" localSheetId="1" hidden="1">'Đơn hàng'!$B$5:$F$5</definedName>
    <definedName name="_xlnm._FilterDatabase" localSheetId="0" hidden="1">'Thống kê'!$B$5:$C$5</definedName>
    <definedName name="_xlnm.Criteria" localSheetId="0">'Thống kê'!$H$5</definedName>
    <definedName name="_xlnm.Extract" localSheetId="0">'Thống kê'!#REF!</definedName>
    <definedName name="_xlnm.Print_Area" localSheetId="2">'Giá Gốc'!$A$1:$L$60</definedName>
  </definedNames>
  <calcPr calcId="144525"/>
</workbook>
</file>

<file path=xl/calcChain.xml><?xml version="1.0" encoding="utf-8"?>
<calcChain xmlns="http://schemas.openxmlformats.org/spreadsheetml/2006/main">
  <c r="U22" i="1" l="1"/>
  <c r="V22" i="1" s="1"/>
  <c r="U36" i="1"/>
  <c r="V36" i="1" s="1"/>
  <c r="U51" i="1"/>
  <c r="V51" i="1" s="1"/>
  <c r="U58" i="1"/>
  <c r="V58" i="1" s="1"/>
  <c r="S22" i="1"/>
  <c r="T22" i="1"/>
  <c r="S36" i="1"/>
  <c r="T36" i="1"/>
  <c r="S51" i="1"/>
  <c r="T51" i="1"/>
  <c r="S58" i="1"/>
  <c r="T5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U21" i="1" s="1"/>
  <c r="M23" i="1"/>
  <c r="U23" i="1" s="1"/>
  <c r="M24" i="1"/>
  <c r="U24" i="1" s="1"/>
  <c r="M25" i="1"/>
  <c r="U25" i="1" s="1"/>
  <c r="M26" i="1"/>
  <c r="U26" i="1" s="1"/>
  <c r="M27" i="1"/>
  <c r="U27" i="1" s="1"/>
  <c r="M28" i="1"/>
  <c r="U28" i="1" s="1"/>
  <c r="M29" i="1"/>
  <c r="U29" i="1" s="1"/>
  <c r="M30" i="1"/>
  <c r="U30" i="1" s="1"/>
  <c r="M31" i="1"/>
  <c r="U31" i="1" s="1"/>
  <c r="M32" i="1"/>
  <c r="U32" i="1" s="1"/>
  <c r="M33" i="1"/>
  <c r="U33" i="1" s="1"/>
  <c r="M34" i="1"/>
  <c r="U34" i="1" s="1"/>
  <c r="M35" i="1"/>
  <c r="U35" i="1" s="1"/>
  <c r="M37" i="1"/>
  <c r="U37" i="1" s="1"/>
  <c r="M38" i="1"/>
  <c r="U38" i="1" s="1"/>
  <c r="M39" i="1"/>
  <c r="U39" i="1" s="1"/>
  <c r="M40" i="1"/>
  <c r="U40" i="1" s="1"/>
  <c r="M41" i="1"/>
  <c r="U41" i="1" s="1"/>
  <c r="M42" i="1"/>
  <c r="U42" i="1" s="1"/>
  <c r="M43" i="1"/>
  <c r="U43" i="1" s="1"/>
  <c r="M44" i="1"/>
  <c r="U44" i="1" s="1"/>
  <c r="M45" i="1"/>
  <c r="U45" i="1" s="1"/>
  <c r="M46" i="1"/>
  <c r="U46" i="1" s="1"/>
  <c r="M47" i="1"/>
  <c r="U47" i="1" s="1"/>
  <c r="M48" i="1"/>
  <c r="U48" i="1" s="1"/>
  <c r="M49" i="1"/>
  <c r="U49" i="1" s="1"/>
  <c r="M50" i="1"/>
  <c r="U50" i="1" s="1"/>
  <c r="M52" i="1"/>
  <c r="U52" i="1" s="1"/>
  <c r="M53" i="1"/>
  <c r="M54" i="1"/>
  <c r="M55" i="1"/>
  <c r="M56" i="1"/>
  <c r="M57" i="1"/>
  <c r="M59" i="1"/>
  <c r="M60" i="1"/>
  <c r="D7" i="1"/>
  <c r="E7" i="1" s="1"/>
  <c r="D8" i="1"/>
  <c r="E8" i="1" s="1"/>
  <c r="D9" i="1"/>
  <c r="E9" i="1" s="1"/>
  <c r="D10" i="1"/>
  <c r="E10" i="1" s="1"/>
  <c r="D11" i="1"/>
  <c r="E11" i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/>
  <c r="D18" i="1"/>
  <c r="E18" i="1"/>
  <c r="D19" i="1"/>
  <c r="E19" i="1" s="1"/>
  <c r="D20" i="1"/>
  <c r="E20" i="1" s="1"/>
  <c r="D21" i="1"/>
  <c r="E21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9" i="1"/>
  <c r="E59" i="1" s="1"/>
  <c r="D60" i="1"/>
  <c r="E60" i="1"/>
  <c r="D62" i="1"/>
  <c r="E62" i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E70" i="1"/>
  <c r="D98" i="1"/>
  <c r="E98" i="1" s="1"/>
  <c r="O26" i="1"/>
  <c r="A8" i="3"/>
  <c r="A9" i="3"/>
  <c r="A10" i="3"/>
  <c r="A11" i="3"/>
  <c r="A12" i="3"/>
  <c r="A13" i="3"/>
  <c r="A14" i="3"/>
  <c r="A15" i="3"/>
  <c r="A16" i="3"/>
  <c r="A17" i="3"/>
  <c r="A18" i="3"/>
  <c r="A19" i="3"/>
  <c r="A20" i="3" s="1"/>
  <c r="A21" i="3" s="1"/>
  <c r="A22" i="3" s="1"/>
  <c r="A23" i="3" s="1"/>
  <c r="A7" i="3"/>
  <c r="E8" i="3"/>
  <c r="E9" i="3"/>
  <c r="E10" i="3"/>
  <c r="E11" i="3"/>
  <c r="E16" i="3"/>
  <c r="E19" i="3"/>
  <c r="E21" i="3"/>
  <c r="E22" i="3"/>
  <c r="E23" i="3"/>
  <c r="B18" i="3"/>
  <c r="C18" i="3"/>
  <c r="B19" i="3"/>
  <c r="C19" i="3"/>
  <c r="K19" i="3"/>
  <c r="B20" i="3"/>
  <c r="K20" i="3" s="1"/>
  <c r="C20" i="3"/>
  <c r="B21" i="3"/>
  <c r="C21" i="3"/>
  <c r="K21" i="3"/>
  <c r="B22" i="3"/>
  <c r="K22" i="3" s="1"/>
  <c r="C22" i="3"/>
  <c r="B23" i="3"/>
  <c r="C23" i="3"/>
  <c r="K23" i="3"/>
  <c r="B7" i="3"/>
  <c r="K7" i="3" s="1"/>
  <c r="C7" i="3"/>
  <c r="B8" i="3"/>
  <c r="C8" i="3"/>
  <c r="K8" i="3"/>
  <c r="B9" i="3"/>
  <c r="K9" i="3" s="1"/>
  <c r="C9" i="3"/>
  <c r="B10" i="3"/>
  <c r="C10" i="3"/>
  <c r="K10" i="3"/>
  <c r="B11" i="3"/>
  <c r="K11" i="3" s="1"/>
  <c r="C11" i="3"/>
  <c r="B12" i="3"/>
  <c r="E12" i="3" s="1"/>
  <c r="C12" i="3"/>
  <c r="K12" i="3"/>
  <c r="B13" i="3"/>
  <c r="K13" i="3" s="1"/>
  <c r="C13" i="3"/>
  <c r="B14" i="3"/>
  <c r="E14" i="3" s="1"/>
  <c r="C14" i="3"/>
  <c r="K14" i="3"/>
  <c r="B15" i="3"/>
  <c r="K15" i="3" s="1"/>
  <c r="C15" i="3"/>
  <c r="B16" i="3"/>
  <c r="C16" i="3"/>
  <c r="K16" i="3"/>
  <c r="B17" i="3"/>
  <c r="K17" i="3" s="1"/>
  <c r="C17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6" i="2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7" i="1"/>
  <c r="O24" i="1"/>
  <c r="O25" i="1"/>
  <c r="O27" i="1"/>
  <c r="O28" i="1"/>
  <c r="O29" i="1"/>
  <c r="O30" i="1"/>
  <c r="O31" i="1"/>
  <c r="O32" i="1"/>
  <c r="O33" i="1"/>
  <c r="O34" i="1"/>
  <c r="O35" i="1"/>
  <c r="O23" i="1"/>
  <c r="P60" i="1"/>
  <c r="N60" i="1" s="1"/>
  <c r="Q60" i="1" s="1"/>
  <c r="P59" i="1"/>
  <c r="N59" i="1" s="1"/>
  <c r="G20" i="2" s="1"/>
  <c r="D20" i="2" s="1"/>
  <c r="P52" i="1"/>
  <c r="N52" i="1" s="1"/>
  <c r="Q52" i="1" s="1"/>
  <c r="P8" i="1"/>
  <c r="N8" i="1" s="1"/>
  <c r="Q8" i="1" s="1"/>
  <c r="P9" i="1"/>
  <c r="N9" i="1" s="1"/>
  <c r="Q9" i="1" s="1"/>
  <c r="P19" i="1"/>
  <c r="P20" i="1"/>
  <c r="P21" i="1"/>
  <c r="N21" i="1" s="1"/>
  <c r="Q21" i="1" s="1"/>
  <c r="P7" i="1"/>
  <c r="N7" i="1" s="1"/>
  <c r="Q7" i="1" s="1"/>
  <c r="P18" i="1" l="1"/>
  <c r="S18" i="1"/>
  <c r="T18" i="1"/>
  <c r="U18" i="1"/>
  <c r="P15" i="1"/>
  <c r="N15" i="1" s="1"/>
  <c r="Q15" i="1" s="1"/>
  <c r="S15" i="1"/>
  <c r="T15" i="1"/>
  <c r="U15" i="1"/>
  <c r="V15" i="1" s="1"/>
  <c r="P13" i="1"/>
  <c r="N13" i="1" s="1"/>
  <c r="Q13" i="1" s="1"/>
  <c r="U13" i="1"/>
  <c r="V13" i="1" s="1"/>
  <c r="S13" i="1"/>
  <c r="T13" i="1"/>
  <c r="P54" i="1"/>
  <c r="N54" i="1" s="1"/>
  <c r="Q54" i="1" s="1"/>
  <c r="T54" i="1"/>
  <c r="U54" i="1"/>
  <c r="V54" i="1" s="1"/>
  <c r="S54" i="1"/>
  <c r="P12" i="1"/>
  <c r="N12" i="1" s="1"/>
  <c r="Q12" i="1" s="1"/>
  <c r="U12" i="1"/>
  <c r="V12" i="1" s="1"/>
  <c r="S12" i="1"/>
  <c r="T12" i="1"/>
  <c r="P55" i="1"/>
  <c r="N55" i="1" s="1"/>
  <c r="Q55" i="1" s="1"/>
  <c r="S55" i="1"/>
  <c r="T55" i="1"/>
  <c r="U55" i="1"/>
  <c r="V55" i="1" s="1"/>
  <c r="P16" i="1"/>
  <c r="N16" i="1" s="1"/>
  <c r="Q16" i="1" s="1"/>
  <c r="S16" i="1"/>
  <c r="T16" i="1"/>
  <c r="U16" i="1"/>
  <c r="V16" i="1" s="1"/>
  <c r="P11" i="1"/>
  <c r="N11" i="1" s="1"/>
  <c r="Q11" i="1" s="1"/>
  <c r="U11" i="1"/>
  <c r="S11" i="1"/>
  <c r="X11" i="1" s="1"/>
  <c r="T11" i="1"/>
  <c r="Y11" i="1" s="1"/>
  <c r="P10" i="1"/>
  <c r="N10" i="1" s="1"/>
  <c r="Q10" i="1" s="1"/>
  <c r="S10" i="1"/>
  <c r="X10" i="1" s="1"/>
  <c r="U10" i="1"/>
  <c r="T10" i="1"/>
  <c r="Y10" i="1" s="1"/>
  <c r="P57" i="1"/>
  <c r="N57" i="1" s="1"/>
  <c r="Q57" i="1" s="1"/>
  <c r="S57" i="1"/>
  <c r="T57" i="1"/>
  <c r="U57" i="1"/>
  <c r="V57" i="1" s="1"/>
  <c r="P53" i="1"/>
  <c r="N53" i="1" s="1"/>
  <c r="Q53" i="1" s="1"/>
  <c r="U53" i="1"/>
  <c r="V53" i="1" s="1"/>
  <c r="S53" i="1"/>
  <c r="T53" i="1"/>
  <c r="P14" i="1"/>
  <c r="N14" i="1" s="1"/>
  <c r="Q14" i="1" s="1"/>
  <c r="T14" i="1"/>
  <c r="U14" i="1"/>
  <c r="V14" i="1" s="1"/>
  <c r="S14" i="1"/>
  <c r="U9" i="1"/>
  <c r="S9" i="1"/>
  <c r="X9" i="1" s="1"/>
  <c r="T9" i="1"/>
  <c r="Y9" i="1" s="1"/>
  <c r="P56" i="1"/>
  <c r="N56" i="1" s="1"/>
  <c r="Q56" i="1" s="1"/>
  <c r="S56" i="1"/>
  <c r="T56" i="1"/>
  <c r="U56" i="1"/>
  <c r="V56" i="1" s="1"/>
  <c r="P17" i="1"/>
  <c r="N17" i="1" s="1"/>
  <c r="Q17" i="1" s="1"/>
  <c r="S17" i="1"/>
  <c r="T17" i="1"/>
  <c r="U17" i="1"/>
  <c r="V17" i="1" s="1"/>
  <c r="U60" i="1"/>
  <c r="V60" i="1" s="1"/>
  <c r="S60" i="1"/>
  <c r="T60" i="1"/>
  <c r="U20" i="1"/>
  <c r="T20" i="1"/>
  <c r="S20" i="1"/>
  <c r="U8" i="1"/>
  <c r="S8" i="1"/>
  <c r="X8" i="1" s="1"/>
  <c r="T8" i="1"/>
  <c r="Y8" i="1" s="1"/>
  <c r="U59" i="1"/>
  <c r="V59" i="1" s="1"/>
  <c r="T59" i="1"/>
  <c r="S59" i="1"/>
  <c r="S19" i="1"/>
  <c r="T19" i="1"/>
  <c r="U19" i="1"/>
  <c r="U7" i="1"/>
  <c r="T7" i="1"/>
  <c r="Y7" i="1" s="1"/>
  <c r="S7" i="1"/>
  <c r="X7" i="1" s="1"/>
  <c r="S43" i="1"/>
  <c r="T43" i="1"/>
  <c r="T30" i="1"/>
  <c r="S30" i="1"/>
  <c r="S31" i="1"/>
  <c r="T31" i="1"/>
  <c r="T40" i="1"/>
  <c r="S40" i="1"/>
  <c r="S27" i="1"/>
  <c r="T27" i="1"/>
  <c r="S39" i="1"/>
  <c r="T39" i="1"/>
  <c r="T26" i="1"/>
  <c r="S26" i="1"/>
  <c r="S41" i="1"/>
  <c r="T41" i="1"/>
  <c r="T50" i="1"/>
  <c r="S50" i="1"/>
  <c r="T38" i="1"/>
  <c r="S38" i="1"/>
  <c r="T25" i="1"/>
  <c r="S25" i="1"/>
  <c r="S28" i="1"/>
  <c r="T28" i="1"/>
  <c r="T49" i="1"/>
  <c r="S49" i="1"/>
  <c r="T37" i="1"/>
  <c r="S37" i="1"/>
  <c r="S24" i="1"/>
  <c r="T24" i="1"/>
  <c r="S48" i="1"/>
  <c r="T48" i="1"/>
  <c r="S35" i="1"/>
  <c r="T35" i="1"/>
  <c r="S23" i="1"/>
  <c r="T23" i="1"/>
  <c r="T42" i="1"/>
  <c r="S42" i="1"/>
  <c r="T29" i="1"/>
  <c r="S29" i="1"/>
  <c r="S47" i="1"/>
  <c r="T47" i="1"/>
  <c r="T34" i="1"/>
  <c r="S34" i="1"/>
  <c r="V21" i="1"/>
  <c r="S21" i="1"/>
  <c r="T21" i="1"/>
  <c r="T44" i="1"/>
  <c r="S44" i="1"/>
  <c r="T46" i="1"/>
  <c r="S46" i="1"/>
  <c r="S33" i="1"/>
  <c r="T33" i="1"/>
  <c r="S45" i="1"/>
  <c r="T45" i="1"/>
  <c r="S32" i="1"/>
  <c r="T32" i="1"/>
  <c r="T52" i="1"/>
  <c r="V52" i="1"/>
  <c r="S52" i="1"/>
  <c r="P40" i="1"/>
  <c r="N40" i="1" s="1"/>
  <c r="Q40" i="1" s="1"/>
  <c r="P30" i="1"/>
  <c r="I17" i="3" s="1"/>
  <c r="P46" i="1"/>
  <c r="N46" i="1" s="1"/>
  <c r="P26" i="1"/>
  <c r="N26" i="1" s="1"/>
  <c r="Q26" i="1" s="1"/>
  <c r="P32" i="1"/>
  <c r="N32" i="1" s="1"/>
  <c r="P44" i="1"/>
  <c r="N44" i="1" s="1"/>
  <c r="Q44" i="1" s="1"/>
  <c r="Q59" i="1"/>
  <c r="G20" i="3"/>
  <c r="K20" i="2"/>
  <c r="P34" i="1"/>
  <c r="I13" i="3" s="1"/>
  <c r="P33" i="1"/>
  <c r="N33" i="1" s="1"/>
  <c r="P29" i="1"/>
  <c r="N29" i="1" s="1"/>
  <c r="P25" i="1"/>
  <c r="N25" i="1" s="1"/>
  <c r="Q25" i="1" s="1"/>
  <c r="P24" i="1"/>
  <c r="N24" i="1" s="1"/>
  <c r="Q24" i="1" s="1"/>
  <c r="P35" i="1"/>
  <c r="N35" i="1" s="1"/>
  <c r="P43" i="1"/>
  <c r="N43" i="1" s="1"/>
  <c r="Q43" i="1" s="1"/>
  <c r="P42" i="1"/>
  <c r="N42" i="1" s="1"/>
  <c r="Q42" i="1" s="1"/>
  <c r="P37" i="1"/>
  <c r="N37" i="1" s="1"/>
  <c r="Q37" i="1" s="1"/>
  <c r="P39" i="1"/>
  <c r="N39" i="1" s="1"/>
  <c r="Q39" i="1" s="1"/>
  <c r="P41" i="1"/>
  <c r="N41" i="1" s="1"/>
  <c r="Q41" i="1" s="1"/>
  <c r="P28" i="1"/>
  <c r="I19" i="3" s="1"/>
  <c r="P38" i="1"/>
  <c r="N38" i="1" s="1"/>
  <c r="Q38" i="1" s="1"/>
  <c r="P27" i="1"/>
  <c r="N27" i="1" s="1"/>
  <c r="Q27" i="1" s="1"/>
  <c r="P49" i="1"/>
  <c r="N49" i="1" s="1"/>
  <c r="G7" i="2" s="1"/>
  <c r="D7" i="2" s="1"/>
  <c r="P48" i="1"/>
  <c r="N48" i="1" s="1"/>
  <c r="G8" i="2" s="1"/>
  <c r="D8" i="2" s="1"/>
  <c r="N19" i="1"/>
  <c r="G22" i="2" s="1"/>
  <c r="D22" i="2" s="1"/>
  <c r="I22" i="3"/>
  <c r="N18" i="1"/>
  <c r="I23" i="3"/>
  <c r="N20" i="1"/>
  <c r="I21" i="3"/>
  <c r="P47" i="1"/>
  <c r="P45" i="1"/>
  <c r="P50" i="1"/>
  <c r="I20" i="3"/>
  <c r="P23" i="1"/>
  <c r="N23" i="1" s="1"/>
  <c r="Q23" i="1" s="1"/>
  <c r="P31" i="1"/>
  <c r="N31" i="1" s="1"/>
  <c r="E7" i="3"/>
  <c r="E18" i="3"/>
  <c r="E15" i="3"/>
  <c r="D20" i="3"/>
  <c r="D7" i="3"/>
  <c r="E13" i="3"/>
  <c r="E20" i="3"/>
  <c r="E17" i="3"/>
  <c r="K18" i="3"/>
  <c r="J56" i="1"/>
  <c r="J57" i="1"/>
  <c r="Z10" i="1" l="1"/>
  <c r="V10" i="1"/>
  <c r="V18" i="1"/>
  <c r="Z7" i="1"/>
  <c r="V7" i="1"/>
  <c r="V20" i="1"/>
  <c r="V19" i="1"/>
  <c r="N30" i="1"/>
  <c r="V30" i="1" s="1"/>
  <c r="Z8" i="1"/>
  <c r="V8" i="1"/>
  <c r="Z11" i="1"/>
  <c r="V11" i="1"/>
  <c r="Z9" i="1"/>
  <c r="V9" i="1"/>
  <c r="V48" i="1"/>
  <c r="V41" i="1"/>
  <c r="V40" i="1"/>
  <c r="I10" i="3"/>
  <c r="V44" i="1"/>
  <c r="V32" i="1"/>
  <c r="V29" i="1"/>
  <c r="V31" i="1"/>
  <c r="V42" i="1"/>
  <c r="V25" i="1"/>
  <c r="V26" i="1"/>
  <c r="V24" i="1"/>
  <c r="V33" i="1"/>
  <c r="V23" i="1"/>
  <c r="V37" i="1"/>
  <c r="V39" i="1"/>
  <c r="V38" i="1"/>
  <c r="V47" i="1"/>
  <c r="V35" i="1"/>
  <c r="V27" i="1"/>
  <c r="V43" i="1"/>
  <c r="V46" i="1"/>
  <c r="V49" i="1"/>
  <c r="I15" i="3"/>
  <c r="G10" i="2"/>
  <c r="D10" i="2" s="1"/>
  <c r="D10" i="3"/>
  <c r="D16" i="3"/>
  <c r="G16" i="2"/>
  <c r="D16" i="2" s="1"/>
  <c r="D23" i="3"/>
  <c r="G23" i="2"/>
  <c r="D23" i="2" s="1"/>
  <c r="D22" i="3"/>
  <c r="D8" i="3"/>
  <c r="N34" i="1"/>
  <c r="G13" i="3" s="1"/>
  <c r="K18" i="2"/>
  <c r="G18" i="2"/>
  <c r="D18" i="2" s="1"/>
  <c r="D18" i="3"/>
  <c r="D15" i="3"/>
  <c r="G15" i="2"/>
  <c r="D15" i="2" s="1"/>
  <c r="G17" i="2"/>
  <c r="D17" i="2" s="1"/>
  <c r="D17" i="3"/>
  <c r="D12" i="3"/>
  <c r="G12" i="2"/>
  <c r="D12" i="2" s="1"/>
  <c r="G21" i="2"/>
  <c r="D21" i="2" s="1"/>
  <c r="D21" i="3"/>
  <c r="D14" i="3"/>
  <c r="G14" i="2"/>
  <c r="D14" i="2" s="1"/>
  <c r="I12" i="3"/>
  <c r="I14" i="3"/>
  <c r="Q29" i="1"/>
  <c r="I8" i="3"/>
  <c r="G18" i="3"/>
  <c r="I7" i="3"/>
  <c r="K22" i="2"/>
  <c r="Q19" i="1"/>
  <c r="K23" i="2"/>
  <c r="Q18" i="1"/>
  <c r="I18" i="3"/>
  <c r="K21" i="2"/>
  <c r="Q20" i="1"/>
  <c r="G16" i="3"/>
  <c r="Q31" i="1"/>
  <c r="K16" i="2"/>
  <c r="N28" i="1"/>
  <c r="V28" i="1" s="1"/>
  <c r="G14" i="3"/>
  <c r="K14" i="2"/>
  <c r="Q33" i="1"/>
  <c r="G17" i="3"/>
  <c r="K17" i="2"/>
  <c r="Q30" i="1"/>
  <c r="G8" i="3"/>
  <c r="Q48" i="1"/>
  <c r="K8" i="2"/>
  <c r="G12" i="3"/>
  <c r="K12" i="2"/>
  <c r="Q35" i="1"/>
  <c r="G7" i="3"/>
  <c r="Q49" i="1"/>
  <c r="K7" i="2"/>
  <c r="G10" i="3"/>
  <c r="Q46" i="1"/>
  <c r="K10" i="2"/>
  <c r="G15" i="3"/>
  <c r="K15" i="2"/>
  <c r="Q32" i="1"/>
  <c r="I9" i="3"/>
  <c r="N47" i="1"/>
  <c r="I11" i="3"/>
  <c r="G21" i="3"/>
  <c r="I16" i="3"/>
  <c r="G23" i="3"/>
  <c r="N45" i="1"/>
  <c r="V45" i="1" s="1"/>
  <c r="G22" i="3"/>
  <c r="I6" i="3"/>
  <c r="N50" i="1"/>
  <c r="G6" i="2" s="1"/>
  <c r="D6" i="2" s="1"/>
  <c r="J24" i="1"/>
  <c r="I35" i="1"/>
  <c r="G35" i="1" s="1"/>
  <c r="V34" i="1" l="1"/>
  <c r="V50" i="1"/>
  <c r="K13" i="2"/>
  <c r="G11" i="2"/>
  <c r="D11" i="2" s="1"/>
  <c r="D11" i="3"/>
  <c r="G9" i="2"/>
  <c r="D9" i="2" s="1"/>
  <c r="D9" i="3"/>
  <c r="G13" i="2"/>
  <c r="D13" i="2" s="1"/>
  <c r="D13" i="3"/>
  <c r="Q34" i="1"/>
  <c r="G19" i="2"/>
  <c r="D19" i="2" s="1"/>
  <c r="D19" i="3"/>
  <c r="G11" i="3"/>
  <c r="K11" i="2"/>
  <c r="Q45" i="1"/>
  <c r="G9" i="3"/>
  <c r="K9" i="2"/>
  <c r="Q47" i="1"/>
  <c r="G19" i="3"/>
  <c r="K19" i="2"/>
  <c r="Q28" i="1"/>
  <c r="G6" i="3"/>
  <c r="K6" i="2"/>
  <c r="Q50" i="1"/>
  <c r="I21" i="1" l="1"/>
  <c r="G21" i="1" s="1"/>
  <c r="J21" i="1" s="1"/>
  <c r="J35" i="1"/>
  <c r="B6" i="3"/>
  <c r="I12" i="2" l="1"/>
  <c r="F12" i="3" s="1"/>
  <c r="J12" i="2"/>
  <c r="E6" i="3"/>
  <c r="D6" i="3"/>
  <c r="C6" i="3"/>
  <c r="L12" i="2" l="1"/>
  <c r="M12" i="2" s="1"/>
  <c r="N12" i="2" s="1"/>
  <c r="H12" i="3"/>
  <c r="J12" i="3"/>
  <c r="L12" i="3" s="1"/>
  <c r="A6" i="2"/>
  <c r="A7" i="2" s="1"/>
  <c r="A8" i="2" s="1"/>
  <c r="A9" i="2" s="1"/>
  <c r="A10" i="2" l="1"/>
  <c r="A11" i="2" l="1"/>
  <c r="J71" i="1"/>
  <c r="J70" i="1"/>
  <c r="J98" i="1"/>
  <c r="J60" i="1"/>
  <c r="J59" i="1"/>
  <c r="J63" i="1"/>
  <c r="J64" i="1"/>
  <c r="J65" i="1"/>
  <c r="J66" i="1"/>
  <c r="J67" i="1"/>
  <c r="J68" i="1"/>
  <c r="J54" i="1"/>
  <c r="J53" i="1"/>
  <c r="I20" i="2" l="1"/>
  <c r="L20" i="2" s="1"/>
  <c r="M20" i="2" s="1"/>
  <c r="N20" i="2" s="1"/>
  <c r="J20" i="2"/>
  <c r="F20" i="3"/>
  <c r="J55" i="1"/>
  <c r="A12" i="2"/>
  <c r="J62" i="1"/>
  <c r="J52" i="1"/>
  <c r="J20" i="3" l="1"/>
  <c r="L20" i="3" s="1"/>
  <c r="H20" i="3"/>
  <c r="A13" i="2"/>
  <c r="I50" i="1"/>
  <c r="G50" i="1" s="1"/>
  <c r="J41" i="1"/>
  <c r="J40" i="1"/>
  <c r="J37" i="1"/>
  <c r="J38" i="1"/>
  <c r="I34" i="1"/>
  <c r="G34" i="1" s="1"/>
  <c r="I33" i="1"/>
  <c r="G33" i="1" s="1"/>
  <c r="I32" i="1"/>
  <c r="G32" i="1" s="1"/>
  <c r="I31" i="1"/>
  <c r="G31" i="1" s="1"/>
  <c r="I30" i="1"/>
  <c r="G30" i="1" s="1"/>
  <c r="I29" i="1"/>
  <c r="G29" i="1" s="1"/>
  <c r="I28" i="1"/>
  <c r="G28" i="1" s="1"/>
  <c r="J27" i="1"/>
  <c r="J26" i="1"/>
  <c r="J25" i="1"/>
  <c r="J23" i="1"/>
  <c r="I12" i="1"/>
  <c r="G12" i="1" s="1"/>
  <c r="J12" i="1" s="1"/>
  <c r="J11" i="1"/>
  <c r="J10" i="1"/>
  <c r="J9" i="1"/>
  <c r="J8" i="1"/>
  <c r="J7" i="1"/>
  <c r="I13" i="1" l="1"/>
  <c r="G13" i="1" s="1"/>
  <c r="J13" i="1" s="1"/>
  <c r="I14" i="1"/>
  <c r="G14" i="1" s="1"/>
  <c r="J14" i="1" s="1"/>
  <c r="I44" i="1"/>
  <c r="G44" i="1" s="1"/>
  <c r="J44" i="1" s="1"/>
  <c r="I20" i="1"/>
  <c r="G20" i="1" s="1"/>
  <c r="I49" i="1"/>
  <c r="G49" i="1" s="1"/>
  <c r="I43" i="1"/>
  <c r="G43" i="1" s="1"/>
  <c r="J43" i="1" s="1"/>
  <c r="J50" i="1"/>
  <c r="I6" i="2" s="1"/>
  <c r="J6" i="2"/>
  <c r="I17" i="1"/>
  <c r="G17" i="1" s="1"/>
  <c r="J17" i="1" s="1"/>
  <c r="I18" i="1"/>
  <c r="G18" i="1" s="1"/>
  <c r="I19" i="1"/>
  <c r="G19" i="1" s="1"/>
  <c r="I42" i="1"/>
  <c r="G42" i="1" s="1"/>
  <c r="J42" i="1" s="1"/>
  <c r="I15" i="1"/>
  <c r="G15" i="1" s="1"/>
  <c r="J15" i="1" s="1"/>
  <c r="I46" i="1"/>
  <c r="G46" i="1" s="1"/>
  <c r="I45" i="1"/>
  <c r="G45" i="1" s="1"/>
  <c r="I47" i="1"/>
  <c r="G47" i="1" s="1"/>
  <c r="I48" i="1"/>
  <c r="G48" i="1" s="1"/>
  <c r="J39" i="1"/>
  <c r="A14" i="2"/>
  <c r="J10" i="2" l="1"/>
  <c r="J8" i="2"/>
  <c r="J7" i="2"/>
  <c r="J9" i="2"/>
  <c r="J19" i="1"/>
  <c r="I22" i="2" s="1"/>
  <c r="L22" i="2" s="1"/>
  <c r="M22" i="2" s="1"/>
  <c r="N22" i="2" s="1"/>
  <c r="J20" i="1"/>
  <c r="I21" i="2" s="1"/>
  <c r="L21" i="2" s="1"/>
  <c r="M21" i="2" s="1"/>
  <c r="N21" i="2" s="1"/>
  <c r="J18" i="1"/>
  <c r="I23" i="2" s="1"/>
  <c r="F23" i="3" s="1"/>
  <c r="J28" i="1"/>
  <c r="J46" i="1"/>
  <c r="I10" i="2" s="1"/>
  <c r="J30" i="1"/>
  <c r="J48" i="1"/>
  <c r="I8" i="2" s="1"/>
  <c r="J47" i="1"/>
  <c r="I9" i="2" s="1"/>
  <c r="J34" i="1"/>
  <c r="J32" i="1"/>
  <c r="J29" i="1"/>
  <c r="J31" i="1"/>
  <c r="I16" i="1"/>
  <c r="G16" i="1" s="1"/>
  <c r="J16" i="1" s="1"/>
  <c r="J49" i="1"/>
  <c r="I7" i="2" s="1"/>
  <c r="J45" i="1"/>
  <c r="I11" i="2" s="1"/>
  <c r="J33" i="1"/>
  <c r="L6" i="2"/>
  <c r="F6" i="3"/>
  <c r="A15" i="2"/>
  <c r="F22" i="3" l="1"/>
  <c r="J22" i="3" s="1"/>
  <c r="L22" i="3" s="1"/>
  <c r="I15" i="2"/>
  <c r="J15" i="2"/>
  <c r="J22" i="2"/>
  <c r="F21" i="3"/>
  <c r="J21" i="3" s="1"/>
  <c r="L21" i="3" s="1"/>
  <c r="I14" i="2"/>
  <c r="L14" i="2" s="1"/>
  <c r="M14" i="2" s="1"/>
  <c r="N14" i="2" s="1"/>
  <c r="J14" i="2"/>
  <c r="L23" i="2"/>
  <c r="M23" i="2" s="1"/>
  <c r="N23" i="2" s="1"/>
  <c r="I17" i="2"/>
  <c r="F17" i="3" s="1"/>
  <c r="J17" i="2"/>
  <c r="J21" i="2"/>
  <c r="I16" i="2"/>
  <c r="L16" i="2" s="1"/>
  <c r="M16" i="2" s="1"/>
  <c r="N16" i="2" s="1"/>
  <c r="J16" i="2"/>
  <c r="I19" i="2"/>
  <c r="J19" i="2"/>
  <c r="I18" i="2"/>
  <c r="L18" i="2" s="1"/>
  <c r="M18" i="2" s="1"/>
  <c r="N18" i="2" s="1"/>
  <c r="J18" i="2"/>
  <c r="I13" i="2"/>
  <c r="L13" i="2" s="1"/>
  <c r="M13" i="2" s="1"/>
  <c r="N13" i="2" s="1"/>
  <c r="J13" i="2"/>
  <c r="J23" i="2"/>
  <c r="J11" i="2"/>
  <c r="J23" i="3"/>
  <c r="L23" i="3" s="1"/>
  <c r="H23" i="3"/>
  <c r="L8" i="2"/>
  <c r="M8" i="2" s="1"/>
  <c r="N8" i="2" s="1"/>
  <c r="F8" i="3"/>
  <c r="F15" i="3"/>
  <c r="L15" i="2"/>
  <c r="M15" i="2" s="1"/>
  <c r="N15" i="2" s="1"/>
  <c r="L11" i="2"/>
  <c r="M11" i="2" s="1"/>
  <c r="N11" i="2" s="1"/>
  <c r="F11" i="3"/>
  <c r="F13" i="3"/>
  <c r="F9" i="3"/>
  <c r="L9" i="2"/>
  <c r="M9" i="2" s="1"/>
  <c r="N9" i="2" s="1"/>
  <c r="F7" i="3"/>
  <c r="L7" i="2"/>
  <c r="M7" i="2" s="1"/>
  <c r="N7" i="2" s="1"/>
  <c r="L10" i="2"/>
  <c r="M10" i="2" s="1"/>
  <c r="N10" i="2" s="1"/>
  <c r="F10" i="3"/>
  <c r="L19" i="2"/>
  <c r="M19" i="2" s="1"/>
  <c r="N19" i="2" s="1"/>
  <c r="F19" i="3"/>
  <c r="J6" i="3"/>
  <c r="L6" i="3" s="1"/>
  <c r="H6" i="3"/>
  <c r="M6" i="2"/>
  <c r="A16" i="2"/>
  <c r="F14" i="3" l="1"/>
  <c r="H14" i="3" s="1"/>
  <c r="H22" i="3"/>
  <c r="F16" i="3"/>
  <c r="J16" i="3" s="1"/>
  <c r="L16" i="3" s="1"/>
  <c r="L17" i="2"/>
  <c r="M17" i="2" s="1"/>
  <c r="N17" i="2" s="1"/>
  <c r="F18" i="3"/>
  <c r="H18" i="3" s="1"/>
  <c r="H21" i="3"/>
  <c r="J7" i="3"/>
  <c r="L7" i="3" s="1"/>
  <c r="H7" i="3"/>
  <c r="J13" i="3"/>
  <c r="L13" i="3" s="1"/>
  <c r="H13" i="3"/>
  <c r="J15" i="3"/>
  <c r="L15" i="3" s="1"/>
  <c r="H15" i="3"/>
  <c r="J19" i="3"/>
  <c r="L19" i="3" s="1"/>
  <c r="H19" i="3"/>
  <c r="J11" i="3"/>
  <c r="L11" i="3" s="1"/>
  <c r="H11" i="3"/>
  <c r="H8" i="3"/>
  <c r="J8" i="3"/>
  <c r="L8" i="3" s="1"/>
  <c r="M25" i="2"/>
  <c r="J10" i="3"/>
  <c r="L10" i="3" s="1"/>
  <c r="H10" i="3"/>
  <c r="J9" i="3"/>
  <c r="L9" i="3" s="1"/>
  <c r="H9" i="3"/>
  <c r="J17" i="3"/>
  <c r="L17" i="3" s="1"/>
  <c r="H17" i="3"/>
  <c r="N6" i="2"/>
  <c r="K6" i="3"/>
  <c r="A17" i="2"/>
  <c r="N25" i="2" l="1"/>
  <c r="L25" i="2"/>
  <c r="J14" i="3"/>
  <c r="L14" i="3" s="1"/>
  <c r="H16" i="3"/>
  <c r="J18" i="3"/>
  <c r="L18" i="3" s="1"/>
  <c r="A18" i="2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<sst xmlns="http://schemas.openxmlformats.org/spreadsheetml/2006/main" count="392" uniqueCount="243">
  <si>
    <t>Tên sản phẩm</t>
  </si>
  <si>
    <t>Product Code</t>
  </si>
  <si>
    <t>Weight (Kg)</t>
  </si>
  <si>
    <t>Type</t>
  </si>
  <si>
    <t>POWDER DESICCANTS</t>
  </si>
  <si>
    <t>Carton</t>
  </si>
  <si>
    <t>P10</t>
  </si>
  <si>
    <t>ACTIVATED CLAY DESICCANTS</t>
  </si>
  <si>
    <t>C10</t>
  </si>
  <si>
    <t>SILICA GEL DESICCANTS</t>
  </si>
  <si>
    <t>Silica gel 1000GR - 3 túi</t>
  </si>
  <si>
    <t>Silica gel 1000GR - 4 túi</t>
  </si>
  <si>
    <t>Silica gel 500GR</t>
  </si>
  <si>
    <t>Silica gel 200GR</t>
  </si>
  <si>
    <t>Silica gel 100GR</t>
  </si>
  <si>
    <t>Silica gel 50GR</t>
  </si>
  <si>
    <t>S10</t>
  </si>
  <si>
    <t>Silica gel 25GR</t>
  </si>
  <si>
    <t>Silica gel 20GR</t>
  </si>
  <si>
    <t>Silica gel 10GR</t>
  </si>
  <si>
    <t>Silica gel 5GR</t>
  </si>
  <si>
    <t>Silica gel 3GR</t>
  </si>
  <si>
    <t>Silica gel 2GR</t>
  </si>
  <si>
    <t>OXYGEN ABSORBER</t>
  </si>
  <si>
    <t>ETHYLENE ABSORBER</t>
  </si>
  <si>
    <t>CAT LITTER</t>
  </si>
  <si>
    <t>ANTI MOLD STICKER &amp; PAPER</t>
  </si>
  <si>
    <t>ACTIVATED ALUMINA</t>
  </si>
  <si>
    <t>ACTIVATED CARBON ABSORBER</t>
  </si>
  <si>
    <t>CALCIUM HYPOCHLORITE 70%</t>
  </si>
  <si>
    <t>RS-09 VCI OIL</t>
  </si>
  <si>
    <t>Oxygen absorber 30cc (35*40)</t>
  </si>
  <si>
    <t>Oxygen absorber 50cc (40*50)</t>
  </si>
  <si>
    <t>Oxygen absorber 100cc (40*60)</t>
  </si>
  <si>
    <t>Oxygen absorber 200cc (50*60)</t>
  </si>
  <si>
    <t>Oxygen absorber 300cc (50*70)</t>
  </si>
  <si>
    <t>Oxygen absorber 500cc (65*75)</t>
  </si>
  <si>
    <t>Activated carbon 2000GR</t>
  </si>
  <si>
    <t>Activated carbon 1000GR</t>
  </si>
  <si>
    <t>Activated carbon 500GR</t>
  </si>
  <si>
    <t>Activated carbon 100GR</t>
  </si>
  <si>
    <t>Activated carbon 50GR</t>
  </si>
  <si>
    <t>Activated carbon 10GR</t>
  </si>
  <si>
    <t>Activated carbon 5GR</t>
  </si>
  <si>
    <t>Ehylene absorber 5GR</t>
  </si>
  <si>
    <t>Ehylene absorber 10GR</t>
  </si>
  <si>
    <t>RS09</t>
  </si>
  <si>
    <t>Dầu chống rỉ sét 20000ML</t>
  </si>
  <si>
    <t>Clay 2000GR</t>
  </si>
  <si>
    <t>Clay 1000GR</t>
  </si>
  <si>
    <t>Clay 500GR</t>
  </si>
  <si>
    <t>Clay 200GR</t>
  </si>
  <si>
    <t>Clay 100GR</t>
  </si>
  <si>
    <t>Clay 50GR</t>
  </si>
  <si>
    <t>Clay 20GR</t>
  </si>
  <si>
    <t>Clay 10GR</t>
  </si>
  <si>
    <t>Clay 5GR</t>
  </si>
  <si>
    <t>Clay 3GR</t>
  </si>
  <si>
    <t>Clay 2GR</t>
  </si>
  <si>
    <t>Powder 2000GR</t>
  </si>
  <si>
    <t>Powder 1000GR - 5 Túi</t>
  </si>
  <si>
    <t>Powder 1000GR - 4 Túi</t>
  </si>
  <si>
    <t>Powder 1000GR - 3 Túi</t>
  </si>
  <si>
    <t>Powder 1000GR</t>
  </si>
  <si>
    <t>Powder 500GR</t>
  </si>
  <si>
    <t>Powder 250GR</t>
  </si>
  <si>
    <t>Powder 200GR</t>
  </si>
  <si>
    <t>Powder 100GR</t>
  </si>
  <si>
    <t>Powder 50GR</t>
  </si>
  <si>
    <t>Powder 25GR</t>
  </si>
  <si>
    <t>Powder 20GR</t>
  </si>
  <si>
    <t>Powder 10GR</t>
  </si>
  <si>
    <t>Powder 5GR</t>
  </si>
  <si>
    <t>Cat litter 5L - sicagel</t>
  </si>
  <si>
    <t>2200GR</t>
  </si>
  <si>
    <t>Cat litter 5L - bentonite</t>
  </si>
  <si>
    <t>CL01</t>
  </si>
  <si>
    <t>CL02</t>
  </si>
  <si>
    <t>4000GR</t>
  </si>
  <si>
    <t>AC01</t>
  </si>
  <si>
    <t>AC02</t>
  </si>
  <si>
    <t>AC03</t>
  </si>
  <si>
    <t>AC04</t>
  </si>
  <si>
    <t>AC05</t>
  </si>
  <si>
    <t>AC06</t>
  </si>
  <si>
    <t>AC07</t>
  </si>
  <si>
    <t>MONMORILLION DESICCANTS</t>
  </si>
  <si>
    <t>MOLECULAR SIEVE</t>
  </si>
  <si>
    <t>STT</t>
  </si>
  <si>
    <t>Ngày tháng</t>
  </si>
  <si>
    <t>Số phiếu</t>
  </si>
  <si>
    <t>Nhà cung cấp</t>
  </si>
  <si>
    <t>Mã sản phẩm</t>
  </si>
  <si>
    <t>ĐVT</t>
  </si>
  <si>
    <t>Số lượng</t>
  </si>
  <si>
    <t>Ghi chú</t>
  </si>
  <si>
    <t>Trọng lượng (Kg)</t>
  </si>
  <si>
    <t>Đơn giá (Kg)</t>
  </si>
  <si>
    <t>NK00001</t>
  </si>
  <si>
    <t>NK00002</t>
  </si>
  <si>
    <t>VAT (10%)</t>
  </si>
  <si>
    <t>TỔNG</t>
  </si>
  <si>
    <t>Giá bán (Kg)</t>
  </si>
  <si>
    <t>NK00003</t>
  </si>
  <si>
    <t>Giá nhập (Kg)</t>
  </si>
  <si>
    <t>Tổng bán (VND)</t>
  </si>
  <si>
    <t>Tổng nhập (VND)</t>
  </si>
  <si>
    <t>Powder 2GR</t>
  </si>
  <si>
    <t>Silica gel 1000GR</t>
  </si>
  <si>
    <t>Clay 1000GR - 4 túi</t>
  </si>
  <si>
    <t>30*30</t>
  </si>
  <si>
    <t>15*100</t>
  </si>
  <si>
    <t>15*80</t>
  </si>
  <si>
    <t>15*60</t>
  </si>
  <si>
    <t>24*30</t>
  </si>
  <si>
    <t>10*17</t>
  </si>
  <si>
    <t>10*12</t>
  </si>
  <si>
    <t>7.5*11</t>
  </si>
  <si>
    <t>7.5*10</t>
  </si>
  <si>
    <t>7.5*7.5</t>
  </si>
  <si>
    <t>7.5*9.0</t>
  </si>
  <si>
    <t>20*30</t>
  </si>
  <si>
    <t>9.0*11</t>
  </si>
  <si>
    <t>9.0*10</t>
  </si>
  <si>
    <t>7.0*9.0</t>
  </si>
  <si>
    <t>5.0*7.0</t>
  </si>
  <si>
    <t>5.0*5.0</t>
  </si>
  <si>
    <t>3.5*5.0</t>
  </si>
  <si>
    <t>3.5*4.0</t>
  </si>
  <si>
    <t>3.5*3.5</t>
  </si>
  <si>
    <t>9.0*14</t>
  </si>
  <si>
    <t>9.0*12</t>
  </si>
  <si>
    <t>7.0*10</t>
  </si>
  <si>
    <t>5.0*8.0</t>
  </si>
  <si>
    <t>4.0*4.0</t>
  </si>
  <si>
    <t>4.0*6.0</t>
  </si>
  <si>
    <t>5.0*6.0</t>
  </si>
  <si>
    <t>6.5*7.5</t>
  </si>
  <si>
    <t>Tùy chỉnh</t>
  </si>
  <si>
    <t>PP Bag</t>
  </si>
  <si>
    <t>Item</t>
  </si>
  <si>
    <t>No.</t>
  </si>
  <si>
    <t>P2K</t>
  </si>
  <si>
    <t>P1K5</t>
  </si>
  <si>
    <t>P1K4</t>
  </si>
  <si>
    <t>P1K3</t>
  </si>
  <si>
    <t>P1K</t>
  </si>
  <si>
    <t>P500</t>
  </si>
  <si>
    <t>P250</t>
  </si>
  <si>
    <t>P200</t>
  </si>
  <si>
    <t>P100</t>
  </si>
  <si>
    <t>P50</t>
  </si>
  <si>
    <t>P20</t>
  </si>
  <si>
    <t>P5</t>
  </si>
  <si>
    <t>C2K</t>
  </si>
  <si>
    <t>C1K4</t>
  </si>
  <si>
    <t>C1K</t>
  </si>
  <si>
    <t>C500</t>
  </si>
  <si>
    <t>C200</t>
  </si>
  <si>
    <t>C100</t>
  </si>
  <si>
    <t>C50</t>
  </si>
  <si>
    <t>C20</t>
  </si>
  <si>
    <t>C5</t>
  </si>
  <si>
    <t>C3</t>
  </si>
  <si>
    <t>C2</t>
  </si>
  <si>
    <t>C1</t>
  </si>
  <si>
    <t>S1K4</t>
  </si>
  <si>
    <t>S1K3</t>
  </si>
  <si>
    <t>S1K</t>
  </si>
  <si>
    <t>S500</t>
  </si>
  <si>
    <t>S200</t>
  </si>
  <si>
    <t>S100</t>
  </si>
  <si>
    <t>S50</t>
  </si>
  <si>
    <t>S25</t>
  </si>
  <si>
    <t>S20</t>
  </si>
  <si>
    <t>S5</t>
  </si>
  <si>
    <t>S3</t>
  </si>
  <si>
    <t>S2</t>
  </si>
  <si>
    <t>S1</t>
  </si>
  <si>
    <t>OA30</t>
  </si>
  <si>
    <t>OA50</t>
  </si>
  <si>
    <t>OA100</t>
  </si>
  <si>
    <t>OA200</t>
  </si>
  <si>
    <t>OA300</t>
  </si>
  <si>
    <t>OA500</t>
  </si>
  <si>
    <t>EA5</t>
  </si>
  <si>
    <t>EA10</t>
  </si>
  <si>
    <t>P25</t>
  </si>
  <si>
    <t>P2</t>
  </si>
  <si>
    <t>Weight (gram)</t>
  </si>
  <si>
    <t>Weight 
(Unit)</t>
  </si>
  <si>
    <t>Size Unit
(cm)</t>
  </si>
  <si>
    <t>Size Pocket (cm)</t>
  </si>
  <si>
    <t>Quantity
(Box)</t>
  </si>
  <si>
    <t>Quantity (Pocket)</t>
  </si>
  <si>
    <t>32*35</t>
  </si>
  <si>
    <t>18*44</t>
  </si>
  <si>
    <t>21*35</t>
  </si>
  <si>
    <t>16*30</t>
  </si>
  <si>
    <t>20*31</t>
  </si>
  <si>
    <t>35*35</t>
  </si>
  <si>
    <t>30cc</t>
  </si>
  <si>
    <t>50cc</t>
  </si>
  <si>
    <t>100cc</t>
  </si>
  <si>
    <t>200cc</t>
  </si>
  <si>
    <t>300cc</t>
  </si>
  <si>
    <t>500cc</t>
  </si>
  <si>
    <t>Profit</t>
  </si>
  <si>
    <t>Sale Price</t>
  </si>
  <si>
    <t>23*30</t>
  </si>
  <si>
    <t>Cost</t>
  </si>
  <si>
    <t>Số lượng (unit)</t>
  </si>
  <si>
    <t>Thành tiền</t>
  </si>
  <si>
    <t>NK00004</t>
  </si>
  <si>
    <t>NK00005</t>
  </si>
  <si>
    <t>NK00006</t>
  </si>
  <si>
    <t>NK00007</t>
  </si>
  <si>
    <t>NK00008</t>
  </si>
  <si>
    <t>NK00009</t>
  </si>
  <si>
    <t>NK00010</t>
  </si>
  <si>
    <t>NK00011</t>
  </si>
  <si>
    <t>NK00012</t>
  </si>
  <si>
    <t>NK00013</t>
  </si>
  <si>
    <t>NK00014</t>
  </si>
  <si>
    <t>NK00015</t>
  </si>
  <si>
    <t>NK00016</t>
  </si>
  <si>
    <t>NK00017</t>
  </si>
  <si>
    <t>NK00018</t>
  </si>
  <si>
    <t>Vat</t>
  </si>
  <si>
    <t>Tổng</t>
  </si>
  <si>
    <t>THỐNG KÊ</t>
  </si>
  <si>
    <t>Silica gel 1,2GR</t>
  </si>
  <si>
    <t>Clay 1,4GR</t>
  </si>
  <si>
    <t>Rate</t>
  </si>
  <si>
    <t>Note</t>
  </si>
  <si>
    <t>Chưa bao gồm chi phí sản xuất</t>
  </si>
  <si>
    <t>EWX (Kg)</t>
  </si>
  <si>
    <t>525kg</t>
  </si>
  <si>
    <t>1100kg</t>
  </si>
  <si>
    <t>6000kg</t>
  </si>
  <si>
    <t>VND</t>
  </si>
  <si>
    <t>Price (Kg)</t>
  </si>
  <si>
    <t>CHÍNH SÁCH GIÁ ĐẠI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</si>
</sst>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6" fontId="0" fillId="0" borderId="0" xfId="1" applyNumberFormat="1" applyFont="1"/>
    <xf numFmtId="0" fontId="0" fillId="0" borderId="0" xfId="0" applyAlignment="1"/>
    <xf numFmtId="0" fontId="0" fillId="2" borderId="1" xfId="0" applyFill="1" applyBorder="1"/>
    <xf numFmtId="1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0" fillId="2" borderId="1" xfId="1" applyNumberFormat="1" applyFont="1" applyFill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1" applyNumberFormat="1" applyFont="1" applyFill="1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166" fontId="0" fillId="0" borderId="0" xfId="1" applyNumberFormat="1" applyFon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/>
    <xf numFmtId="166" fontId="0" fillId="2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14" fontId="0" fillId="0" borderId="1" xfId="0" applyNumberFormat="1" applyFill="1" applyBorder="1"/>
    <xf numFmtId="166" fontId="0" fillId="0" borderId="1" xfId="1" applyNumberFormat="1" applyFont="1" applyFill="1" applyBorder="1"/>
    <xf numFmtId="166" fontId="5" fillId="0" borderId="0" xfId="1" applyNumberFormat="1" applyFont="1"/>
    <xf numFmtId="164" fontId="0" fillId="0" borderId="1" xfId="1" applyNumberFormat="1" applyFont="1" applyFill="1" applyBorder="1" applyAlignment="1">
      <alignment horizontal="right" vertical="center"/>
    </xf>
    <xf numFmtId="9" fontId="0" fillId="0" borderId="1" xfId="2" applyFont="1" applyBorder="1"/>
    <xf numFmtId="0" fontId="2" fillId="0" borderId="0" xfId="0" applyFont="1" applyBorder="1" applyAlignment="1">
      <alignment horizontal="center" vertical="center"/>
    </xf>
    <xf numFmtId="167" fontId="0" fillId="0" borderId="0" xfId="0" applyNumberFormat="1"/>
    <xf numFmtId="166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166" fontId="2" fillId="0" borderId="3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8" sqref="H8"/>
    </sheetView>
  </sheetViews>
  <sheetFormatPr defaultRowHeight="14.4" x14ac:dyDescent="0.3"/>
  <cols>
    <col min="1" max="1" width="4" bestFit="1" customWidth="1"/>
    <col min="2" max="2" width="5.88671875" customWidth="1"/>
    <col min="3" max="3" width="19.5546875" customWidth="1"/>
    <col min="4" max="4" width="6.88671875" bestFit="1" customWidth="1"/>
    <col min="5" max="5" width="6.109375" bestFit="1" customWidth="1"/>
    <col min="6" max="6" width="6.6640625" style="10" bestFit="1" customWidth="1"/>
    <col min="7" max="7" width="9.44140625" style="10" hidden="1" customWidth="1"/>
    <col min="8" max="8" width="13.88671875" style="10" bestFit="1" customWidth="1"/>
    <col min="9" max="9" width="9" style="10" hidden="1" customWidth="1"/>
    <col min="10" max="10" width="13.88671875" style="10" bestFit="1" customWidth="1"/>
    <col min="11" max="11" width="10.44140625" style="10" bestFit="1" customWidth="1"/>
    <col min="12" max="12" width="11.44140625" style="10" bestFit="1" customWidth="1"/>
    <col min="13" max="13" width="19.109375" customWidth="1"/>
  </cols>
  <sheetData>
    <row r="1" spans="1:13" x14ac:dyDescent="0.3">
      <c r="A1" s="56" t="s">
        <v>230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5" spans="1:13" s="15" customFormat="1" ht="46.5" customHeight="1" x14ac:dyDescent="0.3">
      <c r="A5" s="14" t="s">
        <v>88</v>
      </c>
      <c r="B5" s="14" t="s">
        <v>92</v>
      </c>
      <c r="C5" s="14" t="s">
        <v>0</v>
      </c>
      <c r="D5" s="14" t="s">
        <v>93</v>
      </c>
      <c r="E5" s="14" t="s">
        <v>94</v>
      </c>
      <c r="F5" s="16" t="s">
        <v>96</v>
      </c>
      <c r="G5" s="16" t="s">
        <v>104</v>
      </c>
      <c r="H5" s="16" t="s">
        <v>106</v>
      </c>
      <c r="I5" s="16" t="s">
        <v>102</v>
      </c>
      <c r="J5" s="16" t="s">
        <v>105</v>
      </c>
      <c r="K5" s="16" t="s">
        <v>100</v>
      </c>
      <c r="L5" s="16" t="s">
        <v>101</v>
      </c>
      <c r="M5" s="14" t="s">
        <v>95</v>
      </c>
    </row>
    <row r="6" spans="1:13" s="8" customFormat="1" x14ac:dyDescent="0.3">
      <c r="A6" s="6">
        <v>1</v>
      </c>
      <c r="B6" s="48" t="str">
        <f>'Đơn hàng'!E6</f>
        <v>S1</v>
      </c>
      <c r="C6" s="6" t="str">
        <f>IFERROR(VLOOKUP(B6,'Giá Gốc'!$B$7:$K$98,2,0),"")</f>
        <v>Silica gel 1,2GR</v>
      </c>
      <c r="D6" s="6" t="str">
        <f>IFERROR(VLOOKUP(B6,'Giá Gốc'!$B$7:$P$98,10,0),"")</f>
        <v>PP Bag</v>
      </c>
      <c r="E6" s="6">
        <f>SUMIF('Đơn hàng'!$E:$E,B6,'Đơn hàng'!H:H)</f>
        <v>1</v>
      </c>
      <c r="F6" s="49">
        <f>SUMIF('Đơn hàng'!$E:$E,B6,'Đơn hàng'!I:I)</f>
        <v>10.0008</v>
      </c>
      <c r="G6" s="49">
        <f>IFERROR(VLOOKUP(B6,'Giá Gốc'!$B$7:$P$98,13,0),"")</f>
        <v>48900</v>
      </c>
      <c r="H6" s="49">
        <f>IF(E6&gt;0,G6*F6,"")</f>
        <v>489039.12</v>
      </c>
      <c r="I6" s="49">
        <f>IFERROR(VLOOKUP(B6,'Giá Gốc'!$B$7:$P$98,15,0),"")</f>
        <v>900</v>
      </c>
      <c r="J6" s="49">
        <f>IF(B6="","",ROUNDUP(I6*F6,-2))</f>
        <v>9100</v>
      </c>
      <c r="K6" s="49" t="e">
        <f>SUMIF('Đơn hàng'!$E:$E,B6,'Đơn hàng'!#REF!)</f>
        <v>#REF!</v>
      </c>
      <c r="L6" s="49" t="e">
        <f t="shared" ref="L6:L15" si="0">SUM(J6:K6)</f>
        <v>#REF!</v>
      </c>
      <c r="M6" s="6"/>
    </row>
    <row r="7" spans="1:13" s="8" customFormat="1" x14ac:dyDescent="0.3">
      <c r="A7" s="6">
        <f>A6+1</f>
        <v>2</v>
      </c>
      <c r="B7" s="48" t="str">
        <f>'Đơn hàng'!E7</f>
        <v>S2</v>
      </c>
      <c r="C7" s="6" t="str">
        <f>IFERROR(VLOOKUP(B7,'Giá Gốc'!$B$7:$K$98,2,0),"")</f>
        <v>Silica gel 2GR</v>
      </c>
      <c r="D7" s="6" t="str">
        <f>IFERROR(VLOOKUP(B7,'Giá Gốc'!$B$7:$P$98,10,0),"")</f>
        <v>PP Bag</v>
      </c>
      <c r="E7" s="6">
        <f>SUMIF('Đơn hàng'!$E:$E,B7,'Đơn hàng'!H:H)</f>
        <v>1</v>
      </c>
      <c r="F7" s="49">
        <f>SUMIF('Đơn hàng'!$E:$E,B7,'Đơn hàng'!I:I)</f>
        <v>25</v>
      </c>
      <c r="G7" s="49">
        <f>IFERROR(VLOOKUP(B7,'Giá Gốc'!$B$7:$P$98,13,0),"")</f>
        <v>48900</v>
      </c>
      <c r="H7" s="49">
        <f t="shared" ref="H7:H23" si="1">IF(E7&gt;0,G7*F7,"")</f>
        <v>1222500</v>
      </c>
      <c r="I7" s="49">
        <f>IFERROR(VLOOKUP(B7,'Giá Gốc'!$B$7:$P$98,15,0),"")</f>
        <v>900</v>
      </c>
      <c r="J7" s="49">
        <f t="shared" ref="J7:J23" si="2">IF(B7="","",ROUNDUP(I7*F7,-2))</f>
        <v>22500</v>
      </c>
      <c r="K7" s="49" t="e">
        <f>SUMIF('Đơn hàng'!$E:$E,B7,'Đơn hàng'!#REF!)</f>
        <v>#REF!</v>
      </c>
      <c r="L7" s="49" t="e">
        <f t="shared" si="0"/>
        <v>#REF!</v>
      </c>
      <c r="M7" s="6"/>
    </row>
    <row r="8" spans="1:13" s="8" customFormat="1" x14ac:dyDescent="0.3">
      <c r="A8" s="6">
        <f t="shared" ref="A8:A23" si="3">A7+1</f>
        <v>3</v>
      </c>
      <c r="B8" s="48" t="str">
        <f>'Đơn hàng'!E8</f>
        <v>S3</v>
      </c>
      <c r="C8" s="6" t="str">
        <f>IFERROR(VLOOKUP(B8,'Giá Gốc'!$B$7:$K$98,2,0),"")</f>
        <v>Silica gel 3GR</v>
      </c>
      <c r="D8" s="6" t="str">
        <f>IFERROR(VLOOKUP(B8,'Giá Gốc'!$B$7:$P$98,10,0),"")</f>
        <v>PP Bag</v>
      </c>
      <c r="E8" s="6">
        <f>SUMIF('Đơn hàng'!$E:$E,B8,'Đơn hàng'!H:H)</f>
        <v>1</v>
      </c>
      <c r="F8" s="49">
        <f>SUMIF('Đơn hàng'!$E:$E,B8,'Đơn hàng'!I:I)</f>
        <v>25.001999999999999</v>
      </c>
      <c r="G8" s="49">
        <f>IFERROR(VLOOKUP(B8,'Giá Gốc'!$B$7:$P$98,13,0),"")</f>
        <v>48900</v>
      </c>
      <c r="H8" s="49">
        <f t="shared" si="1"/>
        <v>1222597.8</v>
      </c>
      <c r="I8" s="49">
        <f>IFERROR(VLOOKUP(B8,'Giá Gốc'!$B$7:$P$98,15,0),"")</f>
        <v>900</v>
      </c>
      <c r="J8" s="49">
        <f t="shared" si="2"/>
        <v>22600</v>
      </c>
      <c r="K8" s="49" t="e">
        <f>SUMIF('Đơn hàng'!$E:$E,B8,'Đơn hàng'!#REF!)</f>
        <v>#REF!</v>
      </c>
      <c r="L8" s="49" t="e">
        <f t="shared" si="0"/>
        <v>#REF!</v>
      </c>
      <c r="M8" s="6"/>
    </row>
    <row r="9" spans="1:13" s="8" customFormat="1" x14ac:dyDescent="0.3">
      <c r="A9" s="6">
        <f t="shared" si="3"/>
        <v>4</v>
      </c>
      <c r="B9" s="48" t="str">
        <f>'Đơn hàng'!E9</f>
        <v>S5</v>
      </c>
      <c r="C9" s="6" t="str">
        <f>IFERROR(VLOOKUP(B9,'Giá Gốc'!$B$7:$K$98,2,0),"")</f>
        <v>Silica gel 5GR</v>
      </c>
      <c r="D9" s="6" t="str">
        <f>IFERROR(VLOOKUP(B9,'Giá Gốc'!$B$7:$P$98,10,0),"")</f>
        <v>PP Bag</v>
      </c>
      <c r="E9" s="6">
        <f>SUMIF('Đơn hàng'!$E:$E,B9,'Đơn hàng'!H:H)</f>
        <v>1</v>
      </c>
      <c r="F9" s="49">
        <f>SUMIF('Đơn hàng'!$E:$E,B9,'Đơn hàng'!I:I)</f>
        <v>25</v>
      </c>
      <c r="G9" s="49">
        <f>IFERROR(VLOOKUP(B9,'Giá Gốc'!$B$7:$P$98,13,0),"")</f>
        <v>44970</v>
      </c>
      <c r="H9" s="49">
        <f t="shared" si="1"/>
        <v>1124250</v>
      </c>
      <c r="I9" s="49">
        <f>IFERROR(VLOOKUP(B9,'Giá Gốc'!$B$7:$P$98,15,0),"")</f>
        <v>970</v>
      </c>
      <c r="J9" s="49">
        <f t="shared" si="2"/>
        <v>24300</v>
      </c>
      <c r="K9" s="49" t="e">
        <f>SUMIF('Đơn hàng'!$E:$E,B9,'Đơn hàng'!#REF!)</f>
        <v>#REF!</v>
      </c>
      <c r="L9" s="49" t="e">
        <f t="shared" si="0"/>
        <v>#REF!</v>
      </c>
      <c r="M9" s="6"/>
    </row>
    <row r="10" spans="1:13" s="8" customFormat="1" x14ac:dyDescent="0.3">
      <c r="A10" s="6">
        <f t="shared" si="3"/>
        <v>5</v>
      </c>
      <c r="B10" s="48" t="str">
        <f>'Đơn hàng'!E10</f>
        <v>S10</v>
      </c>
      <c r="C10" s="6" t="str">
        <f>IFERROR(VLOOKUP(B10,'Giá Gốc'!$B$7:$K$98,2,0),"")</f>
        <v>Silica gel 10GR</v>
      </c>
      <c r="D10" s="6" t="str">
        <f>IFERROR(VLOOKUP(B10,'Giá Gốc'!$B$7:$P$98,10,0),"")</f>
        <v>PP Bag</v>
      </c>
      <c r="E10" s="6">
        <f>SUMIF('Đơn hàng'!$E:$E,B10,'Đơn hàng'!H:H)</f>
        <v>1</v>
      </c>
      <c r="F10" s="49">
        <f>SUMIF('Đơn hàng'!$E:$E,B10,'Đơn hàng'!I:I)</f>
        <v>30</v>
      </c>
      <c r="G10" s="49">
        <f>IFERROR(VLOOKUP(B10,'Giá Gốc'!$B$7:$P$98,13,0),"")</f>
        <v>44970</v>
      </c>
      <c r="H10" s="49">
        <f t="shared" si="1"/>
        <v>1349100</v>
      </c>
      <c r="I10" s="49">
        <f>IFERROR(VLOOKUP(B10,'Giá Gốc'!$B$7:$P$98,15,0),"")</f>
        <v>970</v>
      </c>
      <c r="J10" s="49">
        <f t="shared" si="2"/>
        <v>29100</v>
      </c>
      <c r="K10" s="49" t="e">
        <f>SUMIF('Đơn hàng'!$E:$E,B10,'Đơn hàng'!#REF!)</f>
        <v>#REF!</v>
      </c>
      <c r="L10" s="49" t="e">
        <f t="shared" si="0"/>
        <v>#REF!</v>
      </c>
      <c r="M10" s="6"/>
    </row>
    <row r="11" spans="1:13" s="8" customFormat="1" x14ac:dyDescent="0.3">
      <c r="A11" s="6">
        <f t="shared" si="3"/>
        <v>6</v>
      </c>
      <c r="B11" s="48" t="str">
        <f>'Đơn hàng'!E11</f>
        <v>S20</v>
      </c>
      <c r="C11" s="6" t="str">
        <f>IFERROR(VLOOKUP(B11,'Giá Gốc'!$B$7:$K$98,2,0),"")</f>
        <v>Silica gel 20GR</v>
      </c>
      <c r="D11" s="6" t="str">
        <f>IFERROR(VLOOKUP(B11,'Giá Gốc'!$B$7:$P$98,10,0),"")</f>
        <v>PP Bag</v>
      </c>
      <c r="E11" s="6">
        <f>SUMIF('Đơn hàng'!$E:$E,B11,'Đơn hàng'!H:H)</f>
        <v>1</v>
      </c>
      <c r="F11" s="49">
        <f>SUMIF('Đơn hàng'!$E:$E,B11,'Đơn hàng'!I:I)</f>
        <v>30</v>
      </c>
      <c r="G11" s="49">
        <f>IFERROR(VLOOKUP(B11,'Giá Gốc'!$B$7:$P$98,13,0),"")</f>
        <v>43010</v>
      </c>
      <c r="H11" s="49">
        <f t="shared" si="1"/>
        <v>1290300</v>
      </c>
      <c r="I11" s="49">
        <f>IFERROR(VLOOKUP(B11,'Giá Gốc'!$B$7:$P$98,15,0),"")</f>
        <v>1010</v>
      </c>
      <c r="J11" s="49">
        <f t="shared" si="2"/>
        <v>30300</v>
      </c>
      <c r="K11" s="49" t="e">
        <f>SUMIF('Đơn hàng'!$E:$E,B11,'Đơn hàng'!#REF!)</f>
        <v>#REF!</v>
      </c>
      <c r="L11" s="49" t="e">
        <f t="shared" si="0"/>
        <v>#REF!</v>
      </c>
      <c r="M11" s="6"/>
    </row>
    <row r="12" spans="1:13" s="8" customFormat="1" x14ac:dyDescent="0.3">
      <c r="A12" s="6">
        <f t="shared" si="3"/>
        <v>7</v>
      </c>
      <c r="B12" s="48" t="str">
        <f>'Đơn hàng'!E12</f>
        <v>C1</v>
      </c>
      <c r="C12" s="6" t="str">
        <f>IFERROR(VLOOKUP(B12,'Giá Gốc'!$B$7:$K$98,2,0),"")</f>
        <v>Clay 1,4GR</v>
      </c>
      <c r="D12" s="6" t="str">
        <f>IFERROR(VLOOKUP(B12,'Giá Gốc'!$B$7:$P$98,10,0),"")</f>
        <v>PP Bag</v>
      </c>
      <c r="E12" s="6">
        <f>SUMIF('Đơn hàng'!$E:$E,B12,'Đơn hàng'!H:H)</f>
        <v>1</v>
      </c>
      <c r="F12" s="49">
        <f>SUMIF('Đơn hàng'!$E:$E,B12,'Đơn hàng'!I:I)</f>
        <v>20.000399999999999</v>
      </c>
      <c r="G12" s="49">
        <f>IFERROR(VLOOKUP(B12,'Giá Gốc'!$B$7:$P$98,13,0),"")</f>
        <v>33540</v>
      </c>
      <c r="H12" s="49">
        <f t="shared" si="1"/>
        <v>670813.41599999997</v>
      </c>
      <c r="I12" s="49">
        <f>IFERROR(VLOOKUP(B12,'Giá Gốc'!$B$7:$P$98,15,0),"")</f>
        <v>540</v>
      </c>
      <c r="J12" s="49">
        <f t="shared" si="2"/>
        <v>10900</v>
      </c>
      <c r="K12" s="49" t="e">
        <f>SUMIF('Đơn hàng'!$E:$E,B12,'Đơn hàng'!#REF!)</f>
        <v>#REF!</v>
      </c>
      <c r="L12" s="49" t="e">
        <f t="shared" si="0"/>
        <v>#REF!</v>
      </c>
      <c r="M12" s="6"/>
    </row>
    <row r="13" spans="1:13" s="8" customFormat="1" x14ac:dyDescent="0.3">
      <c r="A13" s="6">
        <f t="shared" si="3"/>
        <v>8</v>
      </c>
      <c r="B13" s="48" t="str">
        <f>'Đơn hàng'!E13</f>
        <v>C2</v>
      </c>
      <c r="C13" s="6" t="str">
        <f>IFERROR(VLOOKUP(B13,'Giá Gốc'!$B$7:$K$98,2,0),"")</f>
        <v>Clay 2GR</v>
      </c>
      <c r="D13" s="6" t="str">
        <f>IFERROR(VLOOKUP(B13,'Giá Gốc'!$B$7:$P$98,10,0),"")</f>
        <v>PP Bag</v>
      </c>
      <c r="E13" s="6">
        <f>SUMIF('Đơn hàng'!$E:$E,B13,'Đơn hàng'!H:H)</f>
        <v>1</v>
      </c>
      <c r="F13" s="49">
        <f>SUMIF('Đơn hàng'!$E:$E,B13,'Đơn hàng'!I:I)</f>
        <v>18</v>
      </c>
      <c r="G13" s="49">
        <f>IFERROR(VLOOKUP(B13,'Giá Gốc'!$B$7:$P$98,13,0),"")</f>
        <v>33540</v>
      </c>
      <c r="H13" s="49">
        <f t="shared" si="1"/>
        <v>603720</v>
      </c>
      <c r="I13" s="49">
        <f>IFERROR(VLOOKUP(B13,'Giá Gốc'!$B$7:$P$98,15,0),"")</f>
        <v>540</v>
      </c>
      <c r="J13" s="49">
        <f t="shared" si="2"/>
        <v>9800</v>
      </c>
      <c r="K13" s="49" t="e">
        <f>SUMIF('Đơn hàng'!$E:$E,B13,'Đơn hàng'!#REF!)</f>
        <v>#REF!</v>
      </c>
      <c r="L13" s="49" t="e">
        <f t="shared" si="0"/>
        <v>#REF!</v>
      </c>
      <c r="M13" s="6"/>
    </row>
    <row r="14" spans="1:13" s="8" customFormat="1" x14ac:dyDescent="0.3">
      <c r="A14" s="6">
        <f t="shared" si="3"/>
        <v>9</v>
      </c>
      <c r="B14" s="48" t="str">
        <f>'Đơn hàng'!E14</f>
        <v>C3</v>
      </c>
      <c r="C14" s="6" t="str">
        <f>IFERROR(VLOOKUP(B14,'Giá Gốc'!$B$7:$K$98,2,0),"")</f>
        <v>Clay 3GR</v>
      </c>
      <c r="D14" s="6" t="str">
        <f>IFERROR(VLOOKUP(B14,'Giá Gốc'!$B$7:$P$98,10,0),"")</f>
        <v>PP Bag</v>
      </c>
      <c r="E14" s="6">
        <f>SUMIF('Đơn hàng'!$E:$E,B14,'Đơn hàng'!H:H)</f>
        <v>1</v>
      </c>
      <c r="F14" s="49">
        <f>SUMIF('Đơn hàng'!$E:$E,B14,'Đơn hàng'!I:I)</f>
        <v>18</v>
      </c>
      <c r="G14" s="49">
        <f>IFERROR(VLOOKUP(B14,'Giá Gốc'!$B$7:$P$98,13,0),"")</f>
        <v>33540</v>
      </c>
      <c r="H14" s="49">
        <f t="shared" si="1"/>
        <v>603720</v>
      </c>
      <c r="I14" s="49">
        <f>IFERROR(VLOOKUP(B14,'Giá Gốc'!$B$7:$P$98,15,0),"")</f>
        <v>540</v>
      </c>
      <c r="J14" s="49">
        <f t="shared" si="2"/>
        <v>9800</v>
      </c>
      <c r="K14" s="49" t="e">
        <f>SUMIF('Đơn hàng'!$E:$E,B14,'Đơn hàng'!#REF!)</f>
        <v>#REF!</v>
      </c>
      <c r="L14" s="49" t="e">
        <f t="shared" si="0"/>
        <v>#REF!</v>
      </c>
      <c r="M14" s="6"/>
    </row>
    <row r="15" spans="1:13" s="8" customFormat="1" x14ac:dyDescent="0.3">
      <c r="A15" s="6">
        <f t="shared" si="3"/>
        <v>10</v>
      </c>
      <c r="B15" s="48" t="str">
        <f>'Đơn hàng'!E15</f>
        <v>C5</v>
      </c>
      <c r="C15" s="6" t="str">
        <f>IFERROR(VLOOKUP(B15,'Giá Gốc'!$B$7:$K$98,2,0),"")</f>
        <v>Clay 5GR</v>
      </c>
      <c r="D15" s="6" t="str">
        <f>IFERROR(VLOOKUP(B15,'Giá Gốc'!$B$7:$P$98,10,0),"")</f>
        <v>PP Bag</v>
      </c>
      <c r="E15" s="6">
        <f>SUMIF('Đơn hàng'!$E:$E,B15,'Đơn hàng'!H:H)</f>
        <v>1</v>
      </c>
      <c r="F15" s="49">
        <f>SUMIF('Đơn hàng'!$E:$E,B15,'Đơn hàng'!I:I)</f>
        <v>18</v>
      </c>
      <c r="G15" s="49">
        <f>IFERROR(VLOOKUP(B15,'Giá Gốc'!$B$7:$P$98,13,0),"")</f>
        <v>22940</v>
      </c>
      <c r="H15" s="49">
        <f t="shared" si="1"/>
        <v>412920</v>
      </c>
      <c r="I15" s="49">
        <f>IFERROR(VLOOKUP(B15,'Giá Gốc'!$B$7:$P$98,15,0),"")</f>
        <v>940</v>
      </c>
      <c r="J15" s="49">
        <f t="shared" si="2"/>
        <v>17000</v>
      </c>
      <c r="K15" s="49" t="e">
        <f>SUMIF('Đơn hàng'!$E:$E,B15,'Đơn hàng'!#REF!)</f>
        <v>#REF!</v>
      </c>
      <c r="L15" s="49" t="e">
        <f t="shared" si="0"/>
        <v>#REF!</v>
      </c>
      <c r="M15" s="6"/>
    </row>
    <row r="16" spans="1:13" s="8" customFormat="1" x14ac:dyDescent="0.3">
      <c r="A16" s="6">
        <f t="shared" si="3"/>
        <v>11</v>
      </c>
      <c r="B16" s="48" t="str">
        <f>'Đơn hàng'!E16</f>
        <v>C10</v>
      </c>
      <c r="C16" s="6" t="str">
        <f>IFERROR(VLOOKUP(B16,'Giá Gốc'!$B$7:$K$98,2,0),"")</f>
        <v>Clay 10GR</v>
      </c>
      <c r="D16" s="6" t="str">
        <f>IFERROR(VLOOKUP(B16,'Giá Gốc'!$B$7:$P$98,10,0),"")</f>
        <v>PP Bag</v>
      </c>
      <c r="E16" s="6">
        <f>SUMIF('Đơn hàng'!$E:$E,B16,'Đơn hàng'!H:H)</f>
        <v>1</v>
      </c>
      <c r="F16" s="49">
        <f>SUMIF('Đơn hàng'!$E:$E,B16,'Đơn hàng'!I:I)</f>
        <v>21</v>
      </c>
      <c r="G16" s="49">
        <f>IFERROR(VLOOKUP(B16,'Giá Gốc'!$B$7:$P$98,13,0),"")</f>
        <v>22940</v>
      </c>
      <c r="H16" s="49">
        <f t="shared" si="1"/>
        <v>481740</v>
      </c>
      <c r="I16" s="49">
        <f>IFERROR(VLOOKUP(B16,'Giá Gốc'!$B$7:$P$98,15,0),"")</f>
        <v>940</v>
      </c>
      <c r="J16" s="49">
        <f t="shared" si="2"/>
        <v>19800</v>
      </c>
      <c r="K16" s="49" t="e">
        <f>SUMIF('Đơn hàng'!$E:$E,B16,'Đơn hàng'!#REF!)</f>
        <v>#REF!</v>
      </c>
      <c r="L16" s="49" t="e">
        <f>SUM(J16:K16)</f>
        <v>#REF!</v>
      </c>
      <c r="M16" s="6"/>
    </row>
    <row r="17" spans="1:13" s="8" customFormat="1" x14ac:dyDescent="0.3">
      <c r="A17" s="6">
        <f t="shared" si="3"/>
        <v>12</v>
      </c>
      <c r="B17" s="48" t="str">
        <f>'Đơn hàng'!E17</f>
        <v>C20</v>
      </c>
      <c r="C17" s="6" t="str">
        <f>IFERROR(VLOOKUP(B17,'Giá Gốc'!$B$7:$K$98,2,0),"")</f>
        <v>Clay 20GR</v>
      </c>
      <c r="D17" s="6" t="str">
        <f>IFERROR(VLOOKUP(B17,'Giá Gốc'!$B$7:$P$98,10,0),"")</f>
        <v>PP Bag</v>
      </c>
      <c r="E17" s="6">
        <f>SUMIF('Đơn hàng'!$E:$E,B17,'Đơn hàng'!H:H)</f>
        <v>1</v>
      </c>
      <c r="F17" s="49">
        <f>SUMIF('Đơn hàng'!$E:$E,B17,'Đơn hàng'!I:I)</f>
        <v>24</v>
      </c>
      <c r="G17" s="49">
        <f>IFERROR(VLOOKUP(B17,'Giá Gốc'!$B$7:$P$98,13,0),"")</f>
        <v>21010</v>
      </c>
      <c r="H17" s="49">
        <f t="shared" si="1"/>
        <v>504240</v>
      </c>
      <c r="I17" s="49">
        <f>IFERROR(VLOOKUP(B17,'Giá Gốc'!$B$7:$P$98,15,0),"")</f>
        <v>1010</v>
      </c>
      <c r="J17" s="49">
        <f t="shared" si="2"/>
        <v>24300</v>
      </c>
      <c r="K17" s="49" t="e">
        <f>SUMIF('Đơn hàng'!$E:$E,B17,'Đơn hàng'!#REF!)</f>
        <v>#REF!</v>
      </c>
      <c r="L17" s="49" t="e">
        <f>SUM(J17:K17)</f>
        <v>#REF!</v>
      </c>
      <c r="M17" s="6"/>
    </row>
    <row r="18" spans="1:13" s="8" customFormat="1" x14ac:dyDescent="0.3">
      <c r="A18" s="6">
        <f t="shared" si="3"/>
        <v>13</v>
      </c>
      <c r="B18" s="48" t="str">
        <f>'Đơn hàng'!E18</f>
        <v>C50</v>
      </c>
      <c r="C18" s="6" t="str">
        <f>IFERROR(VLOOKUP(B18,'Giá Gốc'!$B$7:$K$98,2,0),"")</f>
        <v>Clay 50GR</v>
      </c>
      <c r="D18" s="6" t="str">
        <f>IFERROR(VLOOKUP(B18,'Giá Gốc'!$B$7:$P$98,10,0),"")</f>
        <v>PP Bag</v>
      </c>
      <c r="E18" s="6">
        <f>SUMIF('Đơn hàng'!$E:$E,B18,'Đơn hàng'!H:H)</f>
        <v>1</v>
      </c>
      <c r="F18" s="49">
        <f>SUMIF('Đơn hàng'!$E:$E,B18,'Đơn hàng'!I:I)</f>
        <v>24</v>
      </c>
      <c r="G18" s="49">
        <f>IFERROR(VLOOKUP(B18,'Giá Gốc'!$B$7:$P$98,13,0),"")</f>
        <v>21010</v>
      </c>
      <c r="H18" s="49">
        <f t="shared" si="1"/>
        <v>504240</v>
      </c>
      <c r="I18" s="49">
        <f>IFERROR(VLOOKUP(B18,'Giá Gốc'!$B$7:$P$98,15,0),"")</f>
        <v>1010</v>
      </c>
      <c r="J18" s="49">
        <f t="shared" si="2"/>
        <v>24300</v>
      </c>
      <c r="K18" s="49" t="e">
        <f>SUMIF('Đơn hàng'!$E:$E,B18,'Đơn hàng'!#REF!)</f>
        <v>#REF!</v>
      </c>
      <c r="L18" s="49" t="e">
        <f t="shared" ref="L18:L23" si="4">SUM(J18:K18)</f>
        <v>#REF!</v>
      </c>
      <c r="M18" s="6"/>
    </row>
    <row r="19" spans="1:13" s="8" customFormat="1" x14ac:dyDescent="0.3">
      <c r="A19" s="6">
        <f t="shared" si="3"/>
        <v>14</v>
      </c>
      <c r="B19" s="48" t="str">
        <f>'Đơn hàng'!E19</f>
        <v>C100</v>
      </c>
      <c r="C19" s="6" t="str">
        <f>IFERROR(VLOOKUP(B19,'Giá Gốc'!$B$7:$K$98,2,0),"")</f>
        <v>Clay 100GR</v>
      </c>
      <c r="D19" s="6" t="str">
        <f>IFERROR(VLOOKUP(B19,'Giá Gốc'!$B$7:$P$98,10,0),"")</f>
        <v>PP Bag</v>
      </c>
      <c r="E19" s="6">
        <f>SUMIF('Đơn hàng'!$E:$E,B19,'Đơn hàng'!H:H)</f>
        <v>1</v>
      </c>
      <c r="F19" s="49">
        <f>SUMIF('Đơn hàng'!$E:$E,B19,'Đơn hàng'!I:I)</f>
        <v>24</v>
      </c>
      <c r="G19" s="49">
        <f>IFERROR(VLOOKUP(B19,'Giá Gốc'!$B$7:$P$98,13,0),"")</f>
        <v>21010</v>
      </c>
      <c r="H19" s="49">
        <f t="shared" si="1"/>
        <v>504240</v>
      </c>
      <c r="I19" s="49">
        <f>IFERROR(VLOOKUP(B19,'Giá Gốc'!$B$7:$P$98,15,0),"")</f>
        <v>1010</v>
      </c>
      <c r="J19" s="49">
        <f t="shared" si="2"/>
        <v>24300</v>
      </c>
      <c r="K19" s="49" t="e">
        <f>SUMIF('Đơn hàng'!$E:$E,B19,'Đơn hàng'!#REF!)</f>
        <v>#REF!</v>
      </c>
      <c r="L19" s="49" t="e">
        <f t="shared" si="4"/>
        <v>#REF!</v>
      </c>
      <c r="M19" s="6"/>
    </row>
    <row r="20" spans="1:13" s="8" customFormat="1" x14ac:dyDescent="0.3">
      <c r="A20" s="6">
        <f t="shared" si="3"/>
        <v>15</v>
      </c>
      <c r="B20" s="48" t="str">
        <f>'Đơn hàng'!E20</f>
        <v>EA5</v>
      </c>
      <c r="C20" s="6" t="str">
        <f>IFERROR(VLOOKUP(B20,'Giá Gốc'!$B$7:$K$98,2,0),"")</f>
        <v>Ehylene absorber 5GR</v>
      </c>
      <c r="D20" s="6" t="str">
        <f>IFERROR(VLOOKUP(B20,'Giá Gốc'!$B$7:$P$98,10,0),"")</f>
        <v>Carton</v>
      </c>
      <c r="E20" s="6">
        <f>SUMIF('Đơn hàng'!$E:$E,B20,'Đơn hàng'!H:H)</f>
        <v>1</v>
      </c>
      <c r="F20" s="49">
        <f>SUMIF('Đơn hàng'!$E:$E,B20,'Đơn hàng'!I:I)</f>
        <v>12</v>
      </c>
      <c r="G20" s="49">
        <f>IFERROR(VLOOKUP(B20,'Giá Gốc'!$B$7:$P$98,13,0),"")</f>
        <v>28880</v>
      </c>
      <c r="H20" s="49">
        <f t="shared" si="1"/>
        <v>346560</v>
      </c>
      <c r="I20" s="49">
        <f>IFERROR(VLOOKUP(B20,'Giá Gốc'!$B$7:$P$98,15,0),"")</f>
        <v>4679.9999999999973</v>
      </c>
      <c r="J20" s="49">
        <f t="shared" si="2"/>
        <v>56200</v>
      </c>
      <c r="K20" s="49" t="e">
        <f>SUMIF('Đơn hàng'!$E:$E,B20,'Đơn hàng'!#REF!)</f>
        <v>#REF!</v>
      </c>
      <c r="L20" s="49" t="e">
        <f t="shared" si="4"/>
        <v>#REF!</v>
      </c>
      <c r="M20" s="6"/>
    </row>
    <row r="21" spans="1:13" s="8" customFormat="1" x14ac:dyDescent="0.3">
      <c r="A21" s="6">
        <f t="shared" si="3"/>
        <v>16</v>
      </c>
      <c r="B21" s="48" t="str">
        <f>'Đơn hàng'!E21</f>
        <v>P5</v>
      </c>
      <c r="C21" s="6" t="str">
        <f>IFERROR(VLOOKUP(B21,'Giá Gốc'!$B$7:$K$98,2,0),"")</f>
        <v>Powder 5GR</v>
      </c>
      <c r="D21" s="6" t="str">
        <f>IFERROR(VLOOKUP(B21,'Giá Gốc'!$B$7:$P$98,10,0),"")</f>
        <v>Carton</v>
      </c>
      <c r="E21" s="6">
        <f>SUMIF('Đơn hàng'!$E:$E,B21,'Đơn hàng'!H:H)</f>
        <v>1</v>
      </c>
      <c r="F21" s="49">
        <f>SUMIF('Đơn hàng'!$E:$E,B21,'Đơn hàng'!I:I)</f>
        <v>10</v>
      </c>
      <c r="G21" s="49">
        <f>IFERROR(VLOOKUP(B21,'Giá Gốc'!$B$7:$P$98,13,0),"")</f>
        <v>41440</v>
      </c>
      <c r="H21" s="49">
        <f t="shared" si="1"/>
        <v>414400</v>
      </c>
      <c r="I21" s="49">
        <f>IFERROR(VLOOKUP(B21,'Giá Gốc'!$B$7:$P$98,15,0),"")</f>
        <v>19440</v>
      </c>
      <c r="J21" s="49">
        <f t="shared" si="2"/>
        <v>194400</v>
      </c>
      <c r="K21" s="49" t="e">
        <f>SUMIF('Đơn hàng'!$E:$E,B21,'Đơn hàng'!#REF!)</f>
        <v>#REF!</v>
      </c>
      <c r="L21" s="49" t="e">
        <f t="shared" si="4"/>
        <v>#REF!</v>
      </c>
      <c r="M21" s="6"/>
    </row>
    <row r="22" spans="1:13" s="8" customFormat="1" x14ac:dyDescent="0.3">
      <c r="A22" s="6">
        <f t="shared" si="3"/>
        <v>17</v>
      </c>
      <c r="B22" s="48" t="str">
        <f>'Đơn hàng'!E22</f>
        <v>P10</v>
      </c>
      <c r="C22" s="6" t="str">
        <f>IFERROR(VLOOKUP(B22,'Giá Gốc'!$B$7:$K$98,2,0),"")</f>
        <v>Powder 10GR</v>
      </c>
      <c r="D22" s="6" t="str">
        <f>IFERROR(VLOOKUP(B22,'Giá Gốc'!$B$7:$P$98,10,0),"")</f>
        <v>Carton</v>
      </c>
      <c r="E22" s="6">
        <f>SUMIF('Đơn hàng'!$E:$E,B22,'Đơn hàng'!H:H)</f>
        <v>1</v>
      </c>
      <c r="F22" s="49">
        <f>SUMIF('Đơn hàng'!$E:$E,B22,'Đơn hàng'!I:I)</f>
        <v>10</v>
      </c>
      <c r="G22" s="49">
        <f>IFERROR(VLOOKUP(B22,'Giá Gốc'!$B$7:$P$98,13,0),"")</f>
        <v>34720</v>
      </c>
      <c r="H22" s="49">
        <f t="shared" si="1"/>
        <v>347200</v>
      </c>
      <c r="I22" s="49">
        <f>IFERROR(VLOOKUP(B22,'Giá Gốc'!$B$7:$P$98,15,0),"")</f>
        <v>12720</v>
      </c>
      <c r="J22" s="49">
        <f t="shared" si="2"/>
        <v>127200</v>
      </c>
      <c r="K22" s="49" t="e">
        <f>SUMIF('Đơn hàng'!$E:$E,B22,'Đơn hàng'!#REF!)</f>
        <v>#REF!</v>
      </c>
      <c r="L22" s="49" t="e">
        <f t="shared" si="4"/>
        <v>#REF!</v>
      </c>
      <c r="M22" s="6"/>
    </row>
    <row r="23" spans="1:13" s="8" customFormat="1" x14ac:dyDescent="0.3">
      <c r="A23" s="6">
        <f t="shared" si="3"/>
        <v>18</v>
      </c>
      <c r="B23" s="48" t="str">
        <f>'Đơn hàng'!E23</f>
        <v>P20</v>
      </c>
      <c r="C23" s="6" t="str">
        <f>IFERROR(VLOOKUP(B23,'Giá Gốc'!$B$7:$K$98,2,0),"")</f>
        <v>Powder 20GR</v>
      </c>
      <c r="D23" s="6" t="str">
        <f>IFERROR(VLOOKUP(B23,'Giá Gốc'!$B$7:$P$98,10,0),"")</f>
        <v>Carton</v>
      </c>
      <c r="E23" s="6">
        <f>SUMIF('Đơn hàng'!$E:$E,B23,'Đơn hàng'!H:H)</f>
        <v>1</v>
      </c>
      <c r="F23" s="49">
        <f>SUMIF('Đơn hàng'!$E:$E,B23,'Đơn hàng'!I:I)</f>
        <v>10</v>
      </c>
      <c r="G23" s="49">
        <f>IFERROR(VLOOKUP(B23,'Giá Gốc'!$B$7:$P$98,13,0),"")</f>
        <v>32800</v>
      </c>
      <c r="H23" s="49">
        <f t="shared" si="1"/>
        <v>328000</v>
      </c>
      <c r="I23" s="49">
        <f>IFERROR(VLOOKUP(B23,'Giá Gốc'!$B$7:$P$98,15,0),"")</f>
        <v>10800</v>
      </c>
      <c r="J23" s="49">
        <f t="shared" si="2"/>
        <v>108000</v>
      </c>
      <c r="K23" s="49" t="e">
        <f>SUMIF('Đơn hàng'!$E:$E,B23,'Đơn hàng'!#REF!)</f>
        <v>#REF!</v>
      </c>
      <c r="L23" s="49" t="e">
        <f t="shared" si="4"/>
        <v>#REF!</v>
      </c>
      <c r="M23" s="6"/>
    </row>
    <row r="24" spans="1:13" s="8" customFormat="1" x14ac:dyDescent="0.3">
      <c r="F24" s="20"/>
      <c r="G24" s="20"/>
      <c r="H24" s="20"/>
      <c r="I24" s="20"/>
      <c r="J24" s="20"/>
      <c r="K24" s="20"/>
      <c r="L24" s="20"/>
    </row>
  </sheetData>
  <mergeCells count="1">
    <mergeCell ref="A1:M2"/>
  </mergeCells>
  <conditionalFormatting sqref="A6:A23">
    <cfRule type="expression" dxfId="1" priority="2">
      <formula>#REF!=TRUE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5"/>
  <sheetViews>
    <sheetView workbookViewId="0">
      <selection activeCell="F27" sqref="F27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8.88671875" customWidth="1"/>
    <col min="4" max="4" width="7.5546875" customWidth="1"/>
    <col min="5" max="5" width="5.88671875" customWidth="1"/>
    <col min="6" max="6" width="24.5546875" customWidth="1"/>
    <col min="7" max="7" width="12" customWidth="1"/>
    <col min="8" max="8" width="8.6640625" bestFit="1" customWidth="1"/>
    <col min="9" max="9" width="11.44140625" bestFit="1" customWidth="1"/>
    <col min="10" max="10" width="12" style="10" customWidth="1"/>
    <col min="11" max="11" width="10.6640625" style="10" customWidth="1"/>
    <col min="12" max="12" width="12" style="10" customWidth="1"/>
    <col min="13" max="13" width="11.21875" style="10" bestFit="1" customWidth="1"/>
    <col min="14" max="14" width="11.21875" style="10" customWidth="1"/>
    <col min="15" max="15" width="11" bestFit="1" customWidth="1"/>
  </cols>
  <sheetData>
    <row r="5" spans="1:15" s="15" customFormat="1" ht="46.5" customHeight="1" x14ac:dyDescent="0.3">
      <c r="A5" s="14" t="s">
        <v>88</v>
      </c>
      <c r="B5" s="14" t="s">
        <v>89</v>
      </c>
      <c r="C5" s="14" t="s">
        <v>90</v>
      </c>
      <c r="D5" s="14" t="s">
        <v>91</v>
      </c>
      <c r="E5" s="41" t="s">
        <v>92</v>
      </c>
      <c r="F5" s="14" t="s">
        <v>0</v>
      </c>
      <c r="G5" s="14" t="s">
        <v>93</v>
      </c>
      <c r="H5" s="45" t="s">
        <v>94</v>
      </c>
      <c r="I5" s="44" t="s">
        <v>96</v>
      </c>
      <c r="J5" s="16" t="s">
        <v>211</v>
      </c>
      <c r="K5" s="16" t="s">
        <v>97</v>
      </c>
      <c r="L5" s="16" t="s">
        <v>212</v>
      </c>
      <c r="M5" s="16" t="s">
        <v>228</v>
      </c>
      <c r="N5" s="16" t="s">
        <v>229</v>
      </c>
      <c r="O5" s="14" t="s">
        <v>95</v>
      </c>
    </row>
    <row r="6" spans="1:15" x14ac:dyDescent="0.3">
      <c r="A6" s="3">
        <f>IF($B6=COUNTA($B6),0,1)</f>
        <v>1</v>
      </c>
      <c r="B6" s="13">
        <v>44780</v>
      </c>
      <c r="C6" s="13" t="s">
        <v>98</v>
      </c>
      <c r="D6" s="3" t="str">
        <f>IF(G6="PP Bag","TM","SX")</f>
        <v>TM</v>
      </c>
      <c r="E6" s="3" t="s">
        <v>178</v>
      </c>
      <c r="F6" s="3" t="str">
        <f>IFERROR(VLOOKUP(E6,'Giá Gốc'!$B$7:$P$98,2,0),"")</f>
        <v>Silica gel 1,2GR</v>
      </c>
      <c r="G6" s="3" t="str">
        <f>IFERROR(VLOOKUP(E6,'Giá Gốc'!$B$7:$P$98,10,0),"")</f>
        <v>PP Bag</v>
      </c>
      <c r="H6" s="3">
        <v>1</v>
      </c>
      <c r="I6" s="47">
        <f>IFERROR(VLOOKUP(E6,'Giá Gốc'!$B$7:$P$98,9,0),"")*H6</f>
        <v>10.0008</v>
      </c>
      <c r="J6" s="5">
        <f>IFERROR(VLOOKUP(E6,'Giá Gốc'!$B$7:$P$98,6,0),"")*H6</f>
        <v>8334</v>
      </c>
      <c r="K6" s="5">
        <f>IFERROR(VLOOKUP(E6,'Giá Gốc'!$B$7:$P$98,13,0),"")</f>
        <v>48900</v>
      </c>
      <c r="L6" s="5">
        <f>K6*I6</f>
        <v>489039.12</v>
      </c>
      <c r="M6" s="5">
        <f>L6*10%</f>
        <v>48903.912000000004</v>
      </c>
      <c r="N6" s="5">
        <f>L6+M6</f>
        <v>537943.03200000001</v>
      </c>
      <c r="O6" s="3"/>
    </row>
    <row r="7" spans="1:15" s="8" customFormat="1" x14ac:dyDescent="0.3">
      <c r="A7" s="3">
        <f>IF($B7=COUNTA($B7),0,A6+1)</f>
        <v>2</v>
      </c>
      <c r="B7" s="13">
        <v>44780</v>
      </c>
      <c r="C7" s="13" t="s">
        <v>99</v>
      </c>
      <c r="D7" s="3" t="str">
        <f t="shared" ref="D7:D23" si="0">IF(G7="PP Bag","TM","SX")</f>
        <v>TM</v>
      </c>
      <c r="E7" s="3" t="s">
        <v>177</v>
      </c>
      <c r="F7" s="3" t="str">
        <f>IFERROR(VLOOKUP(E7,'Giá Gốc'!$B$7:$P$98,2,0),"")</f>
        <v>Silica gel 2GR</v>
      </c>
      <c r="G7" s="3" t="str">
        <f>IFERROR(VLOOKUP(E7,'Giá Gốc'!$B$7:$P$98,10,0),"")</f>
        <v>PP Bag</v>
      </c>
      <c r="H7" s="3">
        <v>1</v>
      </c>
      <c r="I7" s="47">
        <f>IFERROR(VLOOKUP(E7,'Giá Gốc'!$B$7:$P$98,9,0),"")*H7</f>
        <v>25</v>
      </c>
      <c r="J7" s="5">
        <f>IFERROR(VLOOKUP(E7,'Giá Gốc'!$B$7:$P$98,6,0),"")*H7</f>
        <v>12500</v>
      </c>
      <c r="K7" s="5">
        <f>IFERROR(VLOOKUP(E7,'Giá Gốc'!$B$7:$P$98,13,0),"")</f>
        <v>48900</v>
      </c>
      <c r="L7" s="5">
        <f t="shared" ref="L7:L23" si="1">K7*I7</f>
        <v>1222500</v>
      </c>
      <c r="M7" s="5">
        <f t="shared" ref="M7:M23" si="2">L7*10%</f>
        <v>122250</v>
      </c>
      <c r="N7" s="5">
        <f t="shared" ref="N7:N23" si="3">L7+M7</f>
        <v>1344750</v>
      </c>
      <c r="O7" s="3"/>
    </row>
    <row r="8" spans="1:15" s="8" customFormat="1" x14ac:dyDescent="0.3">
      <c r="A8" s="3">
        <f t="shared" ref="A8:A23" si="4">IF($B8=COUNTA($B8),0,A7+1)</f>
        <v>3</v>
      </c>
      <c r="B8" s="13">
        <v>44780</v>
      </c>
      <c r="C8" s="13" t="s">
        <v>103</v>
      </c>
      <c r="D8" s="3" t="str">
        <f t="shared" si="0"/>
        <v>TM</v>
      </c>
      <c r="E8" s="3" t="s">
        <v>176</v>
      </c>
      <c r="F8" s="3" t="str">
        <f>IFERROR(VLOOKUP(E8,'Giá Gốc'!$B$7:$P$98,2,0),"")</f>
        <v>Silica gel 3GR</v>
      </c>
      <c r="G8" s="3" t="str">
        <f>IFERROR(VLOOKUP(E8,'Giá Gốc'!$B$7:$P$98,10,0),"")</f>
        <v>PP Bag</v>
      </c>
      <c r="H8" s="3">
        <v>1</v>
      </c>
      <c r="I8" s="47">
        <f>IFERROR(VLOOKUP(E8,'Giá Gốc'!$B$7:$P$98,9,0),"")*H8</f>
        <v>25.001999999999999</v>
      </c>
      <c r="J8" s="5">
        <f>IFERROR(VLOOKUP(E8,'Giá Gốc'!$B$7:$P$98,6,0),"")*H8</f>
        <v>8334</v>
      </c>
      <c r="K8" s="5">
        <f>IFERROR(VLOOKUP(E8,'Giá Gốc'!$B$7:$P$98,13,0),"")</f>
        <v>48900</v>
      </c>
      <c r="L8" s="5">
        <f t="shared" si="1"/>
        <v>1222597.8</v>
      </c>
      <c r="M8" s="5">
        <f t="shared" si="2"/>
        <v>122259.78000000001</v>
      </c>
      <c r="N8" s="5">
        <f t="shared" si="3"/>
        <v>1344857.58</v>
      </c>
      <c r="O8" s="3"/>
    </row>
    <row r="9" spans="1:15" s="8" customFormat="1" x14ac:dyDescent="0.3">
      <c r="A9" s="3">
        <f t="shared" si="4"/>
        <v>4</v>
      </c>
      <c r="B9" s="13">
        <v>44780</v>
      </c>
      <c r="C9" s="13" t="s">
        <v>213</v>
      </c>
      <c r="D9" s="3" t="str">
        <f t="shared" si="0"/>
        <v>TM</v>
      </c>
      <c r="E9" s="3" t="s">
        <v>175</v>
      </c>
      <c r="F9" s="3" t="str">
        <f>IFERROR(VLOOKUP(E9,'Giá Gốc'!$B$7:$P$98,2,0),"")</f>
        <v>Silica gel 5GR</v>
      </c>
      <c r="G9" s="3" t="str">
        <f>IFERROR(VLOOKUP(E9,'Giá Gốc'!$B$7:$P$98,10,0),"")</f>
        <v>PP Bag</v>
      </c>
      <c r="H9" s="3">
        <v>1</v>
      </c>
      <c r="I9" s="47">
        <f>IFERROR(VLOOKUP(E9,'Giá Gốc'!$B$7:$P$98,9,0),"")*H9</f>
        <v>25</v>
      </c>
      <c r="J9" s="5">
        <f>IFERROR(VLOOKUP(E9,'Giá Gốc'!$B$7:$P$98,6,0),"")*H9</f>
        <v>5000</v>
      </c>
      <c r="K9" s="5">
        <f>IFERROR(VLOOKUP(E9,'Giá Gốc'!$B$7:$P$98,13,0),"")</f>
        <v>44970</v>
      </c>
      <c r="L9" s="5">
        <f t="shared" si="1"/>
        <v>1124250</v>
      </c>
      <c r="M9" s="5">
        <f t="shared" si="2"/>
        <v>112425</v>
      </c>
      <c r="N9" s="5">
        <f t="shared" si="3"/>
        <v>1236675</v>
      </c>
      <c r="O9" s="3"/>
    </row>
    <row r="10" spans="1:15" x14ac:dyDescent="0.3">
      <c r="A10" s="3">
        <f t="shared" si="4"/>
        <v>5</v>
      </c>
      <c r="B10" s="13">
        <v>44780</v>
      </c>
      <c r="C10" s="13" t="s">
        <v>214</v>
      </c>
      <c r="D10" s="3" t="str">
        <f t="shared" si="0"/>
        <v>TM</v>
      </c>
      <c r="E10" s="3" t="s">
        <v>16</v>
      </c>
      <c r="F10" s="3" t="str">
        <f>IFERROR(VLOOKUP(E10,'Giá Gốc'!$B$7:$P$98,2,0),"")</f>
        <v>Silica gel 10GR</v>
      </c>
      <c r="G10" s="3" t="str">
        <f>IFERROR(VLOOKUP(E10,'Giá Gốc'!$B$7:$P$98,10,0),"")</f>
        <v>PP Bag</v>
      </c>
      <c r="H10" s="3">
        <v>1</v>
      </c>
      <c r="I10" s="47">
        <f>IFERROR(VLOOKUP(E10,'Giá Gốc'!$B$7:$P$98,9,0),"")*H10</f>
        <v>30</v>
      </c>
      <c r="J10" s="5">
        <f>IFERROR(VLOOKUP(E10,'Giá Gốc'!$B$7:$P$98,6,0),"")*H10</f>
        <v>3000</v>
      </c>
      <c r="K10" s="5">
        <f>IFERROR(VLOOKUP(E10,'Giá Gốc'!$B$7:$P$98,13,0),"")</f>
        <v>44970</v>
      </c>
      <c r="L10" s="5">
        <f t="shared" si="1"/>
        <v>1349100</v>
      </c>
      <c r="M10" s="5">
        <f t="shared" si="2"/>
        <v>134910</v>
      </c>
      <c r="N10" s="5">
        <f t="shared" si="3"/>
        <v>1484010</v>
      </c>
      <c r="O10" s="3"/>
    </row>
    <row r="11" spans="1:15" x14ac:dyDescent="0.3">
      <c r="A11" s="3">
        <f t="shared" si="4"/>
        <v>6</v>
      </c>
      <c r="B11" s="13">
        <v>44780</v>
      </c>
      <c r="C11" s="13" t="s">
        <v>215</v>
      </c>
      <c r="D11" s="3" t="str">
        <f t="shared" si="0"/>
        <v>TM</v>
      </c>
      <c r="E11" s="3" t="s">
        <v>174</v>
      </c>
      <c r="F11" s="3" t="str">
        <f>IFERROR(VLOOKUP(E11,'Giá Gốc'!$B$7:$P$98,2,0),"")</f>
        <v>Silica gel 20GR</v>
      </c>
      <c r="G11" s="3" t="str">
        <f>IFERROR(VLOOKUP(E11,'Giá Gốc'!$B$7:$P$98,10,0),"")</f>
        <v>PP Bag</v>
      </c>
      <c r="H11" s="3">
        <v>1</v>
      </c>
      <c r="I11" s="47">
        <f>IFERROR(VLOOKUP(E11,'Giá Gốc'!$B$7:$P$98,9,0),"")*H11</f>
        <v>30</v>
      </c>
      <c r="J11" s="5">
        <f>IFERROR(VLOOKUP(E11,'Giá Gốc'!$B$7:$P$98,6,0),"")*H11</f>
        <v>1500</v>
      </c>
      <c r="K11" s="5">
        <f>IFERROR(VLOOKUP(E11,'Giá Gốc'!$B$7:$P$98,13,0),"")</f>
        <v>43010</v>
      </c>
      <c r="L11" s="5">
        <f t="shared" si="1"/>
        <v>1290300</v>
      </c>
      <c r="M11" s="5">
        <f t="shared" si="2"/>
        <v>129030</v>
      </c>
      <c r="N11" s="5">
        <f t="shared" si="3"/>
        <v>1419330</v>
      </c>
      <c r="O11" s="3"/>
    </row>
    <row r="12" spans="1:15" x14ac:dyDescent="0.3">
      <c r="A12" s="3">
        <f t="shared" si="4"/>
        <v>7</v>
      </c>
      <c r="B12" s="13">
        <v>44780</v>
      </c>
      <c r="C12" s="13" t="s">
        <v>216</v>
      </c>
      <c r="D12" s="3" t="str">
        <f t="shared" si="0"/>
        <v>TM</v>
      </c>
      <c r="E12" s="3" t="s">
        <v>165</v>
      </c>
      <c r="F12" s="3" t="str">
        <f>IFERROR(VLOOKUP(E12,'Giá Gốc'!$B$7:$P$98,2,0),"")</f>
        <v>Clay 1,4GR</v>
      </c>
      <c r="G12" s="3" t="str">
        <f>IFERROR(VLOOKUP(E12,'Giá Gốc'!$B$7:$P$98,10,0),"")</f>
        <v>PP Bag</v>
      </c>
      <c r="H12" s="3">
        <v>1</v>
      </c>
      <c r="I12" s="47">
        <f>IFERROR(VLOOKUP(E12,'Giá Gốc'!$B$7:$P$98,9,0),"")*H12</f>
        <v>20.000399999999999</v>
      </c>
      <c r="J12" s="5">
        <f>IFERROR(VLOOKUP(E12,'Giá Gốc'!$B$7:$P$98,6,0),"")*H12</f>
        <v>14286</v>
      </c>
      <c r="K12" s="5">
        <f>IFERROR(VLOOKUP(E12,'Giá Gốc'!$B$7:$P$98,13,0),"")</f>
        <v>33540</v>
      </c>
      <c r="L12" s="5">
        <f t="shared" si="1"/>
        <v>670813.41599999997</v>
      </c>
      <c r="M12" s="5">
        <f t="shared" si="2"/>
        <v>67081.3416</v>
      </c>
      <c r="N12" s="5">
        <f t="shared" si="3"/>
        <v>737894.75760000001</v>
      </c>
      <c r="O12" s="3"/>
    </row>
    <row r="13" spans="1:15" x14ac:dyDescent="0.3">
      <c r="A13" s="3">
        <f t="shared" si="4"/>
        <v>8</v>
      </c>
      <c r="B13" s="13">
        <v>44780</v>
      </c>
      <c r="C13" s="13" t="s">
        <v>217</v>
      </c>
      <c r="D13" s="3" t="str">
        <f t="shared" si="0"/>
        <v>TM</v>
      </c>
      <c r="E13" s="3" t="s">
        <v>164</v>
      </c>
      <c r="F13" s="3" t="str">
        <f>IFERROR(VLOOKUP(E13,'Giá Gốc'!$B$7:$P$98,2,0),"")</f>
        <v>Clay 2GR</v>
      </c>
      <c r="G13" s="3" t="str">
        <f>IFERROR(VLOOKUP(E13,'Giá Gốc'!$B$7:$P$98,10,0),"")</f>
        <v>PP Bag</v>
      </c>
      <c r="H13" s="3">
        <v>1</v>
      </c>
      <c r="I13" s="47">
        <f>IFERROR(VLOOKUP(E13,'Giá Gốc'!$B$7:$P$98,9,0),"")*H13</f>
        <v>18</v>
      </c>
      <c r="J13" s="5">
        <f>IFERROR(VLOOKUP(E13,'Giá Gốc'!$B$7:$P$98,6,0),"")*H13</f>
        <v>9000</v>
      </c>
      <c r="K13" s="5">
        <f>IFERROR(VLOOKUP(E13,'Giá Gốc'!$B$7:$P$98,13,0),"")</f>
        <v>33540</v>
      </c>
      <c r="L13" s="5">
        <f>K13*I13</f>
        <v>603720</v>
      </c>
      <c r="M13" s="5">
        <f t="shared" si="2"/>
        <v>60372</v>
      </c>
      <c r="N13" s="5">
        <f t="shared" si="3"/>
        <v>664092</v>
      </c>
      <c r="O13" s="3"/>
    </row>
    <row r="14" spans="1:15" x14ac:dyDescent="0.3">
      <c r="A14" s="3">
        <f t="shared" si="4"/>
        <v>9</v>
      </c>
      <c r="B14" s="13">
        <v>44780</v>
      </c>
      <c r="C14" s="13" t="s">
        <v>218</v>
      </c>
      <c r="D14" s="3" t="str">
        <f t="shared" si="0"/>
        <v>TM</v>
      </c>
      <c r="E14" s="3" t="s">
        <v>163</v>
      </c>
      <c r="F14" s="3" t="str">
        <f>IFERROR(VLOOKUP(E14,'Giá Gốc'!$B$7:$P$98,2,0),"")</f>
        <v>Clay 3GR</v>
      </c>
      <c r="G14" s="3" t="str">
        <f>IFERROR(VLOOKUP(E14,'Giá Gốc'!$B$7:$P$98,10,0),"")</f>
        <v>PP Bag</v>
      </c>
      <c r="H14" s="3">
        <v>1</v>
      </c>
      <c r="I14" s="47">
        <f>IFERROR(VLOOKUP(E14,'Giá Gốc'!$B$7:$P$98,9,0),"")*H14</f>
        <v>18</v>
      </c>
      <c r="J14" s="5">
        <f>IFERROR(VLOOKUP(E14,'Giá Gốc'!$B$7:$P$98,6,0),"")*H14</f>
        <v>6000</v>
      </c>
      <c r="K14" s="5">
        <f>IFERROR(VLOOKUP(E14,'Giá Gốc'!$B$7:$P$98,13,0),"")</f>
        <v>33540</v>
      </c>
      <c r="L14" s="5">
        <f>K14*I14</f>
        <v>603720</v>
      </c>
      <c r="M14" s="5">
        <f t="shared" si="2"/>
        <v>60372</v>
      </c>
      <c r="N14" s="5">
        <f t="shared" si="3"/>
        <v>664092</v>
      </c>
      <c r="O14" s="3"/>
    </row>
    <row r="15" spans="1:15" x14ac:dyDescent="0.3">
      <c r="A15" s="3">
        <f t="shared" si="4"/>
        <v>10</v>
      </c>
      <c r="B15" s="13">
        <v>44780</v>
      </c>
      <c r="C15" s="13" t="s">
        <v>219</v>
      </c>
      <c r="D15" s="3" t="str">
        <f t="shared" si="0"/>
        <v>TM</v>
      </c>
      <c r="E15" s="3" t="s">
        <v>162</v>
      </c>
      <c r="F15" s="3" t="str">
        <f>IFERROR(VLOOKUP(E15,'Giá Gốc'!$B$7:$P$98,2,0),"")</f>
        <v>Clay 5GR</v>
      </c>
      <c r="G15" s="3" t="str">
        <f>IFERROR(VLOOKUP(E15,'Giá Gốc'!$B$7:$P$98,10,0),"")</f>
        <v>PP Bag</v>
      </c>
      <c r="H15" s="3">
        <v>1</v>
      </c>
      <c r="I15" s="47">
        <f>IFERROR(VLOOKUP(E15,'Giá Gốc'!$B$7:$P$98,9,0),"")*H15</f>
        <v>18</v>
      </c>
      <c r="J15" s="5">
        <f>IFERROR(VLOOKUP(E15,'Giá Gốc'!$B$7:$P$98,6,0),"")*H15</f>
        <v>3600</v>
      </c>
      <c r="K15" s="5">
        <f>IFERROR(VLOOKUP(E15,'Giá Gốc'!$B$7:$P$98,13,0),"")</f>
        <v>22940</v>
      </c>
      <c r="L15" s="5">
        <f t="shared" si="1"/>
        <v>412920</v>
      </c>
      <c r="M15" s="5">
        <f t="shared" si="2"/>
        <v>41292</v>
      </c>
      <c r="N15" s="5">
        <f t="shared" si="3"/>
        <v>454212</v>
      </c>
      <c r="O15" s="3"/>
    </row>
    <row r="16" spans="1:15" x14ac:dyDescent="0.3">
      <c r="A16" s="3">
        <f t="shared" si="4"/>
        <v>11</v>
      </c>
      <c r="B16" s="13">
        <v>44780</v>
      </c>
      <c r="C16" s="13" t="s">
        <v>220</v>
      </c>
      <c r="D16" s="3" t="str">
        <f t="shared" si="0"/>
        <v>TM</v>
      </c>
      <c r="E16" s="3" t="s">
        <v>8</v>
      </c>
      <c r="F16" s="3" t="str">
        <f>IFERROR(VLOOKUP(E16,'Giá Gốc'!$B$7:$P$98,2,0),"")</f>
        <v>Clay 10GR</v>
      </c>
      <c r="G16" s="3" t="str">
        <f>IFERROR(VLOOKUP(E16,'Giá Gốc'!$B$7:$P$98,10,0),"")</f>
        <v>PP Bag</v>
      </c>
      <c r="H16" s="3">
        <v>1</v>
      </c>
      <c r="I16" s="47">
        <f>IFERROR(VLOOKUP(E16,'Giá Gốc'!$B$7:$P$98,9,0),"")*H16</f>
        <v>21</v>
      </c>
      <c r="J16" s="5">
        <f>IFERROR(VLOOKUP(E16,'Giá Gốc'!$B$7:$P$98,6,0),"")*H16</f>
        <v>2100</v>
      </c>
      <c r="K16" s="5">
        <f>IFERROR(VLOOKUP(E16,'Giá Gốc'!$B$7:$P$98,13,0),"")</f>
        <v>22940</v>
      </c>
      <c r="L16" s="5">
        <f t="shared" si="1"/>
        <v>481740</v>
      </c>
      <c r="M16" s="5">
        <f t="shared" si="2"/>
        <v>48174</v>
      </c>
      <c r="N16" s="5">
        <f t="shared" si="3"/>
        <v>529914</v>
      </c>
      <c r="O16" s="3"/>
    </row>
    <row r="17" spans="1:15" x14ac:dyDescent="0.3">
      <c r="A17" s="3">
        <f t="shared" si="4"/>
        <v>12</v>
      </c>
      <c r="B17" s="13">
        <v>44780</v>
      </c>
      <c r="C17" s="13" t="s">
        <v>221</v>
      </c>
      <c r="D17" s="3" t="str">
        <f t="shared" si="0"/>
        <v>TM</v>
      </c>
      <c r="E17" s="3" t="s">
        <v>161</v>
      </c>
      <c r="F17" s="3" t="str">
        <f>IFERROR(VLOOKUP(E17,'Giá Gốc'!$B$7:$P$98,2,0),"")</f>
        <v>Clay 20GR</v>
      </c>
      <c r="G17" s="3" t="str">
        <f>IFERROR(VLOOKUP(E17,'Giá Gốc'!$B$7:$P$98,10,0),"")</f>
        <v>PP Bag</v>
      </c>
      <c r="H17" s="3">
        <v>1</v>
      </c>
      <c r="I17" s="47">
        <f>IFERROR(VLOOKUP(E17,'Giá Gốc'!$B$7:$P$98,9,0),"")*H17</f>
        <v>24</v>
      </c>
      <c r="J17" s="5">
        <f>IFERROR(VLOOKUP(E17,'Giá Gốc'!$B$7:$P$98,6,0),"")*H17</f>
        <v>1200</v>
      </c>
      <c r="K17" s="5">
        <f>IFERROR(VLOOKUP(E17,'Giá Gốc'!$B$7:$P$98,13,0),"")</f>
        <v>21010</v>
      </c>
      <c r="L17" s="5">
        <f t="shared" si="1"/>
        <v>504240</v>
      </c>
      <c r="M17" s="5">
        <f t="shared" si="2"/>
        <v>50424</v>
      </c>
      <c r="N17" s="5">
        <f t="shared" si="3"/>
        <v>554664</v>
      </c>
      <c r="O17" s="3"/>
    </row>
    <row r="18" spans="1:15" x14ac:dyDescent="0.3">
      <c r="A18" s="3">
        <f t="shared" si="4"/>
        <v>13</v>
      </c>
      <c r="B18" s="13">
        <v>44780</v>
      </c>
      <c r="C18" s="13" t="s">
        <v>222</v>
      </c>
      <c r="D18" s="3" t="str">
        <f t="shared" si="0"/>
        <v>TM</v>
      </c>
      <c r="E18" s="3" t="s">
        <v>160</v>
      </c>
      <c r="F18" s="3" t="str">
        <f>IFERROR(VLOOKUP(E18,'Giá Gốc'!$B$7:$P$98,2,0),"")</f>
        <v>Clay 50GR</v>
      </c>
      <c r="G18" s="3" t="str">
        <f>IFERROR(VLOOKUP(E18,'Giá Gốc'!$B$7:$P$98,10,0),"")</f>
        <v>PP Bag</v>
      </c>
      <c r="H18" s="3">
        <v>1</v>
      </c>
      <c r="I18" s="47">
        <f>IFERROR(VLOOKUP(E18,'Giá Gốc'!$B$7:$P$98,9,0),"")*H18</f>
        <v>24</v>
      </c>
      <c r="J18" s="5">
        <f>IFERROR(VLOOKUP(E18,'Giá Gốc'!$B$7:$P$98,6,0),"")*H18</f>
        <v>480</v>
      </c>
      <c r="K18" s="5">
        <f>IFERROR(VLOOKUP(E18,'Giá Gốc'!$B$7:$P$98,13,0),"")</f>
        <v>21010</v>
      </c>
      <c r="L18" s="5">
        <f t="shared" si="1"/>
        <v>504240</v>
      </c>
      <c r="M18" s="5">
        <f t="shared" si="2"/>
        <v>50424</v>
      </c>
      <c r="N18" s="5">
        <f t="shared" si="3"/>
        <v>554664</v>
      </c>
      <c r="O18" s="3"/>
    </row>
    <row r="19" spans="1:15" x14ac:dyDescent="0.3">
      <c r="A19" s="3">
        <f t="shared" si="4"/>
        <v>14</v>
      </c>
      <c r="B19" s="13">
        <v>44780</v>
      </c>
      <c r="C19" s="13" t="s">
        <v>223</v>
      </c>
      <c r="D19" s="3" t="str">
        <f t="shared" si="0"/>
        <v>TM</v>
      </c>
      <c r="E19" s="3" t="s">
        <v>159</v>
      </c>
      <c r="F19" s="3" t="str">
        <f>IFERROR(VLOOKUP(E19,'Giá Gốc'!$B$7:$P$98,2,0),"")</f>
        <v>Clay 100GR</v>
      </c>
      <c r="G19" s="3" t="str">
        <f>IFERROR(VLOOKUP(E19,'Giá Gốc'!$B$7:$P$98,10,0),"")</f>
        <v>PP Bag</v>
      </c>
      <c r="H19" s="3">
        <v>1</v>
      </c>
      <c r="I19" s="47">
        <f>IFERROR(VLOOKUP(E19,'Giá Gốc'!$B$7:$P$98,9,0),"")*H19</f>
        <v>24</v>
      </c>
      <c r="J19" s="5">
        <f>IFERROR(VLOOKUP(E19,'Giá Gốc'!$B$7:$P$98,6,0),"")*H19</f>
        <v>240</v>
      </c>
      <c r="K19" s="5">
        <f>IFERROR(VLOOKUP(E19,'Giá Gốc'!$B$7:$P$98,13,0),"")</f>
        <v>21010</v>
      </c>
      <c r="L19" s="5">
        <f t="shared" si="1"/>
        <v>504240</v>
      </c>
      <c r="M19" s="5">
        <f t="shared" si="2"/>
        <v>50424</v>
      </c>
      <c r="N19" s="5">
        <f t="shared" si="3"/>
        <v>554664</v>
      </c>
      <c r="O19" s="3"/>
    </row>
    <row r="20" spans="1:15" x14ac:dyDescent="0.3">
      <c r="A20" s="3">
        <f t="shared" si="4"/>
        <v>15</v>
      </c>
      <c r="B20" s="13">
        <v>44780</v>
      </c>
      <c r="C20" s="13" t="s">
        <v>224</v>
      </c>
      <c r="D20" s="3" t="str">
        <f t="shared" si="0"/>
        <v>SX</v>
      </c>
      <c r="E20" s="3" t="s">
        <v>185</v>
      </c>
      <c r="F20" s="3" t="str">
        <f>IFERROR(VLOOKUP(E20,'Giá Gốc'!$B$7:$P$98,2,0),"")</f>
        <v>Ehylene absorber 5GR</v>
      </c>
      <c r="G20" s="3" t="str">
        <f>IFERROR(VLOOKUP(E20,'Giá Gốc'!$B$7:$P$98,10,0),"")</f>
        <v>Carton</v>
      </c>
      <c r="H20" s="3">
        <v>1</v>
      </c>
      <c r="I20" s="47">
        <f>IFERROR(VLOOKUP(E20,'Giá Gốc'!$B$7:$P$98,9,0),"")*H20</f>
        <v>12</v>
      </c>
      <c r="J20" s="5">
        <f>IFERROR(VLOOKUP(E20,'Giá Gốc'!$B$7:$P$98,6,0),"")*H20</f>
        <v>2400</v>
      </c>
      <c r="K20" s="5">
        <f>IFERROR(VLOOKUP(E20,'Giá Gốc'!$B$7:$P$98,13,0),"")</f>
        <v>28880</v>
      </c>
      <c r="L20" s="5">
        <f t="shared" si="1"/>
        <v>346560</v>
      </c>
      <c r="M20" s="5">
        <f t="shared" si="2"/>
        <v>34656</v>
      </c>
      <c r="N20" s="5">
        <f t="shared" si="3"/>
        <v>381216</v>
      </c>
      <c r="O20" s="3"/>
    </row>
    <row r="21" spans="1:15" x14ac:dyDescent="0.3">
      <c r="A21" s="3">
        <f t="shared" si="4"/>
        <v>16</v>
      </c>
      <c r="B21" s="13">
        <v>44780</v>
      </c>
      <c r="C21" s="13" t="s">
        <v>225</v>
      </c>
      <c r="D21" s="3" t="str">
        <f t="shared" si="0"/>
        <v>SX</v>
      </c>
      <c r="E21" s="3" t="s">
        <v>153</v>
      </c>
      <c r="F21" s="3" t="str">
        <f>IFERROR(VLOOKUP(E21,'Giá Gốc'!$B$7:$P$98,2,0),"")</f>
        <v>Powder 5GR</v>
      </c>
      <c r="G21" s="3" t="str">
        <f>IFERROR(VLOOKUP(E21,'Giá Gốc'!$B$7:$P$98,10,0),"")</f>
        <v>Carton</v>
      </c>
      <c r="H21" s="3">
        <v>1</v>
      </c>
      <c r="I21" s="47">
        <f>IFERROR(VLOOKUP(E21,'Giá Gốc'!$B$7:$P$98,9,0),"")*H21</f>
        <v>10</v>
      </c>
      <c r="J21" s="5">
        <f>IFERROR(VLOOKUP(E21,'Giá Gốc'!$B$7:$P$98,6,0),"")*H21</f>
        <v>2000</v>
      </c>
      <c r="K21" s="5">
        <f>IFERROR(VLOOKUP(E21,'Giá Gốc'!$B$7:$P$98,13,0),"")</f>
        <v>41440</v>
      </c>
      <c r="L21" s="5">
        <f t="shared" si="1"/>
        <v>414400</v>
      </c>
      <c r="M21" s="5">
        <f t="shared" si="2"/>
        <v>41440</v>
      </c>
      <c r="N21" s="5">
        <f t="shared" si="3"/>
        <v>455840</v>
      </c>
      <c r="O21" s="3"/>
    </row>
    <row r="22" spans="1:15" x14ac:dyDescent="0.3">
      <c r="A22" s="3">
        <f t="shared" si="4"/>
        <v>17</v>
      </c>
      <c r="B22" s="13">
        <v>44780</v>
      </c>
      <c r="C22" s="13" t="s">
        <v>226</v>
      </c>
      <c r="D22" s="3" t="str">
        <f t="shared" si="0"/>
        <v>SX</v>
      </c>
      <c r="E22" s="3" t="s">
        <v>6</v>
      </c>
      <c r="F22" s="3" t="str">
        <f>IFERROR(VLOOKUP(E22,'Giá Gốc'!$B$7:$P$98,2,0),"")</f>
        <v>Powder 10GR</v>
      </c>
      <c r="G22" s="3" t="str">
        <f>IFERROR(VLOOKUP(E22,'Giá Gốc'!$B$7:$P$98,10,0),"")</f>
        <v>Carton</v>
      </c>
      <c r="H22" s="3">
        <v>1</v>
      </c>
      <c r="I22" s="47">
        <f>IFERROR(VLOOKUP(E22,'Giá Gốc'!$B$7:$P$98,9,0),"")*H22</f>
        <v>10</v>
      </c>
      <c r="J22" s="5">
        <f>IFERROR(VLOOKUP(E22,'Giá Gốc'!$B$7:$P$98,6,0),"")*H22</f>
        <v>1000</v>
      </c>
      <c r="K22" s="5">
        <f>IFERROR(VLOOKUP(E22,'Giá Gốc'!$B$7:$P$98,13,0),"")</f>
        <v>34720</v>
      </c>
      <c r="L22" s="5">
        <f t="shared" si="1"/>
        <v>347200</v>
      </c>
      <c r="M22" s="5">
        <f t="shared" si="2"/>
        <v>34720</v>
      </c>
      <c r="N22" s="5">
        <f t="shared" si="3"/>
        <v>381920</v>
      </c>
      <c r="O22" s="3"/>
    </row>
    <row r="23" spans="1:15" x14ac:dyDescent="0.3">
      <c r="A23" s="3">
        <f t="shared" si="4"/>
        <v>18</v>
      </c>
      <c r="B23" s="13">
        <v>44780</v>
      </c>
      <c r="C23" s="13" t="s">
        <v>227</v>
      </c>
      <c r="D23" s="3" t="str">
        <f t="shared" si="0"/>
        <v>SX</v>
      </c>
      <c r="E23" s="3" t="s">
        <v>152</v>
      </c>
      <c r="F23" s="3" t="str">
        <f>IFERROR(VLOOKUP(E23,'Giá Gốc'!$B$7:$P$98,2,0),"")</f>
        <v>Powder 20GR</v>
      </c>
      <c r="G23" s="3" t="str">
        <f>IFERROR(VLOOKUP(E23,'Giá Gốc'!$B$7:$P$98,10,0),"")</f>
        <v>Carton</v>
      </c>
      <c r="H23" s="3">
        <v>1</v>
      </c>
      <c r="I23" s="47">
        <f>IFERROR(VLOOKUP(E23,'Giá Gốc'!$B$7:$P$98,9,0),"")*H23</f>
        <v>10</v>
      </c>
      <c r="J23" s="5">
        <f>IFERROR(VLOOKUP(E23,'Giá Gốc'!$B$7:$P$98,6,0),"")*H23</f>
        <v>500</v>
      </c>
      <c r="K23" s="5">
        <f>IFERROR(VLOOKUP(E23,'Giá Gốc'!$B$7:$P$98,13,0),"")</f>
        <v>32800</v>
      </c>
      <c r="L23" s="5">
        <f t="shared" si="1"/>
        <v>328000</v>
      </c>
      <c r="M23" s="5">
        <f t="shared" si="2"/>
        <v>32800</v>
      </c>
      <c r="N23" s="5">
        <f t="shared" si="3"/>
        <v>360800</v>
      </c>
      <c r="O23" s="3"/>
    </row>
    <row r="25" spans="1:15" x14ac:dyDescent="0.3">
      <c r="L25" s="50">
        <f>SUM(L6:L23)</f>
        <v>12419580.335999999</v>
      </c>
      <c r="M25" s="50">
        <f>SUM(M6:M23)</f>
        <v>1241958.0336000002</v>
      </c>
      <c r="N25" s="50">
        <f>SUM(N6:N23)</f>
        <v>13661538.3696</v>
      </c>
    </row>
  </sheetData>
  <autoFilter ref="B5:F5"/>
  <conditionalFormatting sqref="A6:A23">
    <cfRule type="expression" dxfId="0" priority="8">
      <formula>$B:B=TRUE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3"/>
  <sheetViews>
    <sheetView tabSelected="1" view="pageBreakPreview" zoomScale="60" zoomScaleNormal="85" workbookViewId="0">
      <selection sqref="A1:K1"/>
    </sheetView>
  </sheetViews>
  <sheetFormatPr defaultRowHeight="14.4" x14ac:dyDescent="0.3"/>
  <cols>
    <col min="1" max="1" width="3.44140625" bestFit="1" customWidth="1"/>
    <col min="2" max="2" width="8.44140625" style="9" customWidth="1"/>
    <col min="3" max="3" width="28.33203125" bestFit="1" customWidth="1"/>
    <col min="4" max="4" width="14.44140625" style="24" hidden="1" customWidth="1"/>
    <col min="5" max="6" width="11.33203125" style="9" hidden="1" customWidth="1"/>
    <col min="7" max="7" width="8.88671875" style="36" customWidth="1"/>
    <col min="8" max="8" width="11.88671875" style="33" hidden="1" customWidth="1"/>
    <col min="9" max="9" width="8.88671875" style="33" hidden="1" customWidth="1"/>
    <col min="10" max="10" width="8.5546875" style="34" customWidth="1"/>
    <col min="11" max="11" width="8.44140625" style="36" customWidth="1"/>
    <col min="12" max="12" width="8.88671875" customWidth="1"/>
    <col min="13" max="13" width="9.5546875" hidden="1" customWidth="1"/>
    <col min="14" max="14" width="9.6640625" style="10" hidden="1" customWidth="1"/>
    <col min="15" max="16" width="8" hidden="1" customWidth="1"/>
    <col min="17" max="17" width="5.44140625" hidden="1" customWidth="1"/>
    <col min="18" max="18" width="14.77734375" hidden="1" customWidth="1"/>
    <col min="19" max="23" width="0" hidden="1" customWidth="1"/>
    <col min="24" max="24" width="10.5546875" hidden="1" customWidth="1"/>
    <col min="25" max="26" width="0" hidden="1" customWidth="1"/>
  </cols>
  <sheetData>
    <row r="1" spans="1:26" ht="33.75" customHeight="1" x14ac:dyDescent="0.5">
      <c r="A1" s="57" t="s">
        <v>242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26" ht="15" customHeight="1" x14ac:dyDescent="0.55000000000000004">
      <c r="A2" s="1"/>
      <c r="B2" s="1"/>
      <c r="C2" s="1"/>
      <c r="D2" s="21"/>
      <c r="E2" s="1"/>
      <c r="F2" s="1"/>
      <c r="G2" s="26"/>
      <c r="H2" s="25"/>
      <c r="I2" s="25"/>
      <c r="J2" s="25"/>
      <c r="K2" s="26"/>
    </row>
    <row r="4" spans="1:26" s="2" customFormat="1" ht="15" customHeight="1" x14ac:dyDescent="0.3">
      <c r="A4" s="63" t="s">
        <v>141</v>
      </c>
      <c r="B4" s="61" t="s">
        <v>1</v>
      </c>
      <c r="C4" s="63" t="s">
        <v>140</v>
      </c>
      <c r="D4" s="61" t="s">
        <v>190</v>
      </c>
      <c r="E4" s="61" t="s">
        <v>189</v>
      </c>
      <c r="F4" s="61" t="s">
        <v>191</v>
      </c>
      <c r="G4" s="64" t="s">
        <v>193</v>
      </c>
      <c r="H4" s="61" t="s">
        <v>192</v>
      </c>
      <c r="I4" s="61" t="s">
        <v>194</v>
      </c>
      <c r="J4" s="65" t="s">
        <v>2</v>
      </c>
      <c r="K4" s="64" t="s">
        <v>3</v>
      </c>
      <c r="L4" s="61" t="s">
        <v>241</v>
      </c>
      <c r="M4" s="67" t="s">
        <v>208</v>
      </c>
      <c r="N4" s="69" t="s">
        <v>236</v>
      </c>
      <c r="O4" s="61" t="s">
        <v>210</v>
      </c>
      <c r="P4" s="61" t="s">
        <v>207</v>
      </c>
      <c r="Q4" s="61" t="s">
        <v>233</v>
      </c>
      <c r="R4" s="63" t="s">
        <v>234</v>
      </c>
      <c r="S4" s="66" t="s">
        <v>237</v>
      </c>
      <c r="T4" s="66" t="s">
        <v>238</v>
      </c>
      <c r="U4" s="66" t="s">
        <v>239</v>
      </c>
      <c r="V4" s="66"/>
      <c r="W4" s="53"/>
      <c r="X4" s="2" t="s">
        <v>240</v>
      </c>
    </row>
    <row r="5" spans="1:26" s="2" customFormat="1" x14ac:dyDescent="0.3">
      <c r="A5" s="63"/>
      <c r="B5" s="61"/>
      <c r="C5" s="63"/>
      <c r="D5" s="61"/>
      <c r="E5" s="61"/>
      <c r="F5" s="61"/>
      <c r="G5" s="64"/>
      <c r="H5" s="61"/>
      <c r="I5" s="61"/>
      <c r="J5" s="65"/>
      <c r="K5" s="64"/>
      <c r="L5" s="61"/>
      <c r="M5" s="68"/>
      <c r="N5" s="70"/>
      <c r="O5" s="61"/>
      <c r="P5" s="61"/>
      <c r="Q5" s="61"/>
      <c r="R5" s="63"/>
      <c r="S5" s="66"/>
      <c r="T5" s="66"/>
      <c r="U5" s="66"/>
      <c r="V5" s="66"/>
      <c r="W5" s="53"/>
      <c r="X5" s="55">
        <v>23500</v>
      </c>
    </row>
    <row r="6" spans="1:26" s="2" customFormat="1" x14ac:dyDescent="0.3">
      <c r="A6" s="59" t="s">
        <v>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2"/>
    </row>
    <row r="7" spans="1:26" x14ac:dyDescent="0.3">
      <c r="A7" s="3">
        <v>1</v>
      </c>
      <c r="B7" s="4" t="s">
        <v>142</v>
      </c>
      <c r="C7" s="3" t="s">
        <v>59</v>
      </c>
      <c r="D7" s="42" t="str">
        <f t="shared" ref="D7:D20" si="0">RIGHT(C7,LEN(C7)-6)</f>
        <v xml:space="preserve"> 2000GR</v>
      </c>
      <c r="E7" s="4" t="str">
        <f>LEFT(D7,LEN(D7)-2)</f>
        <v xml:space="preserve"> 2000</v>
      </c>
      <c r="F7" s="4" t="s">
        <v>110</v>
      </c>
      <c r="G7" s="30">
        <v>10</v>
      </c>
      <c r="H7" s="27" t="s">
        <v>195</v>
      </c>
      <c r="I7" s="28">
        <v>1</v>
      </c>
      <c r="J7" s="29">
        <f t="shared" ref="J7:J21" si="1">G7*E7/1000</f>
        <v>20</v>
      </c>
      <c r="K7" s="30" t="s">
        <v>5</v>
      </c>
      <c r="L7" s="19">
        <v>39000</v>
      </c>
      <c r="M7" s="19">
        <f>L7*0.8</f>
        <v>31200</v>
      </c>
      <c r="N7" s="5">
        <f t="shared" ref="N7:N21" si="2">O7+P7</f>
        <v>27520</v>
      </c>
      <c r="O7" s="19">
        <v>22000</v>
      </c>
      <c r="P7" s="19">
        <f t="shared" ref="P7:P21" si="3">(M7-O7)*0.6</f>
        <v>5520</v>
      </c>
      <c r="Q7" s="52">
        <f>N7/O7-100%</f>
        <v>0.25090909090909097</v>
      </c>
      <c r="R7" s="71" t="s">
        <v>235</v>
      </c>
      <c r="S7" s="18">
        <f>$M7*0.95</f>
        <v>29640</v>
      </c>
      <c r="T7" s="18">
        <f>$M7*0.9</f>
        <v>28080</v>
      </c>
      <c r="U7" s="18">
        <f>$M7*0.85</f>
        <v>26520</v>
      </c>
      <c r="V7" s="18">
        <f>U7-N7</f>
        <v>-1000</v>
      </c>
      <c r="W7" s="18"/>
      <c r="X7" s="54">
        <f>ROUND(S7/$X$5,2)</f>
        <v>1.26</v>
      </c>
      <c r="Y7" s="54">
        <f t="shared" ref="Y7:Z7" si="4">ROUND(T7/$X$5,2)</f>
        <v>1.19</v>
      </c>
      <c r="Z7" s="54">
        <f t="shared" si="4"/>
        <v>1.1299999999999999</v>
      </c>
    </row>
    <row r="8" spans="1:26" x14ac:dyDescent="0.3">
      <c r="A8" s="3">
        <v>2</v>
      </c>
      <c r="B8" s="4" t="s">
        <v>143</v>
      </c>
      <c r="C8" s="3" t="s">
        <v>60</v>
      </c>
      <c r="D8" s="42" t="str">
        <f t="shared" si="0"/>
        <v xml:space="preserve"> 1000GR - 5 Túi</v>
      </c>
      <c r="E8" s="4" t="str">
        <f>LEFT(D8,LEN(D8)-10)</f>
        <v xml:space="preserve"> 1000</v>
      </c>
      <c r="F8" s="4" t="s">
        <v>111</v>
      </c>
      <c r="G8" s="30">
        <v>16</v>
      </c>
      <c r="H8" s="27" t="s">
        <v>196</v>
      </c>
      <c r="I8" s="28">
        <v>1</v>
      </c>
      <c r="J8" s="29">
        <f t="shared" si="1"/>
        <v>16</v>
      </c>
      <c r="K8" s="30" t="s">
        <v>5</v>
      </c>
      <c r="L8" s="19">
        <v>49000</v>
      </c>
      <c r="M8" s="19">
        <f t="shared" ref="M8:M21" si="5">L8*0.8</f>
        <v>39200</v>
      </c>
      <c r="N8" s="5">
        <f t="shared" si="2"/>
        <v>32320</v>
      </c>
      <c r="O8" s="19">
        <v>22000</v>
      </c>
      <c r="P8" s="19">
        <f t="shared" si="3"/>
        <v>10320</v>
      </c>
      <c r="Q8" s="52">
        <f t="shared" ref="Q8:Q60" si="6">N8/O8-100%</f>
        <v>0.469090909090909</v>
      </c>
      <c r="R8" s="71"/>
      <c r="S8" s="18">
        <f t="shared" ref="S8:S60" si="7">$M8*0.95</f>
        <v>37240</v>
      </c>
      <c r="T8" s="18">
        <f t="shared" ref="T8:T60" si="8">$M8*0.9</f>
        <v>35280</v>
      </c>
      <c r="U8" s="18">
        <f t="shared" ref="U8:U60" si="9">$M8*0.85</f>
        <v>33320</v>
      </c>
      <c r="V8" s="18">
        <f t="shared" ref="V8:V60" si="10">U8-N8</f>
        <v>1000</v>
      </c>
      <c r="W8" s="18"/>
      <c r="X8" s="54">
        <f t="shared" ref="X8:X11" si="11">ROUND(S8/$X$5,2)</f>
        <v>1.58</v>
      </c>
      <c r="Y8" s="54">
        <f t="shared" ref="Y8:Y11" si="12">ROUND(T8/$X$5,2)</f>
        <v>1.5</v>
      </c>
      <c r="Z8" s="54">
        <f t="shared" ref="Z8:Z11" si="13">ROUND(U8/$X$5,2)</f>
        <v>1.42</v>
      </c>
    </row>
    <row r="9" spans="1:26" x14ac:dyDescent="0.3">
      <c r="A9" s="3">
        <v>3</v>
      </c>
      <c r="B9" s="4" t="s">
        <v>144</v>
      </c>
      <c r="C9" s="3" t="s">
        <v>61</v>
      </c>
      <c r="D9" s="42" t="str">
        <f t="shared" si="0"/>
        <v xml:space="preserve"> 1000GR - 4 Túi</v>
      </c>
      <c r="E9" s="4" t="str">
        <f>LEFT(D9,LEN(D9)-10)</f>
        <v xml:space="preserve"> 1000</v>
      </c>
      <c r="F9" s="4" t="s">
        <v>112</v>
      </c>
      <c r="G9" s="30">
        <v>18</v>
      </c>
      <c r="H9" s="27" t="s">
        <v>196</v>
      </c>
      <c r="I9" s="28">
        <v>1</v>
      </c>
      <c r="J9" s="29">
        <f t="shared" si="1"/>
        <v>18</v>
      </c>
      <c r="K9" s="30" t="s">
        <v>5</v>
      </c>
      <c r="L9" s="19">
        <v>48000</v>
      </c>
      <c r="M9" s="19">
        <f t="shared" si="5"/>
        <v>38400</v>
      </c>
      <c r="N9" s="5">
        <f t="shared" si="2"/>
        <v>31840</v>
      </c>
      <c r="O9" s="19">
        <v>22000</v>
      </c>
      <c r="P9" s="19">
        <f t="shared" si="3"/>
        <v>9840</v>
      </c>
      <c r="Q9" s="52">
        <f t="shared" si="6"/>
        <v>0.44727272727272727</v>
      </c>
      <c r="R9" s="71"/>
      <c r="S9" s="18">
        <f t="shared" si="7"/>
        <v>36480</v>
      </c>
      <c r="T9" s="18">
        <f t="shared" si="8"/>
        <v>34560</v>
      </c>
      <c r="U9" s="18">
        <f t="shared" si="9"/>
        <v>32640</v>
      </c>
      <c r="V9" s="18">
        <f t="shared" si="10"/>
        <v>800</v>
      </c>
      <c r="W9" s="18"/>
      <c r="X9" s="54">
        <f t="shared" si="11"/>
        <v>1.55</v>
      </c>
      <c r="Y9" s="54">
        <f t="shared" si="12"/>
        <v>1.47</v>
      </c>
      <c r="Z9" s="54">
        <f t="shared" si="13"/>
        <v>1.39</v>
      </c>
    </row>
    <row r="10" spans="1:26" x14ac:dyDescent="0.3">
      <c r="A10" s="3">
        <v>4</v>
      </c>
      <c r="B10" s="4" t="s">
        <v>145</v>
      </c>
      <c r="C10" s="3" t="s">
        <v>62</v>
      </c>
      <c r="D10" s="42" t="str">
        <f t="shared" si="0"/>
        <v xml:space="preserve"> 1000GR - 3 Túi</v>
      </c>
      <c r="E10" s="4" t="str">
        <f>LEFT(D10,LEN(D10)-10)</f>
        <v xml:space="preserve"> 1000</v>
      </c>
      <c r="F10" s="4" t="s">
        <v>113</v>
      </c>
      <c r="G10" s="30">
        <v>16</v>
      </c>
      <c r="H10" s="27" t="s">
        <v>196</v>
      </c>
      <c r="I10" s="28">
        <v>1</v>
      </c>
      <c r="J10" s="29">
        <f t="shared" si="1"/>
        <v>16</v>
      </c>
      <c r="K10" s="30" t="s">
        <v>5</v>
      </c>
      <c r="L10" s="19">
        <v>47000</v>
      </c>
      <c r="M10" s="19">
        <f t="shared" si="5"/>
        <v>37600</v>
      </c>
      <c r="N10" s="5">
        <f t="shared" si="2"/>
        <v>31360</v>
      </c>
      <c r="O10" s="19">
        <v>22000</v>
      </c>
      <c r="P10" s="19">
        <f t="shared" si="3"/>
        <v>9360</v>
      </c>
      <c r="Q10" s="52">
        <f t="shared" si="6"/>
        <v>0.42545454545454553</v>
      </c>
      <c r="R10" s="71"/>
      <c r="S10" s="18">
        <f t="shared" si="7"/>
        <v>35720</v>
      </c>
      <c r="T10" s="18">
        <f t="shared" si="8"/>
        <v>33840</v>
      </c>
      <c r="U10" s="18">
        <f t="shared" si="9"/>
        <v>31960</v>
      </c>
      <c r="V10" s="18">
        <f t="shared" si="10"/>
        <v>600</v>
      </c>
      <c r="W10" s="18"/>
      <c r="X10" s="54">
        <f t="shared" si="11"/>
        <v>1.52</v>
      </c>
      <c r="Y10" s="54">
        <f t="shared" si="12"/>
        <v>1.44</v>
      </c>
      <c r="Z10" s="54">
        <f t="shared" si="13"/>
        <v>1.36</v>
      </c>
    </row>
    <row r="11" spans="1:26" x14ac:dyDescent="0.3">
      <c r="A11" s="3">
        <v>5</v>
      </c>
      <c r="B11" s="4" t="s">
        <v>146</v>
      </c>
      <c r="C11" s="3" t="s">
        <v>63</v>
      </c>
      <c r="D11" s="42" t="str">
        <f t="shared" si="0"/>
        <v xml:space="preserve"> 1000GR</v>
      </c>
      <c r="E11" s="4" t="str">
        <f t="shared" ref="E11:E20" si="14">LEFT(D11,LEN(D11)-2)</f>
        <v xml:space="preserve"> 1000</v>
      </c>
      <c r="F11" s="4" t="s">
        <v>114</v>
      </c>
      <c r="G11" s="30">
        <v>18</v>
      </c>
      <c r="H11" s="27" t="s">
        <v>197</v>
      </c>
      <c r="I11" s="28">
        <v>1</v>
      </c>
      <c r="J11" s="29">
        <f t="shared" si="1"/>
        <v>18</v>
      </c>
      <c r="K11" s="30" t="s">
        <v>5</v>
      </c>
      <c r="L11" s="19">
        <v>40000</v>
      </c>
      <c r="M11" s="19">
        <f t="shared" si="5"/>
        <v>32000</v>
      </c>
      <c r="N11" s="5">
        <f t="shared" si="2"/>
        <v>28000</v>
      </c>
      <c r="O11" s="19">
        <v>22000</v>
      </c>
      <c r="P11" s="19">
        <f t="shared" si="3"/>
        <v>6000</v>
      </c>
      <c r="Q11" s="52">
        <f t="shared" si="6"/>
        <v>0.27272727272727271</v>
      </c>
      <c r="R11" s="71"/>
      <c r="S11" s="18">
        <f t="shared" si="7"/>
        <v>30400</v>
      </c>
      <c r="T11" s="18">
        <f t="shared" si="8"/>
        <v>28800</v>
      </c>
      <c r="U11" s="18">
        <f t="shared" si="9"/>
        <v>27200</v>
      </c>
      <c r="V11" s="18">
        <f t="shared" si="10"/>
        <v>-800</v>
      </c>
      <c r="W11" s="18"/>
      <c r="X11" s="54">
        <f t="shared" si="11"/>
        <v>1.29</v>
      </c>
      <c r="Y11" s="54">
        <f t="shared" si="12"/>
        <v>1.23</v>
      </c>
      <c r="Z11" s="54">
        <f t="shared" si="13"/>
        <v>1.1599999999999999</v>
      </c>
    </row>
    <row r="12" spans="1:26" x14ac:dyDescent="0.3">
      <c r="A12" s="3">
        <v>6</v>
      </c>
      <c r="B12" s="4" t="s">
        <v>147</v>
      </c>
      <c r="C12" s="3" t="s">
        <v>64</v>
      </c>
      <c r="D12" s="42" t="str">
        <f t="shared" si="0"/>
        <v xml:space="preserve"> 500GR</v>
      </c>
      <c r="E12" s="4" t="str">
        <f t="shared" si="14"/>
        <v xml:space="preserve"> 500</v>
      </c>
      <c r="F12" s="37" t="s">
        <v>138</v>
      </c>
      <c r="G12" s="32">
        <f t="shared" ref="G12:G13" si="15">ROUND(I12*6,0)</f>
        <v>24</v>
      </c>
      <c r="H12" s="27" t="s">
        <v>199</v>
      </c>
      <c r="I12" s="28">
        <f>1000/E12*2</f>
        <v>4</v>
      </c>
      <c r="J12" s="29">
        <f t="shared" si="1"/>
        <v>12</v>
      </c>
      <c r="K12" s="30" t="s">
        <v>5</v>
      </c>
      <c r="L12" s="19">
        <v>40000</v>
      </c>
      <c r="M12" s="19">
        <f t="shared" si="5"/>
        <v>32000</v>
      </c>
      <c r="N12" s="5">
        <f t="shared" si="2"/>
        <v>28000</v>
      </c>
      <c r="O12" s="19">
        <v>22000</v>
      </c>
      <c r="P12" s="19">
        <f t="shared" si="3"/>
        <v>6000</v>
      </c>
      <c r="Q12" s="52">
        <f t="shared" si="6"/>
        <v>0.27272727272727271</v>
      </c>
      <c r="R12" s="71"/>
      <c r="S12" s="18">
        <f t="shared" si="7"/>
        <v>30400</v>
      </c>
      <c r="T12" s="18">
        <f t="shared" si="8"/>
        <v>28800</v>
      </c>
      <c r="U12" s="18">
        <f t="shared" si="9"/>
        <v>27200</v>
      </c>
      <c r="V12" s="18">
        <f t="shared" si="10"/>
        <v>-800</v>
      </c>
      <c r="W12" s="18"/>
    </row>
    <row r="13" spans="1:26" s="8" customFormat="1" x14ac:dyDescent="0.3">
      <c r="A13" s="3">
        <v>7</v>
      </c>
      <c r="B13" s="4" t="s">
        <v>148</v>
      </c>
      <c r="C13" s="6" t="s">
        <v>65</v>
      </c>
      <c r="D13" s="42" t="str">
        <f t="shared" si="0"/>
        <v xml:space="preserve"> 250GR</v>
      </c>
      <c r="E13" s="7" t="str">
        <f t="shared" si="14"/>
        <v xml:space="preserve"> 250</v>
      </c>
      <c r="F13" s="37" t="s">
        <v>138</v>
      </c>
      <c r="G13" s="32">
        <f t="shared" si="15"/>
        <v>60</v>
      </c>
      <c r="H13" s="27" t="s">
        <v>199</v>
      </c>
      <c r="I13" s="28">
        <f>1000/E13*2.5</f>
        <v>10</v>
      </c>
      <c r="J13" s="31">
        <f t="shared" si="1"/>
        <v>15</v>
      </c>
      <c r="K13" s="30" t="s">
        <v>5</v>
      </c>
      <c r="L13" s="19">
        <v>41000</v>
      </c>
      <c r="M13" s="19">
        <f t="shared" si="5"/>
        <v>32800</v>
      </c>
      <c r="N13" s="5">
        <f t="shared" si="2"/>
        <v>28480</v>
      </c>
      <c r="O13" s="19">
        <v>22000</v>
      </c>
      <c r="P13" s="19">
        <f t="shared" si="3"/>
        <v>6480</v>
      </c>
      <c r="Q13" s="52">
        <f t="shared" si="6"/>
        <v>0.29454545454545444</v>
      </c>
      <c r="R13" s="71"/>
      <c r="S13" s="18">
        <f t="shared" si="7"/>
        <v>31160</v>
      </c>
      <c r="T13" s="18">
        <f t="shared" si="8"/>
        <v>29520</v>
      </c>
      <c r="U13" s="18">
        <f t="shared" si="9"/>
        <v>27880</v>
      </c>
      <c r="V13" s="18">
        <f t="shared" si="10"/>
        <v>-600</v>
      </c>
      <c r="W13" s="18"/>
    </row>
    <row r="14" spans="1:26" s="8" customFormat="1" x14ac:dyDescent="0.3">
      <c r="A14" s="3">
        <v>8</v>
      </c>
      <c r="B14" s="4" t="s">
        <v>149</v>
      </c>
      <c r="C14" s="6" t="s">
        <v>66</v>
      </c>
      <c r="D14" s="42" t="str">
        <f t="shared" si="0"/>
        <v xml:space="preserve"> 200GR</v>
      </c>
      <c r="E14" s="7" t="str">
        <f t="shared" si="14"/>
        <v xml:space="preserve"> 200</v>
      </c>
      <c r="F14" s="37" t="s">
        <v>138</v>
      </c>
      <c r="G14" s="32">
        <f>ROUND(I14*6,0)</f>
        <v>60</v>
      </c>
      <c r="H14" s="27" t="s">
        <v>199</v>
      </c>
      <c r="I14" s="28">
        <f>1000/E14*2</f>
        <v>10</v>
      </c>
      <c r="J14" s="31">
        <f t="shared" si="1"/>
        <v>12</v>
      </c>
      <c r="K14" s="30" t="s">
        <v>5</v>
      </c>
      <c r="L14" s="19">
        <v>42000</v>
      </c>
      <c r="M14" s="19">
        <f t="shared" si="5"/>
        <v>33600</v>
      </c>
      <c r="N14" s="5">
        <f t="shared" si="2"/>
        <v>28960</v>
      </c>
      <c r="O14" s="19">
        <v>22000</v>
      </c>
      <c r="P14" s="19">
        <f t="shared" si="3"/>
        <v>6960</v>
      </c>
      <c r="Q14" s="52">
        <f t="shared" si="6"/>
        <v>0.3163636363636364</v>
      </c>
      <c r="R14" s="71"/>
      <c r="S14" s="18">
        <f t="shared" si="7"/>
        <v>31920</v>
      </c>
      <c r="T14" s="18">
        <f t="shared" si="8"/>
        <v>30240</v>
      </c>
      <c r="U14" s="18">
        <f t="shared" si="9"/>
        <v>28560</v>
      </c>
      <c r="V14" s="18">
        <f t="shared" si="10"/>
        <v>-400</v>
      </c>
      <c r="W14" s="18"/>
    </row>
    <row r="15" spans="1:26" ht="15" customHeight="1" x14ac:dyDescent="0.3">
      <c r="A15" s="3">
        <v>9</v>
      </c>
      <c r="B15" s="4" t="s">
        <v>150</v>
      </c>
      <c r="C15" s="3" t="s">
        <v>67</v>
      </c>
      <c r="D15" s="42" t="str">
        <f t="shared" si="0"/>
        <v xml:space="preserve"> 100GR</v>
      </c>
      <c r="E15" s="4" t="str">
        <f t="shared" si="14"/>
        <v xml:space="preserve"> 100</v>
      </c>
      <c r="F15" s="4" t="s">
        <v>115</v>
      </c>
      <c r="G15" s="32">
        <f t="shared" ref="G15:G18" si="16">ROUND(I15*4,0)</f>
        <v>100</v>
      </c>
      <c r="H15" s="27" t="s">
        <v>199</v>
      </c>
      <c r="I15" s="28">
        <f t="shared" ref="I15:I21" si="17">1000/E15*2.5</f>
        <v>25</v>
      </c>
      <c r="J15" s="29">
        <f t="shared" si="1"/>
        <v>10</v>
      </c>
      <c r="K15" s="30" t="s">
        <v>5</v>
      </c>
      <c r="L15" s="19">
        <v>44000</v>
      </c>
      <c r="M15" s="19">
        <f t="shared" si="5"/>
        <v>35200</v>
      </c>
      <c r="N15" s="5">
        <f t="shared" si="2"/>
        <v>29920</v>
      </c>
      <c r="O15" s="19">
        <v>22000</v>
      </c>
      <c r="P15" s="19">
        <f t="shared" si="3"/>
        <v>7920</v>
      </c>
      <c r="Q15" s="52">
        <f t="shared" si="6"/>
        <v>0.3600000000000001</v>
      </c>
      <c r="R15" s="71"/>
      <c r="S15" s="18">
        <f t="shared" si="7"/>
        <v>33440</v>
      </c>
      <c r="T15" s="18">
        <f t="shared" si="8"/>
        <v>31680</v>
      </c>
      <c r="U15" s="18">
        <f t="shared" si="9"/>
        <v>29920</v>
      </c>
      <c r="V15" s="18">
        <f t="shared" si="10"/>
        <v>0</v>
      </c>
      <c r="W15" s="18"/>
    </row>
    <row r="16" spans="1:26" x14ac:dyDescent="0.3">
      <c r="A16" s="3">
        <v>10</v>
      </c>
      <c r="B16" s="4" t="s">
        <v>151</v>
      </c>
      <c r="C16" s="3" t="s">
        <v>68</v>
      </c>
      <c r="D16" s="42" t="str">
        <f t="shared" si="0"/>
        <v xml:space="preserve"> 50GR</v>
      </c>
      <c r="E16" s="4" t="str">
        <f>LEFT(D16,LEN(D16)-2)</f>
        <v xml:space="preserve"> 50</v>
      </c>
      <c r="F16" s="4" t="s">
        <v>116</v>
      </c>
      <c r="G16" s="32">
        <f t="shared" si="16"/>
        <v>200</v>
      </c>
      <c r="H16" s="27" t="s">
        <v>199</v>
      </c>
      <c r="I16" s="28">
        <f t="shared" si="17"/>
        <v>50</v>
      </c>
      <c r="J16" s="29">
        <f t="shared" si="1"/>
        <v>10</v>
      </c>
      <c r="K16" s="30" t="s">
        <v>5</v>
      </c>
      <c r="L16" s="19">
        <v>46000</v>
      </c>
      <c r="M16" s="19">
        <f t="shared" si="5"/>
        <v>36800</v>
      </c>
      <c r="N16" s="5">
        <f t="shared" si="2"/>
        <v>30880</v>
      </c>
      <c r="O16" s="19">
        <v>22000</v>
      </c>
      <c r="P16" s="19">
        <f t="shared" si="3"/>
        <v>8880</v>
      </c>
      <c r="Q16" s="52">
        <f t="shared" si="6"/>
        <v>0.40363636363636357</v>
      </c>
      <c r="R16" s="71"/>
      <c r="S16" s="18">
        <f t="shared" si="7"/>
        <v>34960</v>
      </c>
      <c r="T16" s="18">
        <f t="shared" si="8"/>
        <v>33120</v>
      </c>
      <c r="U16" s="18">
        <f t="shared" si="9"/>
        <v>31280</v>
      </c>
      <c r="V16" s="18">
        <f t="shared" si="10"/>
        <v>400</v>
      </c>
      <c r="W16" s="18"/>
    </row>
    <row r="17" spans="1:23" x14ac:dyDescent="0.3">
      <c r="A17" s="3">
        <v>11</v>
      </c>
      <c r="B17" s="4" t="s">
        <v>187</v>
      </c>
      <c r="C17" s="3" t="s">
        <v>69</v>
      </c>
      <c r="D17" s="42" t="str">
        <f t="shared" si="0"/>
        <v xml:space="preserve"> 25GR</v>
      </c>
      <c r="E17" s="4" t="str">
        <f t="shared" si="14"/>
        <v xml:space="preserve"> 25</v>
      </c>
      <c r="F17" s="4" t="s">
        <v>117</v>
      </c>
      <c r="G17" s="32">
        <f t="shared" si="16"/>
        <v>400</v>
      </c>
      <c r="H17" s="27" t="s">
        <v>199</v>
      </c>
      <c r="I17" s="28">
        <f t="shared" si="17"/>
        <v>100</v>
      </c>
      <c r="J17" s="29">
        <f t="shared" si="1"/>
        <v>10</v>
      </c>
      <c r="K17" s="30" t="s">
        <v>5</v>
      </c>
      <c r="L17" s="19">
        <v>49000</v>
      </c>
      <c r="M17" s="19">
        <f t="shared" si="5"/>
        <v>39200</v>
      </c>
      <c r="N17" s="5">
        <f t="shared" si="2"/>
        <v>32320</v>
      </c>
      <c r="O17" s="19">
        <v>22000</v>
      </c>
      <c r="P17" s="19">
        <f t="shared" si="3"/>
        <v>10320</v>
      </c>
      <c r="Q17" s="52">
        <f t="shared" si="6"/>
        <v>0.469090909090909</v>
      </c>
      <c r="R17" s="71"/>
      <c r="S17" s="18">
        <f t="shared" si="7"/>
        <v>37240</v>
      </c>
      <c r="T17" s="18">
        <f t="shared" si="8"/>
        <v>35280</v>
      </c>
      <c r="U17" s="18">
        <f t="shared" si="9"/>
        <v>33320</v>
      </c>
      <c r="V17" s="18">
        <f t="shared" si="10"/>
        <v>1000</v>
      </c>
      <c r="W17" s="18"/>
    </row>
    <row r="18" spans="1:23" x14ac:dyDescent="0.3">
      <c r="A18" s="3">
        <v>12</v>
      </c>
      <c r="B18" s="4" t="s">
        <v>152</v>
      </c>
      <c r="C18" s="3" t="s">
        <v>70</v>
      </c>
      <c r="D18" s="42" t="str">
        <f t="shared" si="0"/>
        <v xml:space="preserve"> 20GR</v>
      </c>
      <c r="E18" s="4" t="str">
        <f t="shared" si="14"/>
        <v xml:space="preserve"> 20</v>
      </c>
      <c r="F18" s="4" t="s">
        <v>118</v>
      </c>
      <c r="G18" s="32">
        <f t="shared" si="16"/>
        <v>500</v>
      </c>
      <c r="H18" s="27" t="s">
        <v>199</v>
      </c>
      <c r="I18" s="28">
        <f t="shared" si="17"/>
        <v>125</v>
      </c>
      <c r="J18" s="29">
        <f t="shared" si="1"/>
        <v>10</v>
      </c>
      <c r="K18" s="30" t="s">
        <v>5</v>
      </c>
      <c r="L18" s="19">
        <v>50000</v>
      </c>
      <c r="M18" s="19">
        <f t="shared" si="5"/>
        <v>40000</v>
      </c>
      <c r="N18" s="5">
        <f t="shared" si="2"/>
        <v>32800</v>
      </c>
      <c r="O18" s="19">
        <v>22000</v>
      </c>
      <c r="P18" s="19">
        <f t="shared" si="3"/>
        <v>10800</v>
      </c>
      <c r="Q18" s="52">
        <f>N18/O18-100%</f>
        <v>0.49090909090909096</v>
      </c>
      <c r="R18" s="71"/>
      <c r="S18" s="18">
        <f t="shared" si="7"/>
        <v>38000</v>
      </c>
      <c r="T18" s="18">
        <f t="shared" si="8"/>
        <v>36000</v>
      </c>
      <c r="U18" s="18">
        <f t="shared" si="9"/>
        <v>34000</v>
      </c>
      <c r="V18" s="18">
        <f t="shared" si="10"/>
        <v>1200</v>
      </c>
      <c r="W18" s="18"/>
    </row>
    <row r="19" spans="1:23" x14ac:dyDescent="0.3">
      <c r="A19" s="3">
        <v>13</v>
      </c>
      <c r="B19" s="4" t="s">
        <v>6</v>
      </c>
      <c r="C19" s="3" t="s">
        <v>71</v>
      </c>
      <c r="D19" s="42" t="str">
        <f t="shared" si="0"/>
        <v xml:space="preserve"> 10GR</v>
      </c>
      <c r="E19" s="4" t="str">
        <f t="shared" si="14"/>
        <v xml:space="preserve"> 10</v>
      </c>
      <c r="F19" s="4" t="s">
        <v>120</v>
      </c>
      <c r="G19" s="32">
        <f>ROUND(I19*4,0)</f>
        <v>1000</v>
      </c>
      <c r="H19" s="27" t="s">
        <v>199</v>
      </c>
      <c r="I19" s="28">
        <f t="shared" si="17"/>
        <v>250</v>
      </c>
      <c r="J19" s="29">
        <f t="shared" si="1"/>
        <v>10</v>
      </c>
      <c r="K19" s="30" t="s">
        <v>5</v>
      </c>
      <c r="L19" s="19">
        <v>54000</v>
      </c>
      <c r="M19" s="19">
        <f t="shared" si="5"/>
        <v>43200</v>
      </c>
      <c r="N19" s="5">
        <f t="shared" si="2"/>
        <v>34720</v>
      </c>
      <c r="O19" s="19">
        <v>22000</v>
      </c>
      <c r="P19" s="19">
        <f t="shared" si="3"/>
        <v>12720</v>
      </c>
      <c r="Q19" s="52">
        <f t="shared" si="6"/>
        <v>0.57818181818181813</v>
      </c>
      <c r="R19" s="71"/>
      <c r="S19" s="18">
        <f t="shared" si="7"/>
        <v>41040</v>
      </c>
      <c r="T19" s="18">
        <f t="shared" si="8"/>
        <v>38880</v>
      </c>
      <c r="U19" s="18">
        <f t="shared" si="9"/>
        <v>36720</v>
      </c>
      <c r="V19" s="18">
        <f t="shared" si="10"/>
        <v>2000</v>
      </c>
      <c r="W19" s="18"/>
    </row>
    <row r="20" spans="1:23" x14ac:dyDescent="0.3">
      <c r="A20" s="3">
        <v>14</v>
      </c>
      <c r="B20" s="4" t="s">
        <v>153</v>
      </c>
      <c r="C20" s="3" t="s">
        <v>72</v>
      </c>
      <c r="D20" s="42" t="str">
        <f t="shared" si="0"/>
        <v xml:space="preserve"> 5GR</v>
      </c>
      <c r="E20" s="4" t="str">
        <f t="shared" si="14"/>
        <v xml:space="preserve"> 5</v>
      </c>
      <c r="F20" s="4" t="s">
        <v>119</v>
      </c>
      <c r="G20" s="32">
        <f>ROUND(I20*4,0)</f>
        <v>2000</v>
      </c>
      <c r="H20" s="27" t="s">
        <v>198</v>
      </c>
      <c r="I20" s="28">
        <f t="shared" si="17"/>
        <v>500</v>
      </c>
      <c r="J20" s="29">
        <f t="shared" si="1"/>
        <v>10</v>
      </c>
      <c r="K20" s="30" t="s">
        <v>5</v>
      </c>
      <c r="L20" s="19">
        <v>68000</v>
      </c>
      <c r="M20" s="19">
        <f t="shared" si="5"/>
        <v>54400</v>
      </c>
      <c r="N20" s="5">
        <f t="shared" si="2"/>
        <v>41440</v>
      </c>
      <c r="O20" s="19">
        <v>22000</v>
      </c>
      <c r="P20" s="19">
        <f t="shared" si="3"/>
        <v>19440</v>
      </c>
      <c r="Q20" s="52">
        <f>N20/O20-100%</f>
        <v>0.88363636363636355</v>
      </c>
      <c r="R20" s="71"/>
      <c r="S20" s="18">
        <f t="shared" si="7"/>
        <v>51680</v>
      </c>
      <c r="T20" s="18">
        <f t="shared" si="8"/>
        <v>48960</v>
      </c>
      <c r="U20" s="18">
        <f t="shared" si="9"/>
        <v>46240</v>
      </c>
      <c r="V20" s="18">
        <f t="shared" si="10"/>
        <v>4800</v>
      </c>
      <c r="W20" s="18"/>
    </row>
    <row r="21" spans="1:23" s="8" customFormat="1" x14ac:dyDescent="0.3">
      <c r="A21" s="6">
        <v>15</v>
      </c>
      <c r="B21" s="7" t="s">
        <v>188</v>
      </c>
      <c r="C21" s="6" t="s">
        <v>107</v>
      </c>
      <c r="D21" s="23" t="str">
        <f>RIGHT(C21,LEN(C21)-6)</f>
        <v xml:space="preserve"> 2GR</v>
      </c>
      <c r="E21" s="7" t="str">
        <f>LEFT(D21,LEN(D21)-2)</f>
        <v xml:space="preserve"> 2</v>
      </c>
      <c r="F21" s="7" t="s">
        <v>136</v>
      </c>
      <c r="G21" s="32">
        <f>ROUND(I21*4,0)</f>
        <v>5000</v>
      </c>
      <c r="H21" s="27" t="s">
        <v>198</v>
      </c>
      <c r="I21" s="28">
        <f t="shared" si="17"/>
        <v>1250</v>
      </c>
      <c r="J21" s="31">
        <f t="shared" si="1"/>
        <v>10</v>
      </c>
      <c r="K21" s="30" t="s">
        <v>5</v>
      </c>
      <c r="L21" s="38">
        <v>114000</v>
      </c>
      <c r="M21" s="19">
        <f t="shared" si="5"/>
        <v>91200</v>
      </c>
      <c r="N21" s="5">
        <f t="shared" si="2"/>
        <v>63520</v>
      </c>
      <c r="O21" s="19">
        <v>22000</v>
      </c>
      <c r="P21" s="19">
        <f t="shared" si="3"/>
        <v>41520</v>
      </c>
      <c r="Q21" s="52">
        <f t="shared" si="6"/>
        <v>1.8872727272727272</v>
      </c>
      <c r="R21" s="71"/>
      <c r="S21" s="18">
        <f t="shared" si="7"/>
        <v>86640</v>
      </c>
      <c r="T21" s="18">
        <f t="shared" si="8"/>
        <v>82080</v>
      </c>
      <c r="U21" s="18">
        <f t="shared" si="9"/>
        <v>77520</v>
      </c>
      <c r="V21" s="18">
        <f t="shared" si="10"/>
        <v>14000</v>
      </c>
      <c r="W21" s="18"/>
    </row>
    <row r="22" spans="1:23" s="2" customFormat="1" x14ac:dyDescent="0.3">
      <c r="A22" s="58" t="s">
        <v>7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39"/>
      <c r="M22" s="39"/>
      <c r="N22" s="46"/>
      <c r="O22" s="39"/>
      <c r="P22" s="40"/>
      <c r="Q22" s="43"/>
      <c r="R22" s="43"/>
      <c r="S22" s="18">
        <f t="shared" si="7"/>
        <v>0</v>
      </c>
      <c r="T22" s="18">
        <f t="shared" si="8"/>
        <v>0</v>
      </c>
      <c r="U22" s="18">
        <f t="shared" si="9"/>
        <v>0</v>
      </c>
      <c r="V22" s="18">
        <f t="shared" si="10"/>
        <v>0</v>
      </c>
      <c r="W22" s="18"/>
    </row>
    <row r="23" spans="1:23" ht="14.4" customHeight="1" x14ac:dyDescent="0.3">
      <c r="A23" s="3">
        <v>1</v>
      </c>
      <c r="B23" s="4" t="s">
        <v>154</v>
      </c>
      <c r="C23" s="3" t="s">
        <v>48</v>
      </c>
      <c r="D23" s="42" t="str">
        <f t="shared" ref="D23:D34" si="18">RIGHT(C23,LEN(C23)-5)</f>
        <v>2000GR</v>
      </c>
      <c r="E23" s="4" t="str">
        <f>LEFT(D23,LEN(D23)-2)</f>
        <v>2000</v>
      </c>
      <c r="F23" s="4" t="s">
        <v>138</v>
      </c>
      <c r="G23" s="30">
        <v>10</v>
      </c>
      <c r="H23" s="30" t="s">
        <v>200</v>
      </c>
      <c r="I23" s="28">
        <v>1</v>
      </c>
      <c r="J23" s="31">
        <f t="shared" ref="J23:J35" si="19">G23*E23/1000</f>
        <v>20</v>
      </c>
      <c r="K23" s="30" t="s">
        <v>139</v>
      </c>
      <c r="L23" s="19">
        <v>22000</v>
      </c>
      <c r="M23" s="19">
        <f>L23*0.96</f>
        <v>21120</v>
      </c>
      <c r="N23" s="5">
        <f t="shared" ref="N23:N35" si="20">O23+P23</f>
        <v>21010</v>
      </c>
      <c r="O23" s="19">
        <f t="shared" ref="O23:O35" si="21">L23-2000</f>
        <v>20000</v>
      </c>
      <c r="P23" s="19">
        <f t="shared" ref="P23:P35" si="22">ROUND((M23-O23)*0.9,-1)</f>
        <v>1010</v>
      </c>
      <c r="Q23" s="52">
        <f t="shared" si="6"/>
        <v>5.0499999999999989E-2</v>
      </c>
      <c r="R23" s="3"/>
      <c r="S23" s="18">
        <f t="shared" si="7"/>
        <v>20064</v>
      </c>
      <c r="T23" s="18">
        <f t="shared" si="8"/>
        <v>19008</v>
      </c>
      <c r="U23" s="18">
        <f t="shared" si="9"/>
        <v>17952</v>
      </c>
      <c r="V23" s="18">
        <f t="shared" si="10"/>
        <v>-3058</v>
      </c>
      <c r="W23" s="18"/>
    </row>
    <row r="24" spans="1:23" x14ac:dyDescent="0.3">
      <c r="A24" s="3">
        <v>2</v>
      </c>
      <c r="B24" s="4" t="s">
        <v>155</v>
      </c>
      <c r="C24" s="3" t="s">
        <v>109</v>
      </c>
      <c r="D24" s="42" t="str">
        <f t="shared" ref="D24" si="23">RIGHT(C24,LEN(C24)-5)</f>
        <v>1000GR - 4 túi</v>
      </c>
      <c r="E24" s="4" t="str">
        <f>LEFT(D24,LEN(D24)-10)</f>
        <v>1000</v>
      </c>
      <c r="F24" s="4" t="s">
        <v>112</v>
      </c>
      <c r="G24" s="30">
        <v>10</v>
      </c>
      <c r="H24" s="30" t="s">
        <v>197</v>
      </c>
      <c r="I24" s="28">
        <v>1</v>
      </c>
      <c r="J24" s="31">
        <f t="shared" si="19"/>
        <v>10</v>
      </c>
      <c r="K24" s="30" t="s">
        <v>139</v>
      </c>
      <c r="L24" s="19">
        <v>22000</v>
      </c>
      <c r="M24" s="19">
        <f t="shared" ref="M24:M35" si="24">L24*0.96</f>
        <v>21120</v>
      </c>
      <c r="N24" s="5">
        <f t="shared" si="20"/>
        <v>21010</v>
      </c>
      <c r="O24" s="19">
        <f t="shared" si="21"/>
        <v>20000</v>
      </c>
      <c r="P24" s="19">
        <f t="shared" si="22"/>
        <v>1010</v>
      </c>
      <c r="Q24" s="52">
        <f t="shared" si="6"/>
        <v>5.0499999999999989E-2</v>
      </c>
      <c r="R24" s="3"/>
      <c r="S24" s="18">
        <f t="shared" si="7"/>
        <v>20064</v>
      </c>
      <c r="T24" s="18">
        <f t="shared" si="8"/>
        <v>19008</v>
      </c>
      <c r="U24" s="18">
        <f t="shared" si="9"/>
        <v>17952</v>
      </c>
      <c r="V24" s="18">
        <f t="shared" si="10"/>
        <v>-3058</v>
      </c>
      <c r="W24" s="18"/>
    </row>
    <row r="25" spans="1:23" x14ac:dyDescent="0.3">
      <c r="A25" s="3">
        <v>3</v>
      </c>
      <c r="B25" s="4" t="s">
        <v>156</v>
      </c>
      <c r="C25" s="3" t="s">
        <v>49</v>
      </c>
      <c r="D25" s="42" t="str">
        <f t="shared" si="18"/>
        <v>1000GR</v>
      </c>
      <c r="E25" s="4" t="str">
        <f>LEFT(D25,LEN(D25)-2)</f>
        <v>1000</v>
      </c>
      <c r="F25" s="4" t="s">
        <v>121</v>
      </c>
      <c r="G25" s="30">
        <v>25</v>
      </c>
      <c r="H25" s="30" t="s">
        <v>197</v>
      </c>
      <c r="I25" s="28">
        <v>1</v>
      </c>
      <c r="J25" s="31">
        <f t="shared" si="19"/>
        <v>25</v>
      </c>
      <c r="K25" s="30" t="s">
        <v>139</v>
      </c>
      <c r="L25" s="19">
        <v>20000</v>
      </c>
      <c r="M25" s="19">
        <f t="shared" si="24"/>
        <v>19200</v>
      </c>
      <c r="N25" s="5">
        <f t="shared" si="20"/>
        <v>19080</v>
      </c>
      <c r="O25" s="19">
        <f t="shared" si="21"/>
        <v>18000</v>
      </c>
      <c r="P25" s="19">
        <f t="shared" si="22"/>
        <v>1080</v>
      </c>
      <c r="Q25" s="52">
        <f t="shared" si="6"/>
        <v>6.0000000000000053E-2</v>
      </c>
      <c r="R25" s="3"/>
      <c r="S25" s="18">
        <f t="shared" si="7"/>
        <v>18240</v>
      </c>
      <c r="T25" s="18">
        <f t="shared" si="8"/>
        <v>17280</v>
      </c>
      <c r="U25" s="18">
        <f t="shared" si="9"/>
        <v>16320</v>
      </c>
      <c r="V25" s="18">
        <f t="shared" si="10"/>
        <v>-2760</v>
      </c>
      <c r="W25" s="18"/>
    </row>
    <row r="26" spans="1:23" x14ac:dyDescent="0.3">
      <c r="A26" s="3">
        <v>4</v>
      </c>
      <c r="B26" s="4" t="s">
        <v>157</v>
      </c>
      <c r="C26" s="3" t="s">
        <v>50</v>
      </c>
      <c r="D26" s="42" t="str">
        <f t="shared" si="18"/>
        <v>500GR</v>
      </c>
      <c r="E26" s="4" t="str">
        <f t="shared" ref="E26:E50" si="25">LEFT(D26,LEN(D26)-2)</f>
        <v>500</v>
      </c>
      <c r="F26" s="4" t="s">
        <v>138</v>
      </c>
      <c r="G26" s="30">
        <v>50</v>
      </c>
      <c r="H26" s="30" t="s">
        <v>199</v>
      </c>
      <c r="I26" s="32"/>
      <c r="J26" s="31">
        <f t="shared" si="19"/>
        <v>25</v>
      </c>
      <c r="K26" s="30" t="s">
        <v>139</v>
      </c>
      <c r="L26" s="19">
        <v>22000</v>
      </c>
      <c r="M26" s="19">
        <f t="shared" si="24"/>
        <v>21120</v>
      </c>
      <c r="N26" s="5">
        <f t="shared" si="20"/>
        <v>21010</v>
      </c>
      <c r="O26" s="19">
        <f t="shared" si="21"/>
        <v>20000</v>
      </c>
      <c r="P26" s="19">
        <f t="shared" si="22"/>
        <v>1010</v>
      </c>
      <c r="Q26" s="52">
        <f t="shared" si="6"/>
        <v>5.0499999999999989E-2</v>
      </c>
      <c r="R26" s="3"/>
      <c r="S26" s="18">
        <f t="shared" si="7"/>
        <v>20064</v>
      </c>
      <c r="T26" s="18">
        <f t="shared" si="8"/>
        <v>19008</v>
      </c>
      <c r="U26" s="18">
        <f t="shared" si="9"/>
        <v>17952</v>
      </c>
      <c r="V26" s="18">
        <f t="shared" si="10"/>
        <v>-3058</v>
      </c>
      <c r="W26" s="18"/>
    </row>
    <row r="27" spans="1:23" x14ac:dyDescent="0.3">
      <c r="A27" s="3">
        <v>5</v>
      </c>
      <c r="B27" s="4" t="s">
        <v>158</v>
      </c>
      <c r="C27" s="3" t="s">
        <v>51</v>
      </c>
      <c r="D27" s="42" t="str">
        <f t="shared" si="18"/>
        <v>200GR</v>
      </c>
      <c r="E27" s="4" t="str">
        <f t="shared" si="25"/>
        <v>200</v>
      </c>
      <c r="F27" s="4" t="s">
        <v>138</v>
      </c>
      <c r="G27" s="30">
        <v>120</v>
      </c>
      <c r="H27" s="30" t="s">
        <v>199</v>
      </c>
      <c r="I27" s="32"/>
      <c r="J27" s="31">
        <f t="shared" si="19"/>
        <v>24</v>
      </c>
      <c r="K27" s="30" t="s">
        <v>139</v>
      </c>
      <c r="L27" s="19">
        <v>22000</v>
      </c>
      <c r="M27" s="19">
        <f t="shared" si="24"/>
        <v>21120</v>
      </c>
      <c r="N27" s="5">
        <f t="shared" si="20"/>
        <v>21010</v>
      </c>
      <c r="O27" s="19">
        <f t="shared" si="21"/>
        <v>20000</v>
      </c>
      <c r="P27" s="19">
        <f t="shared" si="22"/>
        <v>1010</v>
      </c>
      <c r="Q27" s="52">
        <f t="shared" si="6"/>
        <v>5.0499999999999989E-2</v>
      </c>
      <c r="R27" s="3"/>
      <c r="S27" s="18">
        <f t="shared" si="7"/>
        <v>20064</v>
      </c>
      <c r="T27" s="18">
        <f t="shared" si="8"/>
        <v>19008</v>
      </c>
      <c r="U27" s="18">
        <f t="shared" si="9"/>
        <v>17952</v>
      </c>
      <c r="V27" s="18">
        <f t="shared" si="10"/>
        <v>-3058</v>
      </c>
      <c r="W27" s="18"/>
    </row>
    <row r="28" spans="1:23" x14ac:dyDescent="0.3">
      <c r="A28" s="3">
        <v>6</v>
      </c>
      <c r="B28" s="4" t="s">
        <v>159</v>
      </c>
      <c r="C28" s="3" t="s">
        <v>52</v>
      </c>
      <c r="D28" s="42" t="str">
        <f t="shared" si="18"/>
        <v>100GR</v>
      </c>
      <c r="E28" s="4" t="str">
        <f t="shared" si="25"/>
        <v>100</v>
      </c>
      <c r="F28" s="4" t="s">
        <v>122</v>
      </c>
      <c r="G28" s="32">
        <f>ROUND(I28*3,0)</f>
        <v>240</v>
      </c>
      <c r="H28" s="30" t="s">
        <v>199</v>
      </c>
      <c r="I28" s="28">
        <f>1000/E28*8</f>
        <v>80</v>
      </c>
      <c r="J28" s="31">
        <f t="shared" si="19"/>
        <v>24</v>
      </c>
      <c r="K28" s="30" t="s">
        <v>139</v>
      </c>
      <c r="L28" s="19">
        <v>22000</v>
      </c>
      <c r="M28" s="19">
        <f t="shared" si="24"/>
        <v>21120</v>
      </c>
      <c r="N28" s="5">
        <f t="shared" si="20"/>
        <v>21010</v>
      </c>
      <c r="O28" s="19">
        <f t="shared" si="21"/>
        <v>20000</v>
      </c>
      <c r="P28" s="19">
        <f t="shared" si="22"/>
        <v>1010</v>
      </c>
      <c r="Q28" s="52">
        <f t="shared" si="6"/>
        <v>5.0499999999999989E-2</v>
      </c>
      <c r="R28" s="3"/>
      <c r="S28" s="18">
        <f t="shared" si="7"/>
        <v>20064</v>
      </c>
      <c r="T28" s="18">
        <f t="shared" si="8"/>
        <v>19008</v>
      </c>
      <c r="U28" s="18">
        <f t="shared" si="9"/>
        <v>17952</v>
      </c>
      <c r="V28" s="18">
        <f t="shared" si="10"/>
        <v>-3058</v>
      </c>
      <c r="W28" s="18"/>
    </row>
    <row r="29" spans="1:23" x14ac:dyDescent="0.3">
      <c r="A29" s="3">
        <v>7</v>
      </c>
      <c r="B29" s="4" t="s">
        <v>160</v>
      </c>
      <c r="C29" s="3" t="s">
        <v>53</v>
      </c>
      <c r="D29" s="42" t="str">
        <f t="shared" si="18"/>
        <v>50GR</v>
      </c>
      <c r="E29" s="4" t="str">
        <f t="shared" si="25"/>
        <v>50</v>
      </c>
      <c r="F29" s="4" t="s">
        <v>123</v>
      </c>
      <c r="G29" s="32">
        <f t="shared" ref="G29:G32" si="26">ROUND(I29*3,0)</f>
        <v>480</v>
      </c>
      <c r="H29" s="30" t="s">
        <v>199</v>
      </c>
      <c r="I29" s="28">
        <f>1000/E29*8</f>
        <v>160</v>
      </c>
      <c r="J29" s="31">
        <f t="shared" si="19"/>
        <v>24</v>
      </c>
      <c r="K29" s="30" t="s">
        <v>139</v>
      </c>
      <c r="L29" s="19">
        <v>22000</v>
      </c>
      <c r="M29" s="19">
        <f t="shared" si="24"/>
        <v>21120</v>
      </c>
      <c r="N29" s="5">
        <f t="shared" si="20"/>
        <v>21010</v>
      </c>
      <c r="O29" s="19">
        <f t="shared" si="21"/>
        <v>20000</v>
      </c>
      <c r="P29" s="19">
        <f t="shared" si="22"/>
        <v>1010</v>
      </c>
      <c r="Q29" s="52">
        <f t="shared" si="6"/>
        <v>5.0499999999999989E-2</v>
      </c>
      <c r="R29" s="3"/>
      <c r="S29" s="18">
        <f t="shared" si="7"/>
        <v>20064</v>
      </c>
      <c r="T29" s="18">
        <f t="shared" si="8"/>
        <v>19008</v>
      </c>
      <c r="U29" s="18">
        <f t="shared" si="9"/>
        <v>17952</v>
      </c>
      <c r="V29" s="18">
        <f t="shared" si="10"/>
        <v>-3058</v>
      </c>
      <c r="W29" s="18"/>
    </row>
    <row r="30" spans="1:23" s="8" customFormat="1" x14ac:dyDescent="0.3">
      <c r="A30" s="3">
        <v>8</v>
      </c>
      <c r="B30" s="4" t="s">
        <v>161</v>
      </c>
      <c r="C30" s="6" t="s">
        <v>54</v>
      </c>
      <c r="D30" s="23" t="str">
        <f t="shared" si="18"/>
        <v>20GR</v>
      </c>
      <c r="E30" s="7" t="str">
        <f t="shared" si="25"/>
        <v>20</v>
      </c>
      <c r="F30" s="7" t="s">
        <v>124</v>
      </c>
      <c r="G30" s="32">
        <f t="shared" si="26"/>
        <v>1200</v>
      </c>
      <c r="H30" s="30" t="s">
        <v>197</v>
      </c>
      <c r="I30" s="28">
        <f>1000/E30*8</f>
        <v>400</v>
      </c>
      <c r="J30" s="31">
        <f t="shared" si="19"/>
        <v>24</v>
      </c>
      <c r="K30" s="30" t="s">
        <v>139</v>
      </c>
      <c r="L30" s="19">
        <v>22000</v>
      </c>
      <c r="M30" s="19">
        <f t="shared" si="24"/>
        <v>21120</v>
      </c>
      <c r="N30" s="5">
        <f t="shared" si="20"/>
        <v>21010</v>
      </c>
      <c r="O30" s="19">
        <f t="shared" si="21"/>
        <v>20000</v>
      </c>
      <c r="P30" s="19">
        <f t="shared" si="22"/>
        <v>1010</v>
      </c>
      <c r="Q30" s="52">
        <f t="shared" si="6"/>
        <v>5.0499999999999989E-2</v>
      </c>
      <c r="R30" s="6"/>
      <c r="S30" s="18">
        <f t="shared" si="7"/>
        <v>20064</v>
      </c>
      <c r="T30" s="18">
        <f t="shared" si="8"/>
        <v>19008</v>
      </c>
      <c r="U30" s="18">
        <f t="shared" si="9"/>
        <v>17952</v>
      </c>
      <c r="V30" s="18">
        <f t="shared" si="10"/>
        <v>-3058</v>
      </c>
      <c r="W30" s="18"/>
    </row>
    <row r="31" spans="1:23" x14ac:dyDescent="0.3">
      <c r="A31" s="3">
        <v>9</v>
      </c>
      <c r="B31" s="4" t="s">
        <v>8</v>
      </c>
      <c r="C31" s="3" t="s">
        <v>55</v>
      </c>
      <c r="D31" s="42" t="str">
        <f t="shared" si="18"/>
        <v>10GR</v>
      </c>
      <c r="E31" s="4" t="str">
        <f t="shared" si="25"/>
        <v>10</v>
      </c>
      <c r="F31" s="4" t="s">
        <v>125</v>
      </c>
      <c r="G31" s="32">
        <f t="shared" si="26"/>
        <v>2100</v>
      </c>
      <c r="H31" s="30" t="s">
        <v>197</v>
      </c>
      <c r="I31" s="28">
        <f>1000/E31*7</f>
        <v>700</v>
      </c>
      <c r="J31" s="31">
        <f t="shared" si="19"/>
        <v>21</v>
      </c>
      <c r="K31" s="30" t="s">
        <v>139</v>
      </c>
      <c r="L31" s="19">
        <v>24000</v>
      </c>
      <c r="M31" s="19">
        <f t="shared" si="24"/>
        <v>23040</v>
      </c>
      <c r="N31" s="5">
        <f t="shared" si="20"/>
        <v>22940</v>
      </c>
      <c r="O31" s="19">
        <f t="shared" si="21"/>
        <v>22000</v>
      </c>
      <c r="P31" s="19">
        <f t="shared" si="22"/>
        <v>940</v>
      </c>
      <c r="Q31" s="52">
        <f t="shared" si="6"/>
        <v>4.2727272727272725E-2</v>
      </c>
      <c r="R31" s="3"/>
      <c r="S31" s="18">
        <f t="shared" si="7"/>
        <v>21888</v>
      </c>
      <c r="T31" s="18">
        <f t="shared" si="8"/>
        <v>20736</v>
      </c>
      <c r="U31" s="18">
        <f t="shared" si="9"/>
        <v>19584</v>
      </c>
      <c r="V31" s="18">
        <f t="shared" si="10"/>
        <v>-3356</v>
      </c>
      <c r="W31" s="18"/>
    </row>
    <row r="32" spans="1:23" x14ac:dyDescent="0.3">
      <c r="A32" s="3">
        <v>10</v>
      </c>
      <c r="B32" s="4" t="s">
        <v>162</v>
      </c>
      <c r="C32" s="3" t="s">
        <v>56</v>
      </c>
      <c r="D32" s="42" t="str">
        <f t="shared" si="18"/>
        <v>5GR</v>
      </c>
      <c r="E32" s="4" t="str">
        <f t="shared" si="25"/>
        <v>5</v>
      </c>
      <c r="F32" s="4" t="s">
        <v>126</v>
      </c>
      <c r="G32" s="32">
        <f t="shared" si="26"/>
        <v>3600</v>
      </c>
      <c r="H32" s="30" t="s">
        <v>197</v>
      </c>
      <c r="I32" s="28">
        <f>1000/E32*6</f>
        <v>1200</v>
      </c>
      <c r="J32" s="31">
        <f t="shared" si="19"/>
        <v>18</v>
      </c>
      <c r="K32" s="30" t="s">
        <v>139</v>
      </c>
      <c r="L32" s="19">
        <v>24000</v>
      </c>
      <c r="M32" s="19">
        <f t="shared" si="24"/>
        <v>23040</v>
      </c>
      <c r="N32" s="5">
        <f t="shared" si="20"/>
        <v>22940</v>
      </c>
      <c r="O32" s="19">
        <f t="shared" si="21"/>
        <v>22000</v>
      </c>
      <c r="P32" s="19">
        <f t="shared" si="22"/>
        <v>940</v>
      </c>
      <c r="Q32" s="52">
        <f t="shared" si="6"/>
        <v>4.2727272727272725E-2</v>
      </c>
      <c r="R32" s="3"/>
      <c r="S32" s="18">
        <f t="shared" si="7"/>
        <v>21888</v>
      </c>
      <c r="T32" s="18">
        <f t="shared" si="8"/>
        <v>20736</v>
      </c>
      <c r="U32" s="18">
        <f t="shared" si="9"/>
        <v>19584</v>
      </c>
      <c r="V32" s="18">
        <f t="shared" si="10"/>
        <v>-3356</v>
      </c>
      <c r="W32" s="18"/>
    </row>
    <row r="33" spans="1:23" x14ac:dyDescent="0.3">
      <c r="A33" s="3">
        <v>11</v>
      </c>
      <c r="B33" s="4" t="s">
        <v>163</v>
      </c>
      <c r="C33" s="3" t="s">
        <v>57</v>
      </c>
      <c r="D33" s="42" t="str">
        <f t="shared" si="18"/>
        <v>3GR</v>
      </c>
      <c r="E33" s="4" t="str">
        <f t="shared" si="25"/>
        <v>3</v>
      </c>
      <c r="F33" s="4" t="s">
        <v>127</v>
      </c>
      <c r="G33" s="32">
        <f>ROUND(I33*3,0)</f>
        <v>6000</v>
      </c>
      <c r="H33" s="30" t="s">
        <v>197</v>
      </c>
      <c r="I33" s="28">
        <f>1000/E33*6</f>
        <v>2000</v>
      </c>
      <c r="J33" s="31">
        <f t="shared" si="19"/>
        <v>18</v>
      </c>
      <c r="K33" s="30" t="s">
        <v>139</v>
      </c>
      <c r="L33" s="19">
        <v>35000</v>
      </c>
      <c r="M33" s="19">
        <f t="shared" si="24"/>
        <v>33600</v>
      </c>
      <c r="N33" s="5">
        <f t="shared" si="20"/>
        <v>33540</v>
      </c>
      <c r="O33" s="19">
        <f t="shared" si="21"/>
        <v>33000</v>
      </c>
      <c r="P33" s="19">
        <f t="shared" si="22"/>
        <v>540</v>
      </c>
      <c r="Q33" s="52">
        <f t="shared" si="6"/>
        <v>1.6363636363636358E-2</v>
      </c>
      <c r="R33" s="3"/>
      <c r="S33" s="18">
        <f t="shared" si="7"/>
        <v>31920</v>
      </c>
      <c r="T33" s="18">
        <f t="shared" si="8"/>
        <v>30240</v>
      </c>
      <c r="U33" s="18">
        <f t="shared" si="9"/>
        <v>28560</v>
      </c>
      <c r="V33" s="18">
        <f t="shared" si="10"/>
        <v>-4980</v>
      </c>
      <c r="W33" s="18"/>
    </row>
    <row r="34" spans="1:23" x14ac:dyDescent="0.3">
      <c r="A34" s="3">
        <v>12</v>
      </c>
      <c r="B34" s="4" t="s">
        <v>164</v>
      </c>
      <c r="C34" s="3" t="s">
        <v>58</v>
      </c>
      <c r="D34" s="42" t="str">
        <f t="shared" si="18"/>
        <v>2GR</v>
      </c>
      <c r="E34" s="4" t="str">
        <f t="shared" si="25"/>
        <v>2</v>
      </c>
      <c r="F34" s="4" t="s">
        <v>128</v>
      </c>
      <c r="G34" s="32">
        <f>ROUND(I34*3,0)</f>
        <v>9000</v>
      </c>
      <c r="H34" s="30" t="s">
        <v>197</v>
      </c>
      <c r="I34" s="28">
        <f>1000/E34*6</f>
        <v>3000</v>
      </c>
      <c r="J34" s="31">
        <f t="shared" si="19"/>
        <v>18</v>
      </c>
      <c r="K34" s="30" t="s">
        <v>139</v>
      </c>
      <c r="L34" s="19">
        <v>35000</v>
      </c>
      <c r="M34" s="19">
        <f t="shared" si="24"/>
        <v>33600</v>
      </c>
      <c r="N34" s="5">
        <f t="shared" si="20"/>
        <v>33540</v>
      </c>
      <c r="O34" s="19">
        <f t="shared" si="21"/>
        <v>33000</v>
      </c>
      <c r="P34" s="19">
        <f t="shared" si="22"/>
        <v>540</v>
      </c>
      <c r="Q34" s="52">
        <f t="shared" si="6"/>
        <v>1.6363636363636358E-2</v>
      </c>
      <c r="R34" s="3"/>
      <c r="S34" s="18">
        <f t="shared" si="7"/>
        <v>31920</v>
      </c>
      <c r="T34" s="18">
        <f t="shared" si="8"/>
        <v>30240</v>
      </c>
      <c r="U34" s="18">
        <f t="shared" si="9"/>
        <v>28560</v>
      </c>
      <c r="V34" s="18">
        <f t="shared" si="10"/>
        <v>-4980</v>
      </c>
      <c r="W34" s="18"/>
    </row>
    <row r="35" spans="1:23" x14ac:dyDescent="0.3">
      <c r="A35" s="3">
        <v>13</v>
      </c>
      <c r="B35" s="4" t="s">
        <v>165</v>
      </c>
      <c r="C35" s="3" t="s">
        <v>232</v>
      </c>
      <c r="D35" s="42" t="str">
        <f t="shared" ref="D35" si="27">RIGHT(C35,LEN(C35)-5)</f>
        <v>1,4GR</v>
      </c>
      <c r="E35" s="4" t="str">
        <f t="shared" ref="E35" si="28">LEFT(D35,LEN(D35)-2)</f>
        <v>1,4</v>
      </c>
      <c r="F35" s="4" t="s">
        <v>129</v>
      </c>
      <c r="G35" s="32">
        <f>ROUNDUP(I35*4,0)</f>
        <v>14286</v>
      </c>
      <c r="H35" s="30" t="s">
        <v>197</v>
      </c>
      <c r="I35" s="28">
        <f>1000/E35*5</f>
        <v>3571.4285714285716</v>
      </c>
      <c r="J35" s="31">
        <f t="shared" si="19"/>
        <v>20.000399999999999</v>
      </c>
      <c r="K35" s="30" t="s">
        <v>139</v>
      </c>
      <c r="L35" s="19">
        <v>35000</v>
      </c>
      <c r="M35" s="19">
        <f t="shared" si="24"/>
        <v>33600</v>
      </c>
      <c r="N35" s="5">
        <f t="shared" si="20"/>
        <v>33540</v>
      </c>
      <c r="O35" s="19">
        <f t="shared" si="21"/>
        <v>33000</v>
      </c>
      <c r="P35" s="19">
        <f t="shared" si="22"/>
        <v>540</v>
      </c>
      <c r="Q35" s="52">
        <f t="shared" si="6"/>
        <v>1.6363636363636358E-2</v>
      </c>
      <c r="R35" s="3"/>
      <c r="S35" s="18">
        <f t="shared" si="7"/>
        <v>31920</v>
      </c>
      <c r="T35" s="18">
        <f t="shared" si="8"/>
        <v>30240</v>
      </c>
      <c r="U35" s="18">
        <f t="shared" si="9"/>
        <v>28560</v>
      </c>
      <c r="V35" s="18">
        <f t="shared" si="10"/>
        <v>-4980</v>
      </c>
      <c r="W35" s="18"/>
    </row>
    <row r="36" spans="1:23" x14ac:dyDescent="0.3">
      <c r="A36" s="58" t="s">
        <v>9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39"/>
      <c r="M36" s="39"/>
      <c r="N36" s="17"/>
      <c r="O36" s="39"/>
      <c r="P36" s="12"/>
      <c r="Q36" s="3"/>
      <c r="R36" s="3"/>
      <c r="S36" s="18">
        <f t="shared" si="7"/>
        <v>0</v>
      </c>
      <c r="T36" s="18">
        <f t="shared" si="8"/>
        <v>0</v>
      </c>
      <c r="U36" s="18">
        <f t="shared" si="9"/>
        <v>0</v>
      </c>
      <c r="V36" s="18">
        <f t="shared" si="10"/>
        <v>0</v>
      </c>
      <c r="W36" s="18"/>
    </row>
    <row r="37" spans="1:23" x14ac:dyDescent="0.3">
      <c r="A37" s="3">
        <v>1</v>
      </c>
      <c r="B37" s="4" t="s">
        <v>166</v>
      </c>
      <c r="C37" s="6" t="s">
        <v>11</v>
      </c>
      <c r="D37" s="42" t="str">
        <f t="shared" ref="D37:D50" si="29">RIGHT(C37,LEN(C37)-11)</f>
        <v>1000GR - 4 túi</v>
      </c>
      <c r="E37" s="4" t="str">
        <f>LEFT(D37,LEN(D37)-10)</f>
        <v>1000</v>
      </c>
      <c r="F37" s="4" t="s">
        <v>112</v>
      </c>
      <c r="G37" s="30">
        <v>18</v>
      </c>
      <c r="H37" s="30" t="s">
        <v>197</v>
      </c>
      <c r="I37" s="28">
        <v>1</v>
      </c>
      <c r="J37" s="31">
        <f t="shared" ref="J37:J50" si="30">G37*E37/1000</f>
        <v>18</v>
      </c>
      <c r="K37" s="30" t="s">
        <v>139</v>
      </c>
      <c r="L37" s="19">
        <v>44000</v>
      </c>
      <c r="M37" s="19">
        <f>L37*0.98</f>
        <v>43120</v>
      </c>
      <c r="N37" s="5">
        <f t="shared" ref="N37:N50" si="31">O37+P37</f>
        <v>43010</v>
      </c>
      <c r="O37" s="19">
        <f t="shared" ref="O37:O50" si="32">L37-2000</f>
        <v>42000</v>
      </c>
      <c r="P37" s="19">
        <f t="shared" ref="P37:P50" si="33">ROUND((M37-O37)*0.9,-1)</f>
        <v>1010</v>
      </c>
      <c r="Q37" s="52">
        <f t="shared" si="6"/>
        <v>2.4047619047619095E-2</v>
      </c>
      <c r="R37" s="3"/>
      <c r="S37" s="18">
        <f t="shared" si="7"/>
        <v>40964</v>
      </c>
      <c r="T37" s="18">
        <f t="shared" si="8"/>
        <v>38808</v>
      </c>
      <c r="U37" s="18">
        <f t="shared" si="9"/>
        <v>36652</v>
      </c>
      <c r="V37" s="18">
        <f t="shared" si="10"/>
        <v>-6358</v>
      </c>
      <c r="W37" s="18"/>
    </row>
    <row r="38" spans="1:23" x14ac:dyDescent="0.3">
      <c r="A38" s="3">
        <v>2</v>
      </c>
      <c r="B38" s="4" t="s">
        <v>167</v>
      </c>
      <c r="C38" s="6" t="s">
        <v>10</v>
      </c>
      <c r="D38" s="42" t="str">
        <f>RIGHT(C38,LEN(C38)-11)</f>
        <v>1000GR - 3 túi</v>
      </c>
      <c r="E38" s="4" t="str">
        <f>LEFT(D38,LEN(D38)-10)</f>
        <v>1000</v>
      </c>
      <c r="F38" s="4" t="s">
        <v>113</v>
      </c>
      <c r="G38" s="30">
        <v>16</v>
      </c>
      <c r="H38" s="30" t="s">
        <v>197</v>
      </c>
      <c r="I38" s="28">
        <v>1</v>
      </c>
      <c r="J38" s="31">
        <f t="shared" si="30"/>
        <v>16</v>
      </c>
      <c r="K38" s="30" t="s">
        <v>139</v>
      </c>
      <c r="L38" s="19">
        <v>44000</v>
      </c>
      <c r="M38" s="19">
        <f t="shared" ref="M38:M50" si="34">L38*0.98</f>
        <v>43120</v>
      </c>
      <c r="N38" s="5">
        <f t="shared" si="31"/>
        <v>43010</v>
      </c>
      <c r="O38" s="19">
        <f t="shared" si="32"/>
        <v>42000</v>
      </c>
      <c r="P38" s="19">
        <f t="shared" si="33"/>
        <v>1010</v>
      </c>
      <c r="Q38" s="52">
        <f t="shared" si="6"/>
        <v>2.4047619047619095E-2</v>
      </c>
      <c r="R38" s="3"/>
      <c r="S38" s="18">
        <f t="shared" si="7"/>
        <v>40964</v>
      </c>
      <c r="T38" s="18">
        <f t="shared" si="8"/>
        <v>38808</v>
      </c>
      <c r="U38" s="18">
        <f t="shared" si="9"/>
        <v>36652</v>
      </c>
      <c r="V38" s="18">
        <f t="shared" si="10"/>
        <v>-6358</v>
      </c>
      <c r="W38" s="18"/>
    </row>
    <row r="39" spans="1:23" x14ac:dyDescent="0.3">
      <c r="A39" s="3">
        <v>3</v>
      </c>
      <c r="B39" s="4" t="s">
        <v>168</v>
      </c>
      <c r="C39" s="6" t="s">
        <v>108</v>
      </c>
      <c r="D39" s="42" t="str">
        <f>RIGHT(C39,LEN(C39)-11)</f>
        <v>1000GR</v>
      </c>
      <c r="E39" s="4" t="str">
        <f>LEFT(D39,LEN(D39)-2)</f>
        <v>1000</v>
      </c>
      <c r="F39" s="4" t="s">
        <v>121</v>
      </c>
      <c r="G39" s="30">
        <v>18</v>
      </c>
      <c r="H39" s="30" t="s">
        <v>197</v>
      </c>
      <c r="I39" s="28">
        <v>1</v>
      </c>
      <c r="J39" s="31">
        <f t="shared" si="30"/>
        <v>18</v>
      </c>
      <c r="K39" s="30" t="s">
        <v>139</v>
      </c>
      <c r="L39" s="19">
        <v>42000</v>
      </c>
      <c r="M39" s="19">
        <f t="shared" si="34"/>
        <v>41160</v>
      </c>
      <c r="N39" s="5">
        <f t="shared" si="31"/>
        <v>41040</v>
      </c>
      <c r="O39" s="19">
        <f t="shared" si="32"/>
        <v>40000</v>
      </c>
      <c r="P39" s="19">
        <f t="shared" si="33"/>
        <v>1040</v>
      </c>
      <c r="Q39" s="52">
        <f t="shared" si="6"/>
        <v>2.6000000000000023E-2</v>
      </c>
      <c r="R39" s="3"/>
      <c r="S39" s="18">
        <f t="shared" si="7"/>
        <v>39102</v>
      </c>
      <c r="T39" s="18">
        <f t="shared" si="8"/>
        <v>37044</v>
      </c>
      <c r="U39" s="18">
        <f t="shared" si="9"/>
        <v>34986</v>
      </c>
      <c r="V39" s="18">
        <f t="shared" si="10"/>
        <v>-6054</v>
      </c>
      <c r="W39" s="18"/>
    </row>
    <row r="40" spans="1:23" x14ac:dyDescent="0.3">
      <c r="A40" s="3">
        <v>4</v>
      </c>
      <c r="B40" s="4" t="s">
        <v>169</v>
      </c>
      <c r="C40" s="6" t="s">
        <v>12</v>
      </c>
      <c r="D40" s="42" t="str">
        <f t="shared" si="29"/>
        <v>500GR</v>
      </c>
      <c r="E40" s="4" t="str">
        <f t="shared" si="25"/>
        <v>500</v>
      </c>
      <c r="F40" s="4" t="s">
        <v>138</v>
      </c>
      <c r="G40" s="30">
        <v>40</v>
      </c>
      <c r="H40" s="30" t="s">
        <v>199</v>
      </c>
      <c r="I40" s="32"/>
      <c r="J40" s="31">
        <f t="shared" si="30"/>
        <v>20</v>
      </c>
      <c r="K40" s="30" t="s">
        <v>139</v>
      </c>
      <c r="L40" s="19">
        <v>44000</v>
      </c>
      <c r="M40" s="19">
        <f t="shared" si="34"/>
        <v>43120</v>
      </c>
      <c r="N40" s="5">
        <f t="shared" si="31"/>
        <v>43010</v>
      </c>
      <c r="O40" s="19">
        <f t="shared" si="32"/>
        <v>42000</v>
      </c>
      <c r="P40" s="19">
        <f t="shared" si="33"/>
        <v>1010</v>
      </c>
      <c r="Q40" s="52">
        <f t="shared" si="6"/>
        <v>2.4047619047619095E-2</v>
      </c>
      <c r="R40" s="3"/>
      <c r="S40" s="18">
        <f t="shared" si="7"/>
        <v>40964</v>
      </c>
      <c r="T40" s="18">
        <f t="shared" si="8"/>
        <v>38808</v>
      </c>
      <c r="U40" s="18">
        <f t="shared" si="9"/>
        <v>36652</v>
      </c>
      <c r="V40" s="18">
        <f t="shared" si="10"/>
        <v>-6358</v>
      </c>
      <c r="W40" s="18"/>
    </row>
    <row r="41" spans="1:23" x14ac:dyDescent="0.3">
      <c r="A41" s="3">
        <v>5</v>
      </c>
      <c r="B41" s="4" t="s">
        <v>170</v>
      </c>
      <c r="C41" s="6" t="s">
        <v>13</v>
      </c>
      <c r="D41" s="42" t="str">
        <f t="shared" si="29"/>
        <v>200GR</v>
      </c>
      <c r="E41" s="4" t="str">
        <f t="shared" si="25"/>
        <v>200</v>
      </c>
      <c r="F41" s="4" t="s">
        <v>138</v>
      </c>
      <c r="G41" s="30">
        <v>120</v>
      </c>
      <c r="H41" s="30" t="s">
        <v>199</v>
      </c>
      <c r="I41" s="32"/>
      <c r="J41" s="31">
        <f t="shared" si="30"/>
        <v>24</v>
      </c>
      <c r="K41" s="30" t="s">
        <v>139</v>
      </c>
      <c r="L41" s="19">
        <v>44000</v>
      </c>
      <c r="M41" s="19">
        <f t="shared" si="34"/>
        <v>43120</v>
      </c>
      <c r="N41" s="5">
        <f t="shared" si="31"/>
        <v>43010</v>
      </c>
      <c r="O41" s="19">
        <f t="shared" si="32"/>
        <v>42000</v>
      </c>
      <c r="P41" s="19">
        <f t="shared" si="33"/>
        <v>1010</v>
      </c>
      <c r="Q41" s="52">
        <f t="shared" si="6"/>
        <v>2.4047619047619095E-2</v>
      </c>
      <c r="R41" s="3"/>
      <c r="S41" s="18">
        <f t="shared" si="7"/>
        <v>40964</v>
      </c>
      <c r="T41" s="18">
        <f t="shared" si="8"/>
        <v>38808</v>
      </c>
      <c r="U41" s="18">
        <f t="shared" si="9"/>
        <v>36652</v>
      </c>
      <c r="V41" s="18">
        <f t="shared" si="10"/>
        <v>-6358</v>
      </c>
      <c r="W41" s="18"/>
    </row>
    <row r="42" spans="1:23" x14ac:dyDescent="0.3">
      <c r="A42" s="3">
        <v>6</v>
      </c>
      <c r="B42" s="4" t="s">
        <v>171</v>
      </c>
      <c r="C42" s="6" t="s">
        <v>14</v>
      </c>
      <c r="D42" s="42" t="str">
        <f t="shared" si="29"/>
        <v>100GR</v>
      </c>
      <c r="E42" s="4" t="str">
        <f t="shared" si="25"/>
        <v>100</v>
      </c>
      <c r="F42" s="4" t="s">
        <v>130</v>
      </c>
      <c r="G42" s="32">
        <f>ROUND(I42*12,0)</f>
        <v>300</v>
      </c>
      <c r="H42" s="30" t="s">
        <v>199</v>
      </c>
      <c r="I42" s="28">
        <f t="shared" ref="I42:I49" si="35">1000/E42*2.5</f>
        <v>25</v>
      </c>
      <c r="J42" s="31">
        <f t="shared" si="30"/>
        <v>30</v>
      </c>
      <c r="K42" s="30" t="s">
        <v>139</v>
      </c>
      <c r="L42" s="19">
        <v>44000</v>
      </c>
      <c r="M42" s="19">
        <f t="shared" si="34"/>
        <v>43120</v>
      </c>
      <c r="N42" s="5">
        <f t="shared" si="31"/>
        <v>43010</v>
      </c>
      <c r="O42" s="19">
        <f t="shared" si="32"/>
        <v>42000</v>
      </c>
      <c r="P42" s="19">
        <f t="shared" si="33"/>
        <v>1010</v>
      </c>
      <c r="Q42" s="52">
        <f t="shared" si="6"/>
        <v>2.4047619047619095E-2</v>
      </c>
      <c r="R42" s="3"/>
      <c r="S42" s="18">
        <f t="shared" si="7"/>
        <v>40964</v>
      </c>
      <c r="T42" s="18">
        <f t="shared" si="8"/>
        <v>38808</v>
      </c>
      <c r="U42" s="18">
        <f t="shared" si="9"/>
        <v>36652</v>
      </c>
      <c r="V42" s="18">
        <f t="shared" si="10"/>
        <v>-6358</v>
      </c>
      <c r="W42" s="18"/>
    </row>
    <row r="43" spans="1:23" x14ac:dyDescent="0.3">
      <c r="A43" s="3">
        <v>7</v>
      </c>
      <c r="B43" s="4" t="s">
        <v>172</v>
      </c>
      <c r="C43" s="6" t="s">
        <v>15</v>
      </c>
      <c r="D43" s="42" t="str">
        <f t="shared" si="29"/>
        <v>50GR</v>
      </c>
      <c r="E43" s="4" t="str">
        <f t="shared" si="25"/>
        <v>50</v>
      </c>
      <c r="F43" s="4" t="s">
        <v>131</v>
      </c>
      <c r="G43" s="32">
        <f t="shared" ref="G43:G46" si="36">ROUND(I43*12,0)</f>
        <v>600</v>
      </c>
      <c r="H43" s="30" t="s">
        <v>199</v>
      </c>
      <c r="I43" s="28">
        <f t="shared" si="35"/>
        <v>50</v>
      </c>
      <c r="J43" s="31">
        <f t="shared" si="30"/>
        <v>30</v>
      </c>
      <c r="K43" s="30" t="s">
        <v>139</v>
      </c>
      <c r="L43" s="19">
        <v>44000</v>
      </c>
      <c r="M43" s="19">
        <f t="shared" si="34"/>
        <v>43120</v>
      </c>
      <c r="N43" s="5">
        <f t="shared" si="31"/>
        <v>43010</v>
      </c>
      <c r="O43" s="19">
        <f t="shared" si="32"/>
        <v>42000</v>
      </c>
      <c r="P43" s="19">
        <f t="shared" si="33"/>
        <v>1010</v>
      </c>
      <c r="Q43" s="52">
        <f t="shared" si="6"/>
        <v>2.4047619047619095E-2</v>
      </c>
      <c r="R43" s="3"/>
      <c r="S43" s="18">
        <f t="shared" si="7"/>
        <v>40964</v>
      </c>
      <c r="T43" s="18">
        <f t="shared" si="8"/>
        <v>38808</v>
      </c>
      <c r="U43" s="18">
        <f t="shared" si="9"/>
        <v>36652</v>
      </c>
      <c r="V43" s="18">
        <f t="shared" si="10"/>
        <v>-6358</v>
      </c>
      <c r="W43" s="18"/>
    </row>
    <row r="44" spans="1:23" x14ac:dyDescent="0.3">
      <c r="A44" s="3">
        <v>8</v>
      </c>
      <c r="B44" s="4" t="s">
        <v>173</v>
      </c>
      <c r="C44" s="6" t="s">
        <v>17</v>
      </c>
      <c r="D44" s="42" t="str">
        <f t="shared" si="29"/>
        <v>25GR</v>
      </c>
      <c r="E44" s="4" t="str">
        <f t="shared" si="25"/>
        <v>25</v>
      </c>
      <c r="F44" s="4" t="s">
        <v>132</v>
      </c>
      <c r="G44" s="32">
        <f t="shared" si="36"/>
        <v>1200</v>
      </c>
      <c r="H44" s="30" t="s">
        <v>197</v>
      </c>
      <c r="I44" s="28">
        <f t="shared" si="35"/>
        <v>100</v>
      </c>
      <c r="J44" s="31">
        <f t="shared" si="30"/>
        <v>30</v>
      </c>
      <c r="K44" s="30" t="s">
        <v>139</v>
      </c>
      <c r="L44" s="19">
        <v>44000</v>
      </c>
      <c r="M44" s="19">
        <f t="shared" si="34"/>
        <v>43120</v>
      </c>
      <c r="N44" s="5">
        <f t="shared" si="31"/>
        <v>43010</v>
      </c>
      <c r="O44" s="19">
        <f t="shared" si="32"/>
        <v>42000</v>
      </c>
      <c r="P44" s="19">
        <f t="shared" si="33"/>
        <v>1010</v>
      </c>
      <c r="Q44" s="52">
        <f t="shared" si="6"/>
        <v>2.4047619047619095E-2</v>
      </c>
      <c r="R44" s="3"/>
      <c r="S44" s="18">
        <f t="shared" si="7"/>
        <v>40964</v>
      </c>
      <c r="T44" s="18">
        <f t="shared" si="8"/>
        <v>38808</v>
      </c>
      <c r="U44" s="18">
        <f t="shared" si="9"/>
        <v>36652</v>
      </c>
      <c r="V44" s="18">
        <f t="shared" si="10"/>
        <v>-6358</v>
      </c>
      <c r="W44" s="18"/>
    </row>
    <row r="45" spans="1:23" x14ac:dyDescent="0.3">
      <c r="A45" s="3">
        <v>9</v>
      </c>
      <c r="B45" s="4" t="s">
        <v>174</v>
      </c>
      <c r="C45" s="6" t="s">
        <v>18</v>
      </c>
      <c r="D45" s="42" t="str">
        <f t="shared" si="29"/>
        <v>20GR</v>
      </c>
      <c r="E45" s="4" t="str">
        <f t="shared" si="25"/>
        <v>20</v>
      </c>
      <c r="F45" s="4" t="s">
        <v>124</v>
      </c>
      <c r="G45" s="32">
        <f t="shared" si="36"/>
        <v>1500</v>
      </c>
      <c r="H45" s="30" t="s">
        <v>197</v>
      </c>
      <c r="I45" s="28">
        <f t="shared" si="35"/>
        <v>125</v>
      </c>
      <c r="J45" s="31">
        <f t="shared" si="30"/>
        <v>30</v>
      </c>
      <c r="K45" s="30" t="s">
        <v>139</v>
      </c>
      <c r="L45" s="19">
        <v>44000</v>
      </c>
      <c r="M45" s="19">
        <f t="shared" si="34"/>
        <v>43120</v>
      </c>
      <c r="N45" s="5">
        <f t="shared" si="31"/>
        <v>43010</v>
      </c>
      <c r="O45" s="19">
        <f t="shared" si="32"/>
        <v>42000</v>
      </c>
      <c r="P45" s="19">
        <f t="shared" si="33"/>
        <v>1010</v>
      </c>
      <c r="Q45" s="52">
        <f t="shared" si="6"/>
        <v>2.4047619047619095E-2</v>
      </c>
      <c r="R45" s="3"/>
      <c r="S45" s="18">
        <f t="shared" si="7"/>
        <v>40964</v>
      </c>
      <c r="T45" s="18">
        <f t="shared" si="8"/>
        <v>38808</v>
      </c>
      <c r="U45" s="18">
        <f t="shared" si="9"/>
        <v>36652</v>
      </c>
      <c r="V45" s="18">
        <f t="shared" si="10"/>
        <v>-6358</v>
      </c>
      <c r="W45" s="18"/>
    </row>
    <row r="46" spans="1:23" x14ac:dyDescent="0.3">
      <c r="A46" s="3">
        <v>10</v>
      </c>
      <c r="B46" s="4" t="s">
        <v>16</v>
      </c>
      <c r="C46" s="6" t="s">
        <v>19</v>
      </c>
      <c r="D46" s="42" t="str">
        <f t="shared" si="29"/>
        <v>10GR</v>
      </c>
      <c r="E46" s="4" t="str">
        <f t="shared" si="25"/>
        <v>10</v>
      </c>
      <c r="F46" s="4" t="s">
        <v>133</v>
      </c>
      <c r="G46" s="32">
        <f t="shared" si="36"/>
        <v>3000</v>
      </c>
      <c r="H46" s="30" t="s">
        <v>197</v>
      </c>
      <c r="I46" s="28">
        <f t="shared" si="35"/>
        <v>250</v>
      </c>
      <c r="J46" s="31">
        <f t="shared" si="30"/>
        <v>30</v>
      </c>
      <c r="K46" s="30" t="s">
        <v>139</v>
      </c>
      <c r="L46" s="19">
        <v>46000</v>
      </c>
      <c r="M46" s="19">
        <f t="shared" si="34"/>
        <v>45080</v>
      </c>
      <c r="N46" s="5">
        <f t="shared" si="31"/>
        <v>44970</v>
      </c>
      <c r="O46" s="19">
        <f t="shared" si="32"/>
        <v>44000</v>
      </c>
      <c r="P46" s="19">
        <f t="shared" si="33"/>
        <v>970</v>
      </c>
      <c r="Q46" s="52">
        <f t="shared" si="6"/>
        <v>2.2045454545454479E-2</v>
      </c>
      <c r="R46" s="3"/>
      <c r="S46" s="18">
        <f t="shared" si="7"/>
        <v>42826</v>
      </c>
      <c r="T46" s="18">
        <f t="shared" si="8"/>
        <v>40572</v>
      </c>
      <c r="U46" s="18">
        <f t="shared" si="9"/>
        <v>38318</v>
      </c>
      <c r="V46" s="18">
        <f t="shared" si="10"/>
        <v>-6652</v>
      </c>
      <c r="W46" s="18"/>
    </row>
    <row r="47" spans="1:23" x14ac:dyDescent="0.3">
      <c r="A47" s="3">
        <v>11</v>
      </c>
      <c r="B47" s="4" t="s">
        <v>175</v>
      </c>
      <c r="C47" s="6" t="s">
        <v>20</v>
      </c>
      <c r="D47" s="42" t="str">
        <f t="shared" si="29"/>
        <v>5GR</v>
      </c>
      <c r="E47" s="4" t="str">
        <f t="shared" si="25"/>
        <v>5</v>
      </c>
      <c r="F47" s="4" t="s">
        <v>126</v>
      </c>
      <c r="G47" s="32">
        <f>ROUNDUP(I47*10,0)</f>
        <v>5000</v>
      </c>
      <c r="H47" s="30" t="s">
        <v>197</v>
      </c>
      <c r="I47" s="28">
        <f t="shared" si="35"/>
        <v>500</v>
      </c>
      <c r="J47" s="31">
        <f t="shared" si="30"/>
        <v>25</v>
      </c>
      <c r="K47" s="30" t="s">
        <v>139</v>
      </c>
      <c r="L47" s="19">
        <v>46000</v>
      </c>
      <c r="M47" s="19">
        <f t="shared" si="34"/>
        <v>45080</v>
      </c>
      <c r="N47" s="5">
        <f t="shared" si="31"/>
        <v>44970</v>
      </c>
      <c r="O47" s="19">
        <f t="shared" si="32"/>
        <v>44000</v>
      </c>
      <c r="P47" s="19">
        <f t="shared" si="33"/>
        <v>970</v>
      </c>
      <c r="Q47" s="52">
        <f t="shared" si="6"/>
        <v>2.2045454545454479E-2</v>
      </c>
      <c r="R47" s="3"/>
      <c r="S47" s="18">
        <f t="shared" si="7"/>
        <v>42826</v>
      </c>
      <c r="T47" s="18">
        <f t="shared" si="8"/>
        <v>40572</v>
      </c>
      <c r="U47" s="18">
        <f t="shared" si="9"/>
        <v>38318</v>
      </c>
      <c r="V47" s="18">
        <f t="shared" si="10"/>
        <v>-6652</v>
      </c>
      <c r="W47" s="18"/>
    </row>
    <row r="48" spans="1:23" x14ac:dyDescent="0.3">
      <c r="A48" s="3">
        <v>12</v>
      </c>
      <c r="B48" s="4" t="s">
        <v>176</v>
      </c>
      <c r="C48" s="6" t="s">
        <v>21</v>
      </c>
      <c r="D48" s="42" t="str">
        <f t="shared" si="29"/>
        <v>3GR</v>
      </c>
      <c r="E48" s="4" t="str">
        <f t="shared" si="25"/>
        <v>3</v>
      </c>
      <c r="F48" s="4" t="s">
        <v>127</v>
      </c>
      <c r="G48" s="32">
        <f t="shared" ref="G48:G50" si="37">ROUNDUP(I48*10,0)</f>
        <v>8334</v>
      </c>
      <c r="H48" s="30" t="s">
        <v>197</v>
      </c>
      <c r="I48" s="28">
        <f t="shared" si="35"/>
        <v>833.33333333333326</v>
      </c>
      <c r="J48" s="31">
        <f t="shared" si="30"/>
        <v>25.001999999999999</v>
      </c>
      <c r="K48" s="30" t="s">
        <v>139</v>
      </c>
      <c r="L48" s="19">
        <v>50000</v>
      </c>
      <c r="M48" s="19">
        <f t="shared" si="34"/>
        <v>49000</v>
      </c>
      <c r="N48" s="5">
        <f t="shared" si="31"/>
        <v>48900</v>
      </c>
      <c r="O48" s="19">
        <f t="shared" si="32"/>
        <v>48000</v>
      </c>
      <c r="P48" s="19">
        <f t="shared" si="33"/>
        <v>900</v>
      </c>
      <c r="Q48" s="52">
        <f t="shared" si="6"/>
        <v>1.8750000000000044E-2</v>
      </c>
      <c r="R48" s="3"/>
      <c r="S48" s="18">
        <f t="shared" si="7"/>
        <v>46550</v>
      </c>
      <c r="T48" s="18">
        <f t="shared" si="8"/>
        <v>44100</v>
      </c>
      <c r="U48" s="18">
        <f t="shared" si="9"/>
        <v>41650</v>
      </c>
      <c r="V48" s="18">
        <f t="shared" si="10"/>
        <v>-7250</v>
      </c>
      <c r="W48" s="18"/>
    </row>
    <row r="49" spans="1:23" x14ac:dyDescent="0.3">
      <c r="A49" s="3">
        <v>13</v>
      </c>
      <c r="B49" s="4" t="s">
        <v>177</v>
      </c>
      <c r="C49" s="6" t="s">
        <v>22</v>
      </c>
      <c r="D49" s="42" t="str">
        <f t="shared" si="29"/>
        <v>2GR</v>
      </c>
      <c r="E49" s="4" t="str">
        <f t="shared" si="25"/>
        <v>2</v>
      </c>
      <c r="F49" s="4" t="s">
        <v>128</v>
      </c>
      <c r="G49" s="32">
        <f t="shared" si="37"/>
        <v>12500</v>
      </c>
      <c r="H49" s="30" t="s">
        <v>197</v>
      </c>
      <c r="I49" s="28">
        <f t="shared" si="35"/>
        <v>1250</v>
      </c>
      <c r="J49" s="31">
        <f t="shared" si="30"/>
        <v>25</v>
      </c>
      <c r="K49" s="30" t="s">
        <v>139</v>
      </c>
      <c r="L49" s="19">
        <v>50000</v>
      </c>
      <c r="M49" s="19">
        <f t="shared" si="34"/>
        <v>49000</v>
      </c>
      <c r="N49" s="5">
        <f t="shared" si="31"/>
        <v>48900</v>
      </c>
      <c r="O49" s="19">
        <f t="shared" si="32"/>
        <v>48000</v>
      </c>
      <c r="P49" s="19">
        <f t="shared" si="33"/>
        <v>900</v>
      </c>
      <c r="Q49" s="52">
        <f t="shared" si="6"/>
        <v>1.8750000000000044E-2</v>
      </c>
      <c r="R49" s="3"/>
      <c r="S49" s="18">
        <f t="shared" si="7"/>
        <v>46550</v>
      </c>
      <c r="T49" s="18">
        <f t="shared" si="8"/>
        <v>44100</v>
      </c>
      <c r="U49" s="18">
        <f t="shared" si="9"/>
        <v>41650</v>
      </c>
      <c r="V49" s="18">
        <f t="shared" si="10"/>
        <v>-7250</v>
      </c>
      <c r="W49" s="18"/>
    </row>
    <row r="50" spans="1:23" x14ac:dyDescent="0.3">
      <c r="A50" s="3">
        <v>14</v>
      </c>
      <c r="B50" s="4" t="s">
        <v>178</v>
      </c>
      <c r="C50" s="6" t="s">
        <v>231</v>
      </c>
      <c r="D50" s="42" t="str">
        <f t="shared" si="29"/>
        <v>1,2GR</v>
      </c>
      <c r="E50" s="4" t="str">
        <f t="shared" si="25"/>
        <v>1,2</v>
      </c>
      <c r="F50" s="4" t="s">
        <v>129</v>
      </c>
      <c r="G50" s="32">
        <f t="shared" si="37"/>
        <v>8334</v>
      </c>
      <c r="H50" s="30" t="s">
        <v>197</v>
      </c>
      <c r="I50" s="28">
        <f>1000/E50</f>
        <v>833.33333333333337</v>
      </c>
      <c r="J50" s="51">
        <f t="shared" si="30"/>
        <v>10.0008</v>
      </c>
      <c r="K50" s="30" t="s">
        <v>139</v>
      </c>
      <c r="L50" s="19">
        <v>50000</v>
      </c>
      <c r="M50" s="19">
        <f t="shared" si="34"/>
        <v>49000</v>
      </c>
      <c r="N50" s="5">
        <f t="shared" si="31"/>
        <v>48900</v>
      </c>
      <c r="O50" s="19">
        <f t="shared" si="32"/>
        <v>48000</v>
      </c>
      <c r="P50" s="19">
        <f t="shared" si="33"/>
        <v>900</v>
      </c>
      <c r="Q50" s="52">
        <f t="shared" si="6"/>
        <v>1.8750000000000044E-2</v>
      </c>
      <c r="R50" s="3"/>
      <c r="S50" s="18">
        <f t="shared" si="7"/>
        <v>46550</v>
      </c>
      <c r="T50" s="18">
        <f t="shared" si="8"/>
        <v>44100</v>
      </c>
      <c r="U50" s="18">
        <f t="shared" si="9"/>
        <v>41650</v>
      </c>
      <c r="V50" s="18">
        <f t="shared" si="10"/>
        <v>-7250</v>
      </c>
      <c r="W50" s="18"/>
    </row>
    <row r="51" spans="1:23" x14ac:dyDescent="0.3">
      <c r="A51" s="59" t="s">
        <v>23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2"/>
      <c r="S51" s="18">
        <f t="shared" si="7"/>
        <v>0</v>
      </c>
      <c r="T51" s="18">
        <f t="shared" si="8"/>
        <v>0</v>
      </c>
      <c r="U51" s="18">
        <f t="shared" si="9"/>
        <v>0</v>
      </c>
      <c r="V51" s="18">
        <f t="shared" si="10"/>
        <v>0</v>
      </c>
      <c r="W51" s="18"/>
    </row>
    <row r="52" spans="1:23" x14ac:dyDescent="0.3">
      <c r="A52" s="3">
        <v>1</v>
      </c>
      <c r="B52" s="4" t="s">
        <v>179</v>
      </c>
      <c r="C52" s="6" t="s">
        <v>31</v>
      </c>
      <c r="D52" s="42" t="s">
        <v>201</v>
      </c>
      <c r="E52" s="4">
        <v>1.5</v>
      </c>
      <c r="F52" s="4" t="s">
        <v>128</v>
      </c>
      <c r="G52" s="30">
        <v>7200</v>
      </c>
      <c r="H52" s="27" t="s">
        <v>209</v>
      </c>
      <c r="I52" s="28">
        <v>667</v>
      </c>
      <c r="J52" s="29">
        <f t="shared" ref="J52:J57" si="38">G52*E52/1000</f>
        <v>10.8</v>
      </c>
      <c r="K52" s="30" t="s">
        <v>5</v>
      </c>
      <c r="L52" s="19">
        <v>120000</v>
      </c>
      <c r="M52" s="19">
        <f t="shared" ref="M52:M60" si="39">L52*0.8</f>
        <v>96000</v>
      </c>
      <c r="N52" s="5">
        <f t="shared" ref="N52:N57" si="40">O52+P52</f>
        <v>66400</v>
      </c>
      <c r="O52" s="19">
        <v>22000</v>
      </c>
      <c r="P52" s="19">
        <f t="shared" ref="P52:P57" si="41">(M52-O52)*0.6</f>
        <v>44400</v>
      </c>
      <c r="Q52" s="52">
        <f t="shared" si="6"/>
        <v>2.0181818181818181</v>
      </c>
      <c r="R52" s="71" t="s">
        <v>235</v>
      </c>
      <c r="S52" s="18">
        <f t="shared" si="7"/>
        <v>91200</v>
      </c>
      <c r="T52" s="18">
        <f t="shared" si="8"/>
        <v>86400</v>
      </c>
      <c r="U52" s="18">
        <f t="shared" si="9"/>
        <v>81600</v>
      </c>
      <c r="V52" s="18">
        <f t="shared" si="10"/>
        <v>15200</v>
      </c>
      <c r="W52" s="18"/>
    </row>
    <row r="53" spans="1:23" x14ac:dyDescent="0.3">
      <c r="A53" s="3">
        <v>2</v>
      </c>
      <c r="B53" s="4" t="s">
        <v>180</v>
      </c>
      <c r="C53" s="6" t="s">
        <v>32</v>
      </c>
      <c r="D53" s="42" t="s">
        <v>202</v>
      </c>
      <c r="E53" s="4">
        <v>2</v>
      </c>
      <c r="F53" s="4" t="s">
        <v>134</v>
      </c>
      <c r="G53" s="30">
        <v>4800</v>
      </c>
      <c r="H53" s="27" t="s">
        <v>209</v>
      </c>
      <c r="I53" s="28">
        <v>500</v>
      </c>
      <c r="J53" s="29">
        <f t="shared" si="38"/>
        <v>9.6</v>
      </c>
      <c r="K53" s="30" t="s">
        <v>5</v>
      </c>
      <c r="L53" s="19">
        <v>108000</v>
      </c>
      <c r="M53" s="19">
        <f t="shared" si="39"/>
        <v>86400</v>
      </c>
      <c r="N53" s="5">
        <f t="shared" si="40"/>
        <v>60640</v>
      </c>
      <c r="O53" s="19">
        <v>22000</v>
      </c>
      <c r="P53" s="19">
        <f t="shared" si="41"/>
        <v>38640</v>
      </c>
      <c r="Q53" s="52">
        <f t="shared" si="6"/>
        <v>1.7563636363636363</v>
      </c>
      <c r="R53" s="71"/>
      <c r="S53" s="18">
        <f t="shared" si="7"/>
        <v>82080</v>
      </c>
      <c r="T53" s="18">
        <f t="shared" si="8"/>
        <v>77760</v>
      </c>
      <c r="U53" s="18">
        <f t="shared" si="9"/>
        <v>73440</v>
      </c>
      <c r="V53" s="18">
        <f t="shared" si="10"/>
        <v>12800</v>
      </c>
      <c r="W53" s="18"/>
    </row>
    <row r="54" spans="1:23" x14ac:dyDescent="0.3">
      <c r="A54" s="3">
        <v>3</v>
      </c>
      <c r="B54" s="4" t="s">
        <v>181</v>
      </c>
      <c r="C54" s="6" t="s">
        <v>33</v>
      </c>
      <c r="D54" s="42" t="s">
        <v>203</v>
      </c>
      <c r="E54" s="4">
        <v>4</v>
      </c>
      <c r="F54" s="4" t="s">
        <v>135</v>
      </c>
      <c r="G54" s="30">
        <v>2400</v>
      </c>
      <c r="H54" s="27" t="s">
        <v>209</v>
      </c>
      <c r="I54" s="28">
        <v>250</v>
      </c>
      <c r="J54" s="29">
        <f t="shared" si="38"/>
        <v>9.6</v>
      </c>
      <c r="K54" s="30" t="s">
        <v>5</v>
      </c>
      <c r="L54" s="19">
        <v>63000</v>
      </c>
      <c r="M54" s="19">
        <f t="shared" si="39"/>
        <v>50400</v>
      </c>
      <c r="N54" s="5">
        <f t="shared" si="40"/>
        <v>39040</v>
      </c>
      <c r="O54" s="19">
        <v>22000</v>
      </c>
      <c r="P54" s="19">
        <f t="shared" si="41"/>
        <v>17040</v>
      </c>
      <c r="Q54" s="52">
        <f t="shared" si="6"/>
        <v>0.77454545454545465</v>
      </c>
      <c r="R54" s="71"/>
      <c r="S54" s="18">
        <f t="shared" si="7"/>
        <v>47880</v>
      </c>
      <c r="T54" s="18">
        <f t="shared" si="8"/>
        <v>45360</v>
      </c>
      <c r="U54" s="18">
        <f t="shared" si="9"/>
        <v>42840</v>
      </c>
      <c r="V54" s="18">
        <f t="shared" si="10"/>
        <v>3800</v>
      </c>
      <c r="W54" s="18"/>
    </row>
    <row r="55" spans="1:23" x14ac:dyDescent="0.3">
      <c r="A55" s="3">
        <v>4</v>
      </c>
      <c r="B55" s="4" t="s">
        <v>182</v>
      </c>
      <c r="C55" s="6" t="s">
        <v>34</v>
      </c>
      <c r="D55" s="42" t="s">
        <v>204</v>
      </c>
      <c r="E55" s="4">
        <v>8</v>
      </c>
      <c r="F55" s="4" t="s">
        <v>136</v>
      </c>
      <c r="G55" s="30">
        <v>2400</v>
      </c>
      <c r="H55" s="27" t="s">
        <v>209</v>
      </c>
      <c r="I55" s="28">
        <v>150</v>
      </c>
      <c r="J55" s="29">
        <f t="shared" si="38"/>
        <v>19.2</v>
      </c>
      <c r="K55" s="30" t="s">
        <v>5</v>
      </c>
      <c r="L55" s="19">
        <v>44000</v>
      </c>
      <c r="M55" s="19">
        <f t="shared" si="39"/>
        <v>35200</v>
      </c>
      <c r="N55" s="5">
        <f t="shared" si="40"/>
        <v>29920</v>
      </c>
      <c r="O55" s="19">
        <v>22000</v>
      </c>
      <c r="P55" s="19">
        <f t="shared" si="41"/>
        <v>7920</v>
      </c>
      <c r="Q55" s="52">
        <f t="shared" si="6"/>
        <v>0.3600000000000001</v>
      </c>
      <c r="R55" s="71"/>
      <c r="S55" s="18">
        <f t="shared" si="7"/>
        <v>33440</v>
      </c>
      <c r="T55" s="18">
        <f t="shared" si="8"/>
        <v>31680</v>
      </c>
      <c r="U55" s="18">
        <f t="shared" si="9"/>
        <v>29920</v>
      </c>
      <c r="V55" s="18">
        <f t="shared" si="10"/>
        <v>0</v>
      </c>
      <c r="W55" s="18"/>
    </row>
    <row r="56" spans="1:23" x14ac:dyDescent="0.3">
      <c r="A56" s="3">
        <v>5</v>
      </c>
      <c r="B56" s="4" t="s">
        <v>183</v>
      </c>
      <c r="C56" s="6" t="s">
        <v>35</v>
      </c>
      <c r="D56" s="42" t="s">
        <v>205</v>
      </c>
      <c r="E56" s="4">
        <v>11</v>
      </c>
      <c r="F56" s="4" t="s">
        <v>125</v>
      </c>
      <c r="G56" s="30">
        <v>1400</v>
      </c>
      <c r="H56" s="27" t="s">
        <v>209</v>
      </c>
      <c r="I56" s="28">
        <v>120</v>
      </c>
      <c r="J56" s="29">
        <f t="shared" si="38"/>
        <v>15.4</v>
      </c>
      <c r="K56" s="30" t="s">
        <v>5</v>
      </c>
      <c r="L56" s="19">
        <v>43000</v>
      </c>
      <c r="M56" s="19">
        <f t="shared" si="39"/>
        <v>34400</v>
      </c>
      <c r="N56" s="5">
        <f t="shared" si="40"/>
        <v>29440</v>
      </c>
      <c r="O56" s="19">
        <v>22000</v>
      </c>
      <c r="P56" s="19">
        <f t="shared" si="41"/>
        <v>7440</v>
      </c>
      <c r="Q56" s="52">
        <f t="shared" si="6"/>
        <v>0.33818181818181814</v>
      </c>
      <c r="R56" s="71"/>
      <c r="S56" s="18">
        <f t="shared" si="7"/>
        <v>32680</v>
      </c>
      <c r="T56" s="18">
        <f t="shared" si="8"/>
        <v>30960</v>
      </c>
      <c r="U56" s="18">
        <f t="shared" si="9"/>
        <v>29240</v>
      </c>
      <c r="V56" s="18">
        <f t="shared" si="10"/>
        <v>-200</v>
      </c>
      <c r="W56" s="18"/>
    </row>
    <row r="57" spans="1:23" x14ac:dyDescent="0.3">
      <c r="A57" s="3">
        <v>6</v>
      </c>
      <c r="B57" s="4" t="s">
        <v>184</v>
      </c>
      <c r="C57" s="6" t="s">
        <v>36</v>
      </c>
      <c r="D57" s="42" t="s">
        <v>206</v>
      </c>
      <c r="E57" s="4">
        <v>17</v>
      </c>
      <c r="F57" s="4" t="s">
        <v>137</v>
      </c>
      <c r="G57" s="30">
        <v>960</v>
      </c>
      <c r="H57" s="27" t="s">
        <v>209</v>
      </c>
      <c r="I57" s="28">
        <v>60</v>
      </c>
      <c r="J57" s="29">
        <f t="shared" si="38"/>
        <v>16.32</v>
      </c>
      <c r="K57" s="30" t="s">
        <v>5</v>
      </c>
      <c r="L57" s="19">
        <v>34000</v>
      </c>
      <c r="M57" s="19">
        <f t="shared" si="39"/>
        <v>27200</v>
      </c>
      <c r="N57" s="5">
        <f t="shared" si="40"/>
        <v>25120</v>
      </c>
      <c r="O57" s="19">
        <v>22000</v>
      </c>
      <c r="P57" s="19">
        <f t="shared" si="41"/>
        <v>3120</v>
      </c>
      <c r="Q57" s="52">
        <f t="shared" si="6"/>
        <v>0.14181818181818184</v>
      </c>
      <c r="R57" s="71"/>
      <c r="S57" s="18">
        <f t="shared" si="7"/>
        <v>25840</v>
      </c>
      <c r="T57" s="18">
        <f t="shared" si="8"/>
        <v>24480</v>
      </c>
      <c r="U57" s="18">
        <f t="shared" si="9"/>
        <v>23120</v>
      </c>
      <c r="V57" s="18">
        <f t="shared" si="10"/>
        <v>-2000</v>
      </c>
      <c r="W57" s="18"/>
    </row>
    <row r="58" spans="1:23" x14ac:dyDescent="0.3">
      <c r="A58" s="59" t="s">
        <v>24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2"/>
      <c r="S58" s="18">
        <f t="shared" si="7"/>
        <v>0</v>
      </c>
      <c r="T58" s="18">
        <f t="shared" si="8"/>
        <v>0</v>
      </c>
      <c r="U58" s="18">
        <f t="shared" si="9"/>
        <v>0</v>
      </c>
      <c r="V58" s="18">
        <f t="shared" si="10"/>
        <v>0</v>
      </c>
      <c r="W58" s="18"/>
    </row>
    <row r="59" spans="1:23" x14ac:dyDescent="0.3">
      <c r="A59" s="3">
        <v>1</v>
      </c>
      <c r="B59" s="4" t="s">
        <v>185</v>
      </c>
      <c r="C59" s="6" t="s">
        <v>44</v>
      </c>
      <c r="D59" s="42" t="str">
        <f>RIGHT(C59,LEN(C59)-17)</f>
        <v>5GR</v>
      </c>
      <c r="E59" s="4" t="str">
        <f>LEFT(D59,LEN(D59)-2)</f>
        <v>5</v>
      </c>
      <c r="F59" s="4" t="s">
        <v>126</v>
      </c>
      <c r="G59" s="30">
        <v>2400</v>
      </c>
      <c r="H59" s="27" t="s">
        <v>209</v>
      </c>
      <c r="I59" s="28">
        <v>200</v>
      </c>
      <c r="J59" s="29">
        <f>G59*E59/1000</f>
        <v>12</v>
      </c>
      <c r="K59" s="30" t="s">
        <v>5</v>
      </c>
      <c r="L59" s="19">
        <v>40000</v>
      </c>
      <c r="M59" s="19">
        <f t="shared" si="39"/>
        <v>32000</v>
      </c>
      <c r="N59" s="5">
        <f>O59+P59</f>
        <v>28880</v>
      </c>
      <c r="O59" s="19">
        <v>24200.000000000004</v>
      </c>
      <c r="P59" s="19">
        <f>(M59-O59)*0.6</f>
        <v>4679.9999999999973</v>
      </c>
      <c r="Q59" s="52">
        <f t="shared" si="6"/>
        <v>0.19338842975206583</v>
      </c>
      <c r="R59" s="71" t="s">
        <v>235</v>
      </c>
      <c r="S59" s="18">
        <f t="shared" si="7"/>
        <v>30400</v>
      </c>
      <c r="T59" s="18">
        <f t="shared" si="8"/>
        <v>28800</v>
      </c>
      <c r="U59" s="18">
        <f t="shared" si="9"/>
        <v>27200</v>
      </c>
      <c r="V59" s="18">
        <f t="shared" si="10"/>
        <v>-1680</v>
      </c>
      <c r="W59" s="18"/>
    </row>
    <row r="60" spans="1:23" x14ac:dyDescent="0.3">
      <c r="A60" s="3">
        <v>2</v>
      </c>
      <c r="B60" s="4" t="s">
        <v>186</v>
      </c>
      <c r="C60" s="6" t="s">
        <v>45</v>
      </c>
      <c r="D60" s="42" t="str">
        <f>RIGHT(C60,LEN(C60)-17)</f>
        <v>10GR</v>
      </c>
      <c r="E60" s="4" t="str">
        <f>LEFT(D60,LEN(D60)-2)</f>
        <v>10</v>
      </c>
      <c r="F60" s="4" t="s">
        <v>125</v>
      </c>
      <c r="G60" s="30">
        <v>1500</v>
      </c>
      <c r="H60" s="27" t="s">
        <v>209</v>
      </c>
      <c r="I60" s="28">
        <v>150</v>
      </c>
      <c r="J60" s="29">
        <f>G60*E60/1000</f>
        <v>15</v>
      </c>
      <c r="K60" s="30" t="s">
        <v>5</v>
      </c>
      <c r="L60" s="19">
        <v>40000</v>
      </c>
      <c r="M60" s="19">
        <f t="shared" si="39"/>
        <v>32000</v>
      </c>
      <c r="N60" s="5">
        <f>O60+P60</f>
        <v>28880</v>
      </c>
      <c r="O60" s="19">
        <v>24200.000000000004</v>
      </c>
      <c r="P60" s="19">
        <f>(M60-O60)*0.6</f>
        <v>4679.9999999999973</v>
      </c>
      <c r="Q60" s="52">
        <f t="shared" si="6"/>
        <v>0.19338842975206583</v>
      </c>
      <c r="R60" s="71"/>
      <c r="S60" s="18">
        <f t="shared" si="7"/>
        <v>30400</v>
      </c>
      <c r="T60" s="18">
        <f t="shared" si="8"/>
        <v>28800</v>
      </c>
      <c r="U60" s="18">
        <f t="shared" si="9"/>
        <v>27200</v>
      </c>
      <c r="V60" s="18">
        <f t="shared" si="10"/>
        <v>-1680</v>
      </c>
      <c r="W60" s="18"/>
    </row>
    <row r="61" spans="1:23" hidden="1" x14ac:dyDescent="0.3">
      <c r="A61" s="59" t="s">
        <v>28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M61" s="18"/>
    </row>
    <row r="62" spans="1:23" hidden="1" x14ac:dyDescent="0.3">
      <c r="A62" s="3">
        <v>47</v>
      </c>
      <c r="B62" s="4" t="s">
        <v>79</v>
      </c>
      <c r="C62" s="6" t="s">
        <v>37</v>
      </c>
      <c r="D62" s="22" t="str">
        <f t="shared" ref="D62:D68" si="42">RIGHT(C62,LEN(C62)-17)</f>
        <v>2000GR</v>
      </c>
      <c r="E62" s="4" t="str">
        <f>LEFT(D62,LEN(D62)-2)</f>
        <v>2000</v>
      </c>
      <c r="F62" s="4"/>
      <c r="G62" s="30">
        <v>10</v>
      </c>
      <c r="H62" s="27"/>
      <c r="I62" s="27"/>
      <c r="J62" s="29">
        <f t="shared" ref="J62:J68" si="43">G62*E62/1000</f>
        <v>20</v>
      </c>
      <c r="K62" s="30" t="s">
        <v>5</v>
      </c>
    </row>
    <row r="63" spans="1:23" hidden="1" x14ac:dyDescent="0.3">
      <c r="A63" s="3">
        <v>48</v>
      </c>
      <c r="B63" s="4" t="s">
        <v>80</v>
      </c>
      <c r="C63" s="6" t="s">
        <v>38</v>
      </c>
      <c r="D63" s="22" t="str">
        <f t="shared" si="42"/>
        <v>1000GR</v>
      </c>
      <c r="E63" s="4" t="str">
        <f t="shared" ref="E63:E68" si="44">LEFT(D63,LEN(D63)-2)</f>
        <v>1000</v>
      </c>
      <c r="F63" s="4"/>
      <c r="G63" s="30">
        <v>20</v>
      </c>
      <c r="H63" s="27"/>
      <c r="I63" s="27"/>
      <c r="J63" s="29">
        <f t="shared" si="43"/>
        <v>20</v>
      </c>
      <c r="K63" s="30" t="s">
        <v>5</v>
      </c>
    </row>
    <row r="64" spans="1:23" hidden="1" x14ac:dyDescent="0.3">
      <c r="A64" s="3">
        <v>49</v>
      </c>
      <c r="B64" s="4" t="s">
        <v>81</v>
      </c>
      <c r="C64" s="6" t="s">
        <v>39</v>
      </c>
      <c r="D64" s="22" t="str">
        <f t="shared" si="42"/>
        <v>500GR</v>
      </c>
      <c r="E64" s="4" t="str">
        <f t="shared" si="44"/>
        <v>500</v>
      </c>
      <c r="F64" s="4"/>
      <c r="G64" s="30">
        <v>40</v>
      </c>
      <c r="H64" s="27"/>
      <c r="I64" s="27"/>
      <c r="J64" s="29">
        <f t="shared" si="43"/>
        <v>20</v>
      </c>
      <c r="K64" s="30" t="s">
        <v>5</v>
      </c>
    </row>
    <row r="65" spans="1:11" hidden="1" x14ac:dyDescent="0.3">
      <c r="A65" s="3">
        <v>50</v>
      </c>
      <c r="B65" s="4" t="s">
        <v>82</v>
      </c>
      <c r="C65" s="6" t="s">
        <v>40</v>
      </c>
      <c r="D65" s="22" t="str">
        <f t="shared" si="42"/>
        <v>100GR</v>
      </c>
      <c r="E65" s="4" t="str">
        <f t="shared" si="44"/>
        <v>100</v>
      </c>
      <c r="F65" s="4"/>
      <c r="G65" s="30">
        <v>180</v>
      </c>
      <c r="H65" s="27"/>
      <c r="I65" s="27"/>
      <c r="J65" s="29">
        <f t="shared" si="43"/>
        <v>18</v>
      </c>
      <c r="K65" s="30" t="s">
        <v>5</v>
      </c>
    </row>
    <row r="66" spans="1:11" hidden="1" x14ac:dyDescent="0.3">
      <c r="A66" s="3">
        <v>51</v>
      </c>
      <c r="B66" s="4" t="s">
        <v>83</v>
      </c>
      <c r="C66" s="6" t="s">
        <v>41</v>
      </c>
      <c r="D66" s="22" t="str">
        <f t="shared" si="42"/>
        <v>50GR</v>
      </c>
      <c r="E66" s="4" t="str">
        <f t="shared" si="44"/>
        <v>50</v>
      </c>
      <c r="F66" s="4"/>
      <c r="G66" s="30">
        <v>400</v>
      </c>
      <c r="H66" s="27"/>
      <c r="I66" s="27"/>
      <c r="J66" s="29">
        <f t="shared" si="43"/>
        <v>20</v>
      </c>
      <c r="K66" s="30" t="s">
        <v>5</v>
      </c>
    </row>
    <row r="67" spans="1:11" hidden="1" x14ac:dyDescent="0.3">
      <c r="A67" s="3">
        <v>52</v>
      </c>
      <c r="B67" s="4" t="s">
        <v>84</v>
      </c>
      <c r="C67" s="6" t="s">
        <v>42</v>
      </c>
      <c r="D67" s="22" t="str">
        <f t="shared" si="42"/>
        <v>10GR</v>
      </c>
      <c r="E67" s="4" t="str">
        <f t="shared" si="44"/>
        <v>10</v>
      </c>
      <c r="F67" s="4"/>
      <c r="G67" s="30">
        <v>1500</v>
      </c>
      <c r="H67" s="27"/>
      <c r="I67" s="27"/>
      <c r="J67" s="29">
        <f t="shared" si="43"/>
        <v>15</v>
      </c>
      <c r="K67" s="30" t="s">
        <v>5</v>
      </c>
    </row>
    <row r="68" spans="1:11" hidden="1" x14ac:dyDescent="0.3">
      <c r="A68" s="3">
        <v>53</v>
      </c>
      <c r="B68" s="4" t="s">
        <v>85</v>
      </c>
      <c r="C68" s="6" t="s">
        <v>43</v>
      </c>
      <c r="D68" s="22" t="str">
        <f t="shared" si="42"/>
        <v>5GR</v>
      </c>
      <c r="E68" s="4" t="str">
        <f t="shared" si="44"/>
        <v>5</v>
      </c>
      <c r="F68" s="4"/>
      <c r="G68" s="30">
        <v>3000</v>
      </c>
      <c r="H68" s="27"/>
      <c r="I68" s="27"/>
      <c r="J68" s="29">
        <f t="shared" si="43"/>
        <v>15</v>
      </c>
      <c r="K68" s="30" t="s">
        <v>5</v>
      </c>
    </row>
    <row r="69" spans="1:11" hidden="1" x14ac:dyDescent="0.3">
      <c r="A69" s="59" t="s">
        <v>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</row>
    <row r="70" spans="1:11" hidden="1" x14ac:dyDescent="0.3">
      <c r="A70" s="3">
        <v>54</v>
      </c>
      <c r="B70" s="4" t="s">
        <v>76</v>
      </c>
      <c r="C70" s="3" t="s">
        <v>73</v>
      </c>
      <c r="D70" s="22" t="s">
        <v>74</v>
      </c>
      <c r="E70" s="4" t="str">
        <f>LEFT(D70,LEN(D70)-2)</f>
        <v>2200</v>
      </c>
      <c r="F70" s="4"/>
      <c r="G70" s="30">
        <v>6</v>
      </c>
      <c r="H70" s="27"/>
      <c r="I70" s="27"/>
      <c r="J70" s="29">
        <f>G70*E70/1000</f>
        <v>13.2</v>
      </c>
      <c r="K70" s="30" t="s">
        <v>5</v>
      </c>
    </row>
    <row r="71" spans="1:11" hidden="1" x14ac:dyDescent="0.3">
      <c r="A71" s="3">
        <v>55</v>
      </c>
      <c r="B71" s="4" t="s">
        <v>77</v>
      </c>
      <c r="C71" s="3" t="s">
        <v>75</v>
      </c>
      <c r="D71" s="22" t="s">
        <v>78</v>
      </c>
      <c r="E71" s="4">
        <v>4000</v>
      </c>
      <c r="F71" s="4"/>
      <c r="G71" s="30">
        <v>6</v>
      </c>
      <c r="H71" s="27"/>
      <c r="I71" s="27"/>
      <c r="J71" s="29">
        <f>G71*E71/1000</f>
        <v>24</v>
      </c>
      <c r="K71" s="30" t="s">
        <v>5</v>
      </c>
    </row>
    <row r="72" spans="1:11" hidden="1" x14ac:dyDescent="0.3">
      <c r="A72" s="59" t="s">
        <v>86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</row>
    <row r="73" spans="1:11" hidden="1" x14ac:dyDescent="0.3">
      <c r="A73" s="3"/>
      <c r="B73" s="4"/>
      <c r="C73" s="6"/>
      <c r="D73" s="22"/>
      <c r="E73" s="4"/>
      <c r="F73" s="4"/>
      <c r="G73" s="30"/>
      <c r="H73" s="27"/>
      <c r="I73" s="27"/>
      <c r="J73" s="29"/>
      <c r="K73" s="30"/>
    </row>
    <row r="74" spans="1:11" hidden="1" x14ac:dyDescent="0.3">
      <c r="A74" s="3"/>
      <c r="B74" s="4"/>
      <c r="C74" s="6"/>
      <c r="D74" s="22"/>
      <c r="E74" s="4"/>
      <c r="F74" s="4"/>
      <c r="G74" s="30"/>
      <c r="H74" s="27"/>
      <c r="I74" s="27"/>
      <c r="J74" s="29"/>
      <c r="K74" s="30"/>
    </row>
    <row r="75" spans="1:11" hidden="1" x14ac:dyDescent="0.3">
      <c r="A75" s="3"/>
      <c r="B75" s="4"/>
      <c r="C75" s="6"/>
      <c r="D75" s="22"/>
      <c r="E75" s="4"/>
      <c r="F75" s="4"/>
      <c r="G75" s="30"/>
      <c r="H75" s="27"/>
      <c r="I75" s="27"/>
      <c r="J75" s="29"/>
      <c r="K75" s="30"/>
    </row>
    <row r="76" spans="1:11" hidden="1" x14ac:dyDescent="0.3">
      <c r="A76" s="3"/>
      <c r="B76" s="4"/>
      <c r="C76" s="6"/>
      <c r="D76" s="22"/>
      <c r="E76" s="4"/>
      <c r="F76" s="4"/>
      <c r="G76" s="30"/>
      <c r="H76" s="27"/>
      <c r="I76" s="27"/>
      <c r="J76" s="29"/>
      <c r="K76" s="30"/>
    </row>
    <row r="77" spans="1:11" hidden="1" x14ac:dyDescent="0.3">
      <c r="A77" s="59" t="s">
        <v>87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</row>
    <row r="78" spans="1:11" hidden="1" x14ac:dyDescent="0.3">
      <c r="A78" s="3"/>
      <c r="B78" s="4"/>
      <c r="C78" s="6"/>
      <c r="D78" s="22"/>
      <c r="E78" s="4"/>
      <c r="F78" s="4"/>
      <c r="G78" s="30"/>
      <c r="H78" s="27"/>
      <c r="I78" s="27"/>
      <c r="J78" s="29"/>
      <c r="K78" s="30"/>
    </row>
    <row r="79" spans="1:11" hidden="1" x14ac:dyDescent="0.3">
      <c r="A79" s="3"/>
      <c r="B79" s="4"/>
      <c r="C79" s="6"/>
      <c r="D79" s="22"/>
      <c r="E79" s="4"/>
      <c r="F79" s="4"/>
      <c r="G79" s="30"/>
      <c r="H79" s="27"/>
      <c r="I79" s="27"/>
      <c r="J79" s="29"/>
      <c r="K79" s="30"/>
    </row>
    <row r="80" spans="1:11" hidden="1" x14ac:dyDescent="0.3">
      <c r="A80" s="3"/>
      <c r="B80" s="4"/>
      <c r="C80" s="6"/>
      <c r="D80" s="22"/>
      <c r="E80" s="4"/>
      <c r="F80" s="4"/>
      <c r="G80" s="30"/>
      <c r="H80" s="27"/>
      <c r="I80" s="27"/>
      <c r="J80" s="29"/>
      <c r="K80" s="30"/>
    </row>
    <row r="81" spans="1:11" hidden="1" x14ac:dyDescent="0.3">
      <c r="A81" s="3"/>
      <c r="B81" s="4"/>
      <c r="C81" s="6"/>
      <c r="D81" s="22"/>
      <c r="E81" s="4"/>
      <c r="F81" s="4"/>
      <c r="G81" s="30"/>
      <c r="H81" s="27"/>
      <c r="I81" s="27"/>
      <c r="J81" s="29"/>
      <c r="K81" s="30"/>
    </row>
    <row r="82" spans="1:11" hidden="1" x14ac:dyDescent="0.3">
      <c r="A82" s="59" t="s">
        <v>26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</row>
    <row r="83" spans="1:11" hidden="1" x14ac:dyDescent="0.3">
      <c r="A83" s="3"/>
      <c r="B83" s="4"/>
      <c r="C83" s="6"/>
      <c r="D83" s="22"/>
      <c r="E83" s="4"/>
      <c r="F83" s="4"/>
      <c r="G83" s="30"/>
      <c r="H83" s="27"/>
      <c r="I83" s="27"/>
      <c r="J83" s="29"/>
      <c r="K83" s="30"/>
    </row>
    <row r="84" spans="1:11" hidden="1" x14ac:dyDescent="0.3">
      <c r="A84" s="3"/>
      <c r="B84" s="4"/>
      <c r="C84" s="6"/>
      <c r="D84" s="22"/>
      <c r="E84" s="4"/>
      <c r="F84" s="4"/>
      <c r="G84" s="30"/>
      <c r="H84" s="27"/>
      <c r="I84" s="27"/>
      <c r="J84" s="29"/>
      <c r="K84" s="30"/>
    </row>
    <row r="85" spans="1:11" hidden="1" x14ac:dyDescent="0.3">
      <c r="A85" s="3"/>
      <c r="B85" s="4"/>
      <c r="C85" s="6"/>
      <c r="D85" s="22"/>
      <c r="E85" s="4"/>
      <c r="F85" s="4"/>
      <c r="G85" s="30"/>
      <c r="H85" s="27"/>
      <c r="I85" s="27"/>
      <c r="J85" s="29"/>
      <c r="K85" s="30"/>
    </row>
    <row r="86" spans="1:11" hidden="1" x14ac:dyDescent="0.3">
      <c r="A86" s="3"/>
      <c r="B86" s="4"/>
      <c r="C86" s="6"/>
      <c r="D86" s="22"/>
      <c r="E86" s="4"/>
      <c r="F86" s="4"/>
      <c r="G86" s="30"/>
      <c r="H86" s="27"/>
      <c r="I86" s="27"/>
      <c r="J86" s="29"/>
      <c r="K86" s="30"/>
    </row>
    <row r="87" spans="1:11" hidden="1" x14ac:dyDescent="0.3">
      <c r="A87" s="59" t="s">
        <v>27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</row>
    <row r="88" spans="1:11" hidden="1" x14ac:dyDescent="0.3">
      <c r="A88" s="3"/>
      <c r="B88" s="4"/>
      <c r="C88" s="6"/>
      <c r="D88" s="22"/>
      <c r="E88" s="4"/>
      <c r="F88" s="4"/>
      <c r="G88" s="30"/>
      <c r="H88" s="27"/>
      <c r="I88" s="27"/>
      <c r="J88" s="29"/>
      <c r="K88" s="30"/>
    </row>
    <row r="89" spans="1:11" hidden="1" x14ac:dyDescent="0.3">
      <c r="A89" s="3"/>
      <c r="B89" s="4"/>
      <c r="C89" s="6"/>
      <c r="D89" s="22"/>
      <c r="E89" s="4"/>
      <c r="F89" s="4"/>
      <c r="G89" s="30"/>
      <c r="H89" s="27"/>
      <c r="I89" s="27"/>
      <c r="J89" s="29"/>
      <c r="K89" s="30"/>
    </row>
    <row r="90" spans="1:11" hidden="1" x14ac:dyDescent="0.3">
      <c r="A90" s="3"/>
      <c r="B90" s="4"/>
      <c r="C90" s="6"/>
      <c r="D90" s="22"/>
      <c r="E90" s="4"/>
      <c r="F90" s="4"/>
      <c r="G90" s="30"/>
      <c r="H90" s="27"/>
      <c r="I90" s="27"/>
      <c r="J90" s="29"/>
      <c r="K90" s="30"/>
    </row>
    <row r="91" spans="1:11" hidden="1" x14ac:dyDescent="0.3">
      <c r="A91" s="3"/>
      <c r="B91" s="4"/>
      <c r="C91" s="6"/>
      <c r="D91" s="22"/>
      <c r="E91" s="4"/>
      <c r="F91" s="4"/>
      <c r="G91" s="30"/>
      <c r="H91" s="27"/>
      <c r="I91" s="27"/>
      <c r="J91" s="29"/>
      <c r="K91" s="30"/>
    </row>
    <row r="92" spans="1:11" hidden="1" x14ac:dyDescent="0.3">
      <c r="A92" s="59" t="s">
        <v>29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</row>
    <row r="93" spans="1:11" hidden="1" x14ac:dyDescent="0.3">
      <c r="A93" s="3"/>
      <c r="B93" s="4"/>
      <c r="C93" s="6"/>
      <c r="D93" s="22"/>
      <c r="E93" s="4"/>
      <c r="F93" s="4"/>
      <c r="G93" s="30"/>
      <c r="H93" s="27"/>
      <c r="I93" s="27"/>
      <c r="J93" s="29"/>
      <c r="K93" s="30"/>
    </row>
    <row r="94" spans="1:11" hidden="1" x14ac:dyDescent="0.3">
      <c r="A94" s="3"/>
      <c r="B94" s="4"/>
      <c r="C94" s="6"/>
      <c r="D94" s="22"/>
      <c r="E94" s="4"/>
      <c r="F94" s="4"/>
      <c r="G94" s="30"/>
      <c r="H94" s="27"/>
      <c r="I94" s="27"/>
      <c r="J94" s="29"/>
      <c r="K94" s="30"/>
    </row>
    <row r="95" spans="1:11" hidden="1" x14ac:dyDescent="0.3">
      <c r="A95" s="3"/>
      <c r="B95" s="4"/>
      <c r="C95" s="6"/>
      <c r="D95" s="22"/>
      <c r="E95" s="4"/>
      <c r="F95" s="4"/>
      <c r="G95" s="30"/>
      <c r="H95" s="27"/>
      <c r="I95" s="27"/>
      <c r="J95" s="29"/>
      <c r="K95" s="30"/>
    </row>
    <row r="96" spans="1:11" hidden="1" x14ac:dyDescent="0.3">
      <c r="A96" s="3"/>
      <c r="B96" s="4"/>
      <c r="C96" s="6"/>
      <c r="D96" s="22"/>
      <c r="E96" s="4"/>
      <c r="F96" s="4"/>
      <c r="G96" s="30"/>
      <c r="H96" s="27"/>
      <c r="I96" s="27"/>
      <c r="J96" s="29"/>
      <c r="K96" s="30"/>
    </row>
    <row r="97" spans="1:11" hidden="1" x14ac:dyDescent="0.3">
      <c r="A97" s="59" t="s">
        <v>30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</row>
    <row r="98" spans="1:11" hidden="1" x14ac:dyDescent="0.3">
      <c r="A98" s="3"/>
      <c r="B98" s="4" t="s">
        <v>46</v>
      </c>
      <c r="C98" s="6" t="s">
        <v>47</v>
      </c>
      <c r="D98" s="22" t="str">
        <f>RIGHT(C98,LEN(C98)-17)</f>
        <v>20000ML</v>
      </c>
      <c r="E98" s="4" t="str">
        <f>LEFT(D98,LEN(D98)-2)</f>
        <v>20000</v>
      </c>
      <c r="F98" s="4"/>
      <c r="G98" s="30">
        <v>1</v>
      </c>
      <c r="H98" s="27"/>
      <c r="I98" s="27"/>
      <c r="J98" s="29">
        <f>G98*E98/1000</f>
        <v>20</v>
      </c>
      <c r="K98" s="30" t="s">
        <v>5</v>
      </c>
    </row>
    <row r="99" spans="1:11" x14ac:dyDescent="0.3">
      <c r="K99" s="35"/>
    </row>
    <row r="100" spans="1:11" x14ac:dyDescent="0.3">
      <c r="K100" s="35"/>
    </row>
    <row r="101" spans="1:11" x14ac:dyDescent="0.3">
      <c r="K101" s="35"/>
    </row>
    <row r="103" spans="1:11" x14ac:dyDescent="0.3">
      <c r="A103" s="11"/>
    </row>
  </sheetData>
  <mergeCells count="39">
    <mergeCell ref="S4:S5"/>
    <mergeCell ref="T4:T5"/>
    <mergeCell ref="U4:U5"/>
    <mergeCell ref="V4:V5"/>
    <mergeCell ref="A87:K87"/>
    <mergeCell ref="L4:L5"/>
    <mergeCell ref="O4:O5"/>
    <mergeCell ref="M4:M5"/>
    <mergeCell ref="P4:P5"/>
    <mergeCell ref="N4:N5"/>
    <mergeCell ref="Q4:Q5"/>
    <mergeCell ref="R4:R5"/>
    <mergeCell ref="R7:R21"/>
    <mergeCell ref="R52:R57"/>
    <mergeCell ref="R59:R60"/>
    <mergeCell ref="A92:K92"/>
    <mergeCell ref="A97:K97"/>
    <mergeCell ref="A4:A5"/>
    <mergeCell ref="C4:C5"/>
    <mergeCell ref="B4:B5"/>
    <mergeCell ref="D4:D5"/>
    <mergeCell ref="E4:E5"/>
    <mergeCell ref="G4:G5"/>
    <mergeCell ref="I4:I5"/>
    <mergeCell ref="J4:J5"/>
    <mergeCell ref="K4:K5"/>
    <mergeCell ref="A82:K82"/>
    <mergeCell ref="A69:K69"/>
    <mergeCell ref="A72:K72"/>
    <mergeCell ref="A77:K77"/>
    <mergeCell ref="A1:K1"/>
    <mergeCell ref="A36:K36"/>
    <mergeCell ref="A61:K61"/>
    <mergeCell ref="F4:F5"/>
    <mergeCell ref="A22:K22"/>
    <mergeCell ref="H4:H5"/>
    <mergeCell ref="A6:R6"/>
    <mergeCell ref="A51:R51"/>
    <mergeCell ref="A58:R58"/>
  </mergeCells>
  <printOptions horizontalCentered="1"/>
  <pageMargins left="0.25" right="0.25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Thống kê</vt:lpstr>
      <vt:lpstr>Đơn hàng</vt:lpstr>
      <vt:lpstr>Giá Gốc</vt:lpstr>
      <vt:lpstr>'Thống kê'!Criteria</vt:lpstr>
      <vt:lpstr>'Giá Gốc'!Print_Area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Phong Vương</cp:lastModifiedBy>
  <cp:lastPrinted>2022-07-14T06:35:14Z</cp:lastPrinted>
  <dcterms:created xsi:type="dcterms:W3CDTF">2019-10-10T03:36:32Z</dcterms:created>
  <dcterms:modified xsi:type="dcterms:W3CDTF">2022-10-07T01:10:02Z</dcterms:modified>
</cp:coreProperties>
</file>