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8" windowWidth="14352" windowHeight="7380" activeTab="2"/>
  </bookViews>
  <sheets>
    <sheet name="Thống kê" sheetId="3" r:id="rId1"/>
    <sheet name="Đơn hàng" sheetId="2" r:id="rId2"/>
    <sheet name="Giá Gốc" sheetId="1" r:id="rId3"/>
  </sheets>
  <definedNames>
    <definedName name="_xlnm._FilterDatabase" localSheetId="1" hidden="1">'Đơn hàng'!$B$5:$F$5</definedName>
    <definedName name="_xlnm._FilterDatabase" localSheetId="0" hidden="1">'Thống kê'!$B$5:$C$5</definedName>
    <definedName name="_xlnm.Criteria" localSheetId="0">'Thống kê'!$H$5</definedName>
    <definedName name="_xlnm.Extract" localSheetId="0">'Thống kê'!#REF!</definedName>
    <definedName name="_xlnm.Print_Area" localSheetId="2">'Giá Gốc'!$A$1:$N$60</definedName>
  </definedNames>
  <calcPr calcId="144525"/>
</workbook>
</file>

<file path=xl/calcChain.xml><?xml version="1.0" encoding="utf-8"?>
<calcChain xmlns="http://schemas.openxmlformats.org/spreadsheetml/2006/main">
  <c r="U17" i="1" l="1"/>
  <c r="V17" i="1"/>
  <c r="U18" i="1"/>
  <c r="V18" i="1"/>
  <c r="U19" i="1"/>
  <c r="V19" i="1"/>
  <c r="U20" i="1"/>
  <c r="V20" i="1"/>
  <c r="V16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V7" i="1"/>
  <c r="W7" i="1"/>
  <c r="X7" i="1"/>
  <c r="Y7" i="1"/>
  <c r="U16" i="1"/>
  <c r="U7" i="1"/>
  <c r="D7" i="1" l="1"/>
  <c r="E7" i="1" s="1"/>
  <c r="D8" i="1"/>
  <c r="E8" i="1" s="1"/>
  <c r="D9" i="1"/>
  <c r="E9" i="1" s="1"/>
  <c r="D10" i="1"/>
  <c r="E10" i="1" s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9" i="1"/>
  <c r="E59" i="1" s="1"/>
  <c r="D60" i="1"/>
  <c r="E60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E70" i="1"/>
  <c r="D98" i="1"/>
  <c r="E98" i="1" s="1"/>
  <c r="A8" i="3"/>
  <c r="A9" i="3"/>
  <c r="A10" i="3"/>
  <c r="A11" i="3"/>
  <c r="A12" i="3"/>
  <c r="A13" i="3"/>
  <c r="A14" i="3"/>
  <c r="A15" i="3"/>
  <c r="A16" i="3"/>
  <c r="A17" i="3"/>
  <c r="A18" i="3"/>
  <c r="A19" i="3"/>
  <c r="A20" i="3" s="1"/>
  <c r="A21" i="3" s="1"/>
  <c r="A22" i="3" s="1"/>
  <c r="A23" i="3" s="1"/>
  <c r="A7" i="3"/>
  <c r="E8" i="3"/>
  <c r="E9" i="3"/>
  <c r="E10" i="3"/>
  <c r="E11" i="3"/>
  <c r="E16" i="3"/>
  <c r="E19" i="3"/>
  <c r="E21" i="3"/>
  <c r="E22" i="3"/>
  <c r="E23" i="3"/>
  <c r="B18" i="3"/>
  <c r="C18" i="3"/>
  <c r="B19" i="3"/>
  <c r="C19" i="3"/>
  <c r="K19" i="3"/>
  <c r="B20" i="3"/>
  <c r="K20" i="3" s="1"/>
  <c r="C20" i="3"/>
  <c r="B21" i="3"/>
  <c r="C21" i="3"/>
  <c r="K21" i="3"/>
  <c r="B22" i="3"/>
  <c r="K22" i="3" s="1"/>
  <c r="C22" i="3"/>
  <c r="B23" i="3"/>
  <c r="C23" i="3"/>
  <c r="K23" i="3"/>
  <c r="B7" i="3"/>
  <c r="K7" i="3" s="1"/>
  <c r="C7" i="3"/>
  <c r="B8" i="3"/>
  <c r="C8" i="3"/>
  <c r="K8" i="3"/>
  <c r="B9" i="3"/>
  <c r="K9" i="3" s="1"/>
  <c r="C9" i="3"/>
  <c r="B10" i="3"/>
  <c r="C10" i="3"/>
  <c r="K10" i="3"/>
  <c r="B11" i="3"/>
  <c r="K11" i="3" s="1"/>
  <c r="C11" i="3"/>
  <c r="B12" i="3"/>
  <c r="E12" i="3" s="1"/>
  <c r="C12" i="3"/>
  <c r="K12" i="3"/>
  <c r="B13" i="3"/>
  <c r="K13" i="3" s="1"/>
  <c r="C13" i="3"/>
  <c r="B14" i="3"/>
  <c r="E14" i="3" s="1"/>
  <c r="C14" i="3"/>
  <c r="K14" i="3"/>
  <c r="B15" i="3"/>
  <c r="K15" i="3" s="1"/>
  <c r="C15" i="3"/>
  <c r="B16" i="3"/>
  <c r="C16" i="3"/>
  <c r="K16" i="3"/>
  <c r="B17" i="3"/>
  <c r="K17" i="3" s="1"/>
  <c r="C1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G20" i="2"/>
  <c r="D20" i="2" s="1"/>
  <c r="G20" i="3" l="1"/>
  <c r="K20" i="2"/>
  <c r="I22" i="3"/>
  <c r="I23" i="3"/>
  <c r="I21" i="3"/>
  <c r="I20" i="3"/>
  <c r="E7" i="3"/>
  <c r="E18" i="3"/>
  <c r="E15" i="3"/>
  <c r="D20" i="3"/>
  <c r="E13" i="3"/>
  <c r="E20" i="3"/>
  <c r="E17" i="3"/>
  <c r="K18" i="3"/>
  <c r="L56" i="1"/>
  <c r="L57" i="1"/>
  <c r="I13" i="3" l="1"/>
  <c r="I17" i="3"/>
  <c r="I10" i="3"/>
  <c r="I15" i="3"/>
  <c r="G13" i="3"/>
  <c r="K18" i="2"/>
  <c r="I12" i="3"/>
  <c r="I14" i="3"/>
  <c r="I8" i="3"/>
  <c r="G18" i="3"/>
  <c r="I7" i="3"/>
  <c r="K22" i="2"/>
  <c r="K23" i="2"/>
  <c r="I18" i="3"/>
  <c r="K21" i="2"/>
  <c r="G16" i="3"/>
  <c r="K16" i="2"/>
  <c r="I19" i="3"/>
  <c r="G14" i="3"/>
  <c r="K14" i="2"/>
  <c r="G17" i="3"/>
  <c r="K17" i="2"/>
  <c r="G8" i="3"/>
  <c r="K8" i="2"/>
  <c r="G12" i="3"/>
  <c r="K12" i="2"/>
  <c r="G7" i="3"/>
  <c r="K7" i="2"/>
  <c r="G10" i="3"/>
  <c r="K10" i="2"/>
  <c r="G15" i="3"/>
  <c r="K15" i="2"/>
  <c r="I9" i="3"/>
  <c r="G21" i="3"/>
  <c r="I16" i="3"/>
  <c r="G23" i="3"/>
  <c r="I11" i="3"/>
  <c r="G22" i="3"/>
  <c r="L24" i="1"/>
  <c r="K35" i="1"/>
  <c r="I35" i="1" s="1"/>
  <c r="G12" i="2" l="1"/>
  <c r="D12" i="2" s="1"/>
  <c r="I6" i="3"/>
  <c r="D12" i="3"/>
  <c r="K13" i="2"/>
  <c r="G11" i="3"/>
  <c r="K11" i="2"/>
  <c r="G9" i="3"/>
  <c r="K9" i="2"/>
  <c r="G19" i="3"/>
  <c r="K19" i="2"/>
  <c r="G6" i="3"/>
  <c r="K6" i="2"/>
  <c r="K21" i="1" l="1"/>
  <c r="I21" i="1" s="1"/>
  <c r="L21" i="1" s="1"/>
  <c r="L35" i="1"/>
  <c r="B6" i="3"/>
  <c r="I12" i="2" l="1"/>
  <c r="F12" i="3" s="1"/>
  <c r="J12" i="2"/>
  <c r="E6" i="3"/>
  <c r="C6" i="3"/>
  <c r="L12" i="2" l="1"/>
  <c r="M12" i="2" s="1"/>
  <c r="N12" i="2" s="1"/>
  <c r="H12" i="3"/>
  <c r="J12" i="3"/>
  <c r="L12" i="3" s="1"/>
  <c r="A6" i="2"/>
  <c r="A7" i="2" s="1"/>
  <c r="A8" i="2" s="1"/>
  <c r="A9" i="2" s="1"/>
  <c r="A10" i="2" l="1"/>
  <c r="A11" i="2" l="1"/>
  <c r="L71" i="1"/>
  <c r="L70" i="1"/>
  <c r="L98" i="1"/>
  <c r="L60" i="1"/>
  <c r="L59" i="1"/>
  <c r="L63" i="1"/>
  <c r="L64" i="1"/>
  <c r="L65" i="1"/>
  <c r="L66" i="1"/>
  <c r="L67" i="1"/>
  <c r="L68" i="1"/>
  <c r="L54" i="1"/>
  <c r="L53" i="1"/>
  <c r="I20" i="2" l="1"/>
  <c r="L20" i="2" s="1"/>
  <c r="M20" i="2" s="1"/>
  <c r="N20" i="2" s="1"/>
  <c r="J20" i="2"/>
  <c r="L55" i="1"/>
  <c r="A12" i="2"/>
  <c r="L62" i="1"/>
  <c r="L52" i="1"/>
  <c r="F20" i="3" l="1"/>
  <c r="J20" i="3" s="1"/>
  <c r="L20" i="3" s="1"/>
  <c r="A13" i="2"/>
  <c r="K50" i="1"/>
  <c r="L41" i="1"/>
  <c r="L40" i="1"/>
  <c r="L37" i="1"/>
  <c r="L38" i="1"/>
  <c r="K34" i="1"/>
  <c r="K33" i="1"/>
  <c r="K32" i="1"/>
  <c r="K31" i="1"/>
  <c r="K30" i="1"/>
  <c r="K29" i="1"/>
  <c r="K28" i="1"/>
  <c r="L27" i="1"/>
  <c r="L26" i="1"/>
  <c r="L25" i="1"/>
  <c r="L23" i="1"/>
  <c r="K12" i="1"/>
  <c r="I12" i="1" s="1"/>
  <c r="L12" i="1" s="1"/>
  <c r="L11" i="1"/>
  <c r="L10" i="1"/>
  <c r="L9" i="1"/>
  <c r="L8" i="1"/>
  <c r="L7" i="1"/>
  <c r="H20" i="3" l="1"/>
  <c r="I32" i="1"/>
  <c r="G15" i="2"/>
  <c r="D15" i="2" s="1"/>
  <c r="D15" i="3"/>
  <c r="I33" i="1"/>
  <c r="D14" i="3"/>
  <c r="G14" i="2"/>
  <c r="D14" i="2" s="1"/>
  <c r="I34" i="1"/>
  <c r="D13" i="3"/>
  <c r="G13" i="2"/>
  <c r="D13" i="2" s="1"/>
  <c r="I50" i="1"/>
  <c r="L50" i="1" s="1"/>
  <c r="I6" i="2" s="1"/>
  <c r="G6" i="2"/>
  <c r="D6" i="2" s="1"/>
  <c r="D6" i="3"/>
  <c r="I28" i="1"/>
  <c r="D19" i="3"/>
  <c r="G19" i="2"/>
  <c r="D19" i="2" s="1"/>
  <c r="I29" i="1"/>
  <c r="D18" i="3"/>
  <c r="G18" i="2"/>
  <c r="D18" i="2" s="1"/>
  <c r="I31" i="1"/>
  <c r="G16" i="2"/>
  <c r="D16" i="2" s="1"/>
  <c r="D16" i="3"/>
  <c r="I30" i="1"/>
  <c r="G17" i="2"/>
  <c r="D17" i="2" s="1"/>
  <c r="D17" i="3"/>
  <c r="K13" i="1"/>
  <c r="I13" i="1" s="1"/>
  <c r="L13" i="1" s="1"/>
  <c r="K14" i="1"/>
  <c r="I14" i="1" s="1"/>
  <c r="L14" i="1" s="1"/>
  <c r="K44" i="1"/>
  <c r="I44" i="1" s="1"/>
  <c r="L44" i="1" s="1"/>
  <c r="K20" i="1"/>
  <c r="K49" i="1"/>
  <c r="K43" i="1"/>
  <c r="I43" i="1" s="1"/>
  <c r="L43" i="1" s="1"/>
  <c r="J6" i="2"/>
  <c r="K17" i="1"/>
  <c r="I17" i="1" s="1"/>
  <c r="L17" i="1" s="1"/>
  <c r="K18" i="1"/>
  <c r="K19" i="1"/>
  <c r="K42" i="1"/>
  <c r="I42" i="1" s="1"/>
  <c r="L42" i="1" s="1"/>
  <c r="K15" i="1"/>
  <c r="I15" i="1" s="1"/>
  <c r="L15" i="1" s="1"/>
  <c r="K46" i="1"/>
  <c r="K45" i="1"/>
  <c r="K47" i="1"/>
  <c r="K48" i="1"/>
  <c r="L39" i="1"/>
  <c r="A14" i="2"/>
  <c r="I49" i="1" l="1"/>
  <c r="L49" i="1" s="1"/>
  <c r="I7" i="2" s="1"/>
  <c r="D7" i="3"/>
  <c r="G7" i="2"/>
  <c r="D7" i="2" s="1"/>
  <c r="I18" i="1"/>
  <c r="D23" i="3"/>
  <c r="G23" i="2"/>
  <c r="D23" i="2" s="1"/>
  <c r="I48" i="1"/>
  <c r="D8" i="3"/>
  <c r="G8" i="2"/>
  <c r="D8" i="2" s="1"/>
  <c r="I19" i="1"/>
  <c r="L19" i="1" s="1"/>
  <c r="I22" i="2" s="1"/>
  <c r="L22" i="2" s="1"/>
  <c r="M22" i="2" s="1"/>
  <c r="N22" i="2" s="1"/>
  <c r="G22" i="2"/>
  <c r="D22" i="2" s="1"/>
  <c r="D22" i="3"/>
  <c r="I20" i="1"/>
  <c r="L20" i="1" s="1"/>
  <c r="I21" i="2" s="1"/>
  <c r="L21" i="2" s="1"/>
  <c r="M21" i="2" s="1"/>
  <c r="N21" i="2" s="1"/>
  <c r="G21" i="2"/>
  <c r="D21" i="2" s="1"/>
  <c r="D21" i="3"/>
  <c r="I45" i="1"/>
  <c r="L45" i="1" s="1"/>
  <c r="I11" i="2" s="1"/>
  <c r="G11" i="2"/>
  <c r="D11" i="2" s="1"/>
  <c r="D11" i="3"/>
  <c r="I46" i="1"/>
  <c r="L46" i="1" s="1"/>
  <c r="I10" i="2" s="1"/>
  <c r="D10" i="3"/>
  <c r="G10" i="2"/>
  <c r="D10" i="2" s="1"/>
  <c r="I47" i="1"/>
  <c r="L47" i="1" s="1"/>
  <c r="I9" i="2" s="1"/>
  <c r="D9" i="3"/>
  <c r="G9" i="2"/>
  <c r="D9" i="2" s="1"/>
  <c r="J10" i="2"/>
  <c r="J8" i="2"/>
  <c r="J7" i="2"/>
  <c r="J9" i="2"/>
  <c r="L18" i="1"/>
  <c r="I23" i="2" s="1"/>
  <c r="F23" i="3" s="1"/>
  <c r="L28" i="1"/>
  <c r="L30" i="1"/>
  <c r="L48" i="1"/>
  <c r="I8" i="2" s="1"/>
  <c r="L34" i="1"/>
  <c r="L32" i="1"/>
  <c r="L29" i="1"/>
  <c r="L31" i="1"/>
  <c r="K16" i="1"/>
  <c r="I16" i="1" s="1"/>
  <c r="L16" i="1" s="1"/>
  <c r="L33" i="1"/>
  <c r="L6" i="2"/>
  <c r="F6" i="3"/>
  <c r="A15" i="2"/>
  <c r="F22" i="3" l="1"/>
  <c r="J22" i="3" s="1"/>
  <c r="L22" i="3" s="1"/>
  <c r="I15" i="2"/>
  <c r="L15" i="2" s="1"/>
  <c r="M15" i="2" s="1"/>
  <c r="N15" i="2" s="1"/>
  <c r="J15" i="2"/>
  <c r="J22" i="2"/>
  <c r="F21" i="3"/>
  <c r="J21" i="3" s="1"/>
  <c r="L21" i="3" s="1"/>
  <c r="I14" i="2"/>
  <c r="L14" i="2" s="1"/>
  <c r="M14" i="2" s="1"/>
  <c r="N14" i="2" s="1"/>
  <c r="J14" i="2"/>
  <c r="L23" i="2"/>
  <c r="M23" i="2" s="1"/>
  <c r="N23" i="2" s="1"/>
  <c r="I17" i="2"/>
  <c r="F17" i="3" s="1"/>
  <c r="J17" i="2"/>
  <c r="J21" i="2"/>
  <c r="I16" i="2"/>
  <c r="L16" i="2" s="1"/>
  <c r="M16" i="2" s="1"/>
  <c r="N16" i="2" s="1"/>
  <c r="J16" i="2"/>
  <c r="I19" i="2"/>
  <c r="J19" i="2"/>
  <c r="I18" i="2"/>
  <c r="L18" i="2" s="1"/>
  <c r="M18" i="2" s="1"/>
  <c r="N18" i="2" s="1"/>
  <c r="J18" i="2"/>
  <c r="I13" i="2"/>
  <c r="L13" i="2" s="1"/>
  <c r="M13" i="2" s="1"/>
  <c r="N13" i="2" s="1"/>
  <c r="J13" i="2"/>
  <c r="J23" i="2"/>
  <c r="J11" i="2"/>
  <c r="J23" i="3"/>
  <c r="L23" i="3" s="1"/>
  <c r="H23" i="3"/>
  <c r="L8" i="2"/>
  <c r="M8" i="2" s="1"/>
  <c r="N8" i="2" s="1"/>
  <c r="F8" i="3"/>
  <c r="F15" i="3"/>
  <c r="L11" i="2"/>
  <c r="M11" i="2" s="1"/>
  <c r="N11" i="2" s="1"/>
  <c r="F11" i="3"/>
  <c r="F9" i="3"/>
  <c r="L9" i="2"/>
  <c r="M9" i="2" s="1"/>
  <c r="N9" i="2" s="1"/>
  <c r="F7" i="3"/>
  <c r="L7" i="2"/>
  <c r="M7" i="2" s="1"/>
  <c r="N7" i="2" s="1"/>
  <c r="L10" i="2"/>
  <c r="M10" i="2" s="1"/>
  <c r="N10" i="2" s="1"/>
  <c r="F10" i="3"/>
  <c r="L19" i="2"/>
  <c r="M19" i="2" s="1"/>
  <c r="N19" i="2" s="1"/>
  <c r="F19" i="3"/>
  <c r="J6" i="3"/>
  <c r="L6" i="3" s="1"/>
  <c r="H6" i="3"/>
  <c r="M6" i="2"/>
  <c r="A16" i="2"/>
  <c r="F13" i="3" l="1"/>
  <c r="J13" i="3" s="1"/>
  <c r="L13" i="3" s="1"/>
  <c r="F14" i="3"/>
  <c r="H14" i="3" s="1"/>
  <c r="H22" i="3"/>
  <c r="F16" i="3"/>
  <c r="J16" i="3" s="1"/>
  <c r="L16" i="3" s="1"/>
  <c r="L17" i="2"/>
  <c r="M17" i="2" s="1"/>
  <c r="N17" i="2" s="1"/>
  <c r="F18" i="3"/>
  <c r="H18" i="3" s="1"/>
  <c r="H21" i="3"/>
  <c r="J7" i="3"/>
  <c r="L7" i="3" s="1"/>
  <c r="H7" i="3"/>
  <c r="J15" i="3"/>
  <c r="L15" i="3" s="1"/>
  <c r="H15" i="3"/>
  <c r="J19" i="3"/>
  <c r="L19" i="3" s="1"/>
  <c r="H19" i="3"/>
  <c r="J11" i="3"/>
  <c r="L11" i="3" s="1"/>
  <c r="H11" i="3"/>
  <c r="H8" i="3"/>
  <c r="J8" i="3"/>
  <c r="L8" i="3" s="1"/>
  <c r="M25" i="2"/>
  <c r="J10" i="3"/>
  <c r="L10" i="3" s="1"/>
  <c r="H10" i="3"/>
  <c r="J9" i="3"/>
  <c r="L9" i="3" s="1"/>
  <c r="H9" i="3"/>
  <c r="J17" i="3"/>
  <c r="L17" i="3" s="1"/>
  <c r="H17" i="3"/>
  <c r="N6" i="2"/>
  <c r="K6" i="3"/>
  <c r="A17" i="2"/>
  <c r="H13" i="3" l="1"/>
  <c r="N25" i="2"/>
  <c r="L25" i="2"/>
  <c r="J14" i="3"/>
  <c r="L14" i="3" s="1"/>
  <c r="H16" i="3"/>
  <c r="J18" i="3"/>
  <c r="L18" i="3" s="1"/>
  <c r="A18" i="2"/>
  <c r="A19" i="2" s="1"/>
  <c r="A20" i="2" s="1"/>
  <c r="A21" i="2" s="1"/>
  <c r="A22" i="2" s="1"/>
  <c r="A23" i="2" s="1"/>
</calcChain>
</file>

<file path=xl/comments1.xml><?xml version="1.0" encoding="utf-8"?>
<comments xmlns="http://schemas.openxmlformats.org/spreadsheetml/2006/main">
  <authors>
    <author>Phong Vương</author>
  </authors>
  <commentList>
    <comment ref="Z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250kg;
1000kg;
</t>
        </r>
      </text>
    </comment>
    <comment ref="AA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500kg;
</t>
        </r>
      </text>
    </comment>
    <comment ref="AC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</t>
        </r>
      </text>
    </comment>
    <comment ref="BE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100kg;
</t>
        </r>
      </text>
    </comment>
    <comment ref="AE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500kg;
1000kg;
</t>
        </r>
      </text>
    </comment>
    <comment ref="AF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288kg;
800kg;</t>
        </r>
      </text>
    </comment>
    <comment ref="AP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350kg;
</t>
        </r>
      </text>
    </comment>
    <comment ref="AA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540kg -&gt; 38,5k;
</t>
        </r>
      </text>
    </comment>
    <comment ref="AC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180kg; 
243kg;</t>
        </r>
      </text>
    </comment>
    <comment ref="AF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800kg;
1000kg;
</t>
        </r>
      </text>
    </comment>
    <comment ref="AG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18kg;
</t>
        </r>
      </text>
    </comment>
    <comment ref="AI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</t>
        </r>
      </text>
    </comment>
    <comment ref="AK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256kg;
520kg;
</t>
        </r>
      </text>
    </comment>
    <comment ref="AQ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468kg;
</t>
        </r>
      </text>
    </comment>
    <comment ref="AX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108kg;
540kg;</t>
        </r>
      </text>
    </comment>
    <comment ref="AZ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100kg;
</t>
        </r>
      </text>
    </comment>
    <comment ref="BA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400kg;
</t>
        </r>
      </text>
    </comment>
    <comment ref="BC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</t>
        </r>
      </text>
    </comment>
    <comment ref="AA1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500kg;
</t>
        </r>
      </text>
    </comment>
    <comment ref="AQ1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32kg;
192kg;
</t>
        </r>
      </text>
    </comment>
    <comment ref="AV1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500kg;
1000kg;
</t>
        </r>
      </text>
    </comment>
    <comment ref="AW1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125kg;
</t>
        </r>
      </text>
    </comment>
    <comment ref="AY1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</t>
        </r>
      </text>
    </comment>
    <comment ref="Z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</t>
        </r>
      </text>
    </comment>
    <comment ref="AA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450kg;
540kg;
</t>
        </r>
      </text>
    </comment>
    <comment ref="AB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2500kg;
</t>
        </r>
      </text>
    </comment>
    <comment ref="AE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1300kg;
</t>
        </r>
      </text>
    </comment>
    <comment ref="AG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300kg;
</t>
        </r>
      </text>
    </comment>
    <comment ref="AT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</t>
        </r>
      </text>
    </comment>
    <comment ref="AU1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172kg;
200kg;
</t>
        </r>
      </text>
    </comment>
    <comment ref="AA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500kg;
</t>
        </r>
      </text>
    </comment>
    <comment ref="AF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700kg;
1800kg;
</t>
        </r>
      </text>
    </comment>
    <comment ref="AI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1250kg;
</t>
        </r>
      </text>
    </comment>
    <comment ref="AM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</t>
        </r>
      </text>
    </comment>
    <comment ref="AN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425kg;
637kg;
850kg;
</t>
        </r>
      </text>
    </comment>
    <comment ref="AQ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52kg;
</t>
        </r>
      </text>
    </comment>
    <comment ref="AX16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60kg;
</t>
        </r>
      </text>
    </comment>
    <comment ref="AA1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300kg;
</t>
        </r>
      </text>
    </comment>
    <comment ref="AF1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375kg;
</t>
        </r>
      </text>
    </comment>
    <comment ref="AM17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1250kg;
</t>
        </r>
      </text>
    </comment>
    <comment ref="AE1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495kg;
</t>
        </r>
      </text>
    </comment>
    <comment ref="AF1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700kg;
</t>
        </r>
      </text>
    </comment>
    <comment ref="AK1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30kg;
</t>
        </r>
      </text>
    </comment>
    <comment ref="AO1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300kg;
</t>
        </r>
      </text>
    </comment>
    <comment ref="BC18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120kg;
</t>
        </r>
      </text>
    </comment>
    <comment ref="AD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225kg;
</t>
        </r>
      </text>
    </comment>
    <comment ref="AE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649kg;
</t>
        </r>
      </text>
    </comment>
    <comment ref="AF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300kg;
585kg;
</t>
        </r>
      </text>
    </comment>
    <comment ref="AG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100kg;
</t>
        </r>
      </text>
    </comment>
    <comment ref="AH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200kg;
</t>
        </r>
      </text>
    </comment>
    <comment ref="AI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</t>
        </r>
      </text>
    </comment>
    <comment ref="AJ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600kg;
</t>
        </r>
      </text>
    </comment>
    <comment ref="AK19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</t>
        </r>
      </text>
    </comment>
    <comment ref="AB2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676kg;
</t>
        </r>
      </text>
    </comment>
    <comment ref="AC2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67,5kg</t>
        </r>
      </text>
    </comment>
    <comment ref="BB2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54kg;
</t>
        </r>
      </text>
    </comment>
    <comment ref="BC20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1000kg;
</t>
        </r>
      </text>
    </comment>
    <comment ref="AS21" authorId="0">
      <text>
        <r>
          <rPr>
            <b/>
            <sz val="9"/>
            <color indexed="81"/>
            <rFont val="Tahoma"/>
            <charset val="163"/>
          </rPr>
          <t>Phong Vương:</t>
        </r>
        <r>
          <rPr>
            <sz val="9"/>
            <color indexed="81"/>
            <rFont val="Tahoma"/>
            <charset val="163"/>
          </rPr>
          <t xml:space="preserve">
5kg;
</t>
        </r>
      </text>
    </comment>
  </commentList>
</comments>
</file>

<file path=xl/sharedStrings.xml><?xml version="1.0" encoding="utf-8"?>
<sst xmlns="http://schemas.openxmlformats.org/spreadsheetml/2006/main" count="445" uniqueCount="298">
  <si>
    <t>Tên sản phẩm</t>
  </si>
  <si>
    <t>Product Code</t>
  </si>
  <si>
    <t>Weight (Kg)</t>
  </si>
  <si>
    <t>Type</t>
  </si>
  <si>
    <t>POWDER DESICCANTS</t>
  </si>
  <si>
    <t>Carton</t>
  </si>
  <si>
    <t>P10</t>
  </si>
  <si>
    <t>ACTIVATED CLAY DESICCANTS</t>
  </si>
  <si>
    <t>C10</t>
  </si>
  <si>
    <t>SILICA GEL DESICCANTS</t>
  </si>
  <si>
    <t>Silica gel 1000GR - 3 túi</t>
  </si>
  <si>
    <t>Silica gel 1000GR - 4 túi</t>
  </si>
  <si>
    <t>Silica gel 500GR</t>
  </si>
  <si>
    <t>Silica gel 200GR</t>
  </si>
  <si>
    <t>Silica gel 100GR</t>
  </si>
  <si>
    <t>Silica gel 50GR</t>
  </si>
  <si>
    <t>S10</t>
  </si>
  <si>
    <t>Silica gel 25GR</t>
  </si>
  <si>
    <t>Silica gel 20GR</t>
  </si>
  <si>
    <t>Silica gel 10GR</t>
  </si>
  <si>
    <t>Silica gel 5GR</t>
  </si>
  <si>
    <t>Silica gel 3GR</t>
  </si>
  <si>
    <t>Silica gel 2GR</t>
  </si>
  <si>
    <t>OXYGEN ABSORBER</t>
  </si>
  <si>
    <t>ETHYLENE ABSORBER</t>
  </si>
  <si>
    <t>CAT LITTER</t>
  </si>
  <si>
    <t>ANTI MOLD STICKER &amp; PAPER</t>
  </si>
  <si>
    <t>ACTIVATED ALUMINA</t>
  </si>
  <si>
    <t>ACTIVATED CARBON ABSORBER</t>
  </si>
  <si>
    <t>CALCIUM HYPOCHLORITE 70%</t>
  </si>
  <si>
    <t>RS-09 VCI OIL</t>
  </si>
  <si>
    <t>Oxygen absorber 30cc (35*40)</t>
  </si>
  <si>
    <t>Oxygen absorber 50cc (40*50)</t>
  </si>
  <si>
    <t>Oxygen absorber 100cc (40*60)</t>
  </si>
  <si>
    <t>Oxygen absorber 200cc (50*60)</t>
  </si>
  <si>
    <t>Oxygen absorber 300cc (50*70)</t>
  </si>
  <si>
    <t>Oxygen absorber 500cc (65*75)</t>
  </si>
  <si>
    <t>Activated carbon 2000GR</t>
  </si>
  <si>
    <t>Activated carbon 1000GR</t>
  </si>
  <si>
    <t>Activated carbon 500GR</t>
  </si>
  <si>
    <t>Activated carbon 100GR</t>
  </si>
  <si>
    <t>Activated carbon 50GR</t>
  </si>
  <si>
    <t>Activated carbon 10GR</t>
  </si>
  <si>
    <t>Activated carbon 5GR</t>
  </si>
  <si>
    <t>Ehylene absorber 5GR</t>
  </si>
  <si>
    <t>Ehylene absorber 10GR</t>
  </si>
  <si>
    <t>RS09</t>
  </si>
  <si>
    <t>Dầu chống rỉ sét 20000ML</t>
  </si>
  <si>
    <t>Clay 2000GR</t>
  </si>
  <si>
    <t>Clay 1000GR</t>
  </si>
  <si>
    <t>Clay 500GR</t>
  </si>
  <si>
    <t>Clay 200GR</t>
  </si>
  <si>
    <t>Clay 100GR</t>
  </si>
  <si>
    <t>Clay 50GR</t>
  </si>
  <si>
    <t>Clay 20GR</t>
  </si>
  <si>
    <t>Clay 10GR</t>
  </si>
  <si>
    <t>Clay 5GR</t>
  </si>
  <si>
    <t>Clay 3GR</t>
  </si>
  <si>
    <t>Clay 2GR</t>
  </si>
  <si>
    <t>Powder 2000GR</t>
  </si>
  <si>
    <t>Powder 1000GR - 5 Túi</t>
  </si>
  <si>
    <t>Powder 1000GR - 4 Túi</t>
  </si>
  <si>
    <t>Powder 1000GR - 3 Túi</t>
  </si>
  <si>
    <t>Powder 1000GR</t>
  </si>
  <si>
    <t>Powder 500GR</t>
  </si>
  <si>
    <t>Powder 250GR</t>
  </si>
  <si>
    <t>Powder 200GR</t>
  </si>
  <si>
    <t>Powder 100GR</t>
  </si>
  <si>
    <t>Powder 50GR</t>
  </si>
  <si>
    <t>Powder 25GR</t>
  </si>
  <si>
    <t>Powder 20GR</t>
  </si>
  <si>
    <t>Powder 10GR</t>
  </si>
  <si>
    <t>Powder 5GR</t>
  </si>
  <si>
    <t>Cat litter 5L - sicagel</t>
  </si>
  <si>
    <t>2200GR</t>
  </si>
  <si>
    <t>Cat litter 5L - bentonite</t>
  </si>
  <si>
    <t>CL01</t>
  </si>
  <si>
    <t>CL02</t>
  </si>
  <si>
    <t>4000GR</t>
  </si>
  <si>
    <t>AC01</t>
  </si>
  <si>
    <t>AC02</t>
  </si>
  <si>
    <t>AC03</t>
  </si>
  <si>
    <t>AC04</t>
  </si>
  <si>
    <t>AC05</t>
  </si>
  <si>
    <t>AC06</t>
  </si>
  <si>
    <t>AC07</t>
  </si>
  <si>
    <t>MONMORILLION DESICCANTS</t>
  </si>
  <si>
    <t>MOLECULAR SIEVE</t>
  </si>
  <si>
    <t>STT</t>
  </si>
  <si>
    <t>Ngày tháng</t>
  </si>
  <si>
    <t>Số phiếu</t>
  </si>
  <si>
    <t>Nhà cung cấp</t>
  </si>
  <si>
    <t>Mã sản phẩm</t>
  </si>
  <si>
    <t>ĐVT</t>
  </si>
  <si>
    <t>Số lượng</t>
  </si>
  <si>
    <t>Ghi chú</t>
  </si>
  <si>
    <t>Trọng lượng (Kg)</t>
  </si>
  <si>
    <t>Đơn giá (Kg)</t>
  </si>
  <si>
    <t>NK00001</t>
  </si>
  <si>
    <t>NK00002</t>
  </si>
  <si>
    <t>VAT (10%)</t>
  </si>
  <si>
    <t>TỔNG</t>
  </si>
  <si>
    <t>Giá bán (Kg)</t>
  </si>
  <si>
    <t>NK00003</t>
  </si>
  <si>
    <t>Giá nhập (Kg)</t>
  </si>
  <si>
    <t>Tổng bán (VND)</t>
  </si>
  <si>
    <t>Tổng nhập (VND)</t>
  </si>
  <si>
    <t>Powder 2GR</t>
  </si>
  <si>
    <t>Silica gel 1000GR</t>
  </si>
  <si>
    <t>Clay 1000GR - 4 túi</t>
  </si>
  <si>
    <t>30*30</t>
  </si>
  <si>
    <t>15*100</t>
  </si>
  <si>
    <t>15*80</t>
  </si>
  <si>
    <t>15*60</t>
  </si>
  <si>
    <t>24*30</t>
  </si>
  <si>
    <t>10*17</t>
  </si>
  <si>
    <t>10*12</t>
  </si>
  <si>
    <t>7.5*11</t>
  </si>
  <si>
    <t>7.5*10</t>
  </si>
  <si>
    <t>7.5*7.5</t>
  </si>
  <si>
    <t>7.5*9.0</t>
  </si>
  <si>
    <t>20*30</t>
  </si>
  <si>
    <t>9.0*11</t>
  </si>
  <si>
    <t>9.0*10</t>
  </si>
  <si>
    <t>7.0*9.0</t>
  </si>
  <si>
    <t>5.0*7.0</t>
  </si>
  <si>
    <t>5.0*5.0</t>
  </si>
  <si>
    <t>3.5*5.0</t>
  </si>
  <si>
    <t>3.5*4.0</t>
  </si>
  <si>
    <t>3.5*3.5</t>
  </si>
  <si>
    <t>9.0*14</t>
  </si>
  <si>
    <t>9.0*12</t>
  </si>
  <si>
    <t>7.0*10</t>
  </si>
  <si>
    <t>5.0*8.0</t>
  </si>
  <si>
    <t>4.0*4.0</t>
  </si>
  <si>
    <t>4.0*6.0</t>
  </si>
  <si>
    <t>5.0*6.0</t>
  </si>
  <si>
    <t>6.5*7.5</t>
  </si>
  <si>
    <t>Tùy chỉnh</t>
  </si>
  <si>
    <t>PP Bag</t>
  </si>
  <si>
    <t>Item</t>
  </si>
  <si>
    <t>No.</t>
  </si>
  <si>
    <t>P2K</t>
  </si>
  <si>
    <t>P1K5</t>
  </si>
  <si>
    <t>P1K4</t>
  </si>
  <si>
    <t>P1K3</t>
  </si>
  <si>
    <t>P1K</t>
  </si>
  <si>
    <t>P500</t>
  </si>
  <si>
    <t>P250</t>
  </si>
  <si>
    <t>P200</t>
  </si>
  <si>
    <t>P100</t>
  </si>
  <si>
    <t>P50</t>
  </si>
  <si>
    <t>P20</t>
  </si>
  <si>
    <t>P5</t>
  </si>
  <si>
    <t>C2K</t>
  </si>
  <si>
    <t>C1K4</t>
  </si>
  <si>
    <t>C1K</t>
  </si>
  <si>
    <t>C500</t>
  </si>
  <si>
    <t>C200</t>
  </si>
  <si>
    <t>C100</t>
  </si>
  <si>
    <t>C50</t>
  </si>
  <si>
    <t>C20</t>
  </si>
  <si>
    <t>C5</t>
  </si>
  <si>
    <t>C3</t>
  </si>
  <si>
    <t>C2</t>
  </si>
  <si>
    <t>C1</t>
  </si>
  <si>
    <t>S1K4</t>
  </si>
  <si>
    <t>S1K3</t>
  </si>
  <si>
    <t>S1K</t>
  </si>
  <si>
    <t>S500</t>
  </si>
  <si>
    <t>S200</t>
  </si>
  <si>
    <t>S100</t>
  </si>
  <si>
    <t>S50</t>
  </si>
  <si>
    <t>S25</t>
  </si>
  <si>
    <t>S20</t>
  </si>
  <si>
    <t>S5</t>
  </si>
  <si>
    <t>S3</t>
  </si>
  <si>
    <t>S2</t>
  </si>
  <si>
    <t>S1</t>
  </si>
  <si>
    <t>OA30</t>
  </si>
  <si>
    <t>OA50</t>
  </si>
  <si>
    <t>OA100</t>
  </si>
  <si>
    <t>OA200</t>
  </si>
  <si>
    <t>OA300</t>
  </si>
  <si>
    <t>OA500</t>
  </si>
  <si>
    <t>EA5</t>
  </si>
  <si>
    <t>EA10</t>
  </si>
  <si>
    <t>P25</t>
  </si>
  <si>
    <t>P2</t>
  </si>
  <si>
    <t>Weight (gram)</t>
  </si>
  <si>
    <t>Weight 
(Unit)</t>
  </si>
  <si>
    <t>Size Unit
(cm)</t>
  </si>
  <si>
    <t>Size Pocket (cm)</t>
  </si>
  <si>
    <t>Quantity
(Box)</t>
  </si>
  <si>
    <t>Quantity (Pocket)</t>
  </si>
  <si>
    <t>32*35</t>
  </si>
  <si>
    <t>18*44</t>
  </si>
  <si>
    <t>21*35</t>
  </si>
  <si>
    <t>16*30</t>
  </si>
  <si>
    <t>20*31</t>
  </si>
  <si>
    <t>35*35</t>
  </si>
  <si>
    <t>30cc</t>
  </si>
  <si>
    <t>50cc</t>
  </si>
  <si>
    <t>100cc</t>
  </si>
  <si>
    <t>200cc</t>
  </si>
  <si>
    <t>300cc</t>
  </si>
  <si>
    <t>500cc</t>
  </si>
  <si>
    <t>23*30</t>
  </si>
  <si>
    <t>Số lượng (unit)</t>
  </si>
  <si>
    <t>Thành tiền</t>
  </si>
  <si>
    <t>NK00004</t>
  </si>
  <si>
    <t>NK00005</t>
  </si>
  <si>
    <t>NK00006</t>
  </si>
  <si>
    <t>NK00007</t>
  </si>
  <si>
    <t>NK00008</t>
  </si>
  <si>
    <t>NK00009</t>
  </si>
  <si>
    <t>NK00010</t>
  </si>
  <si>
    <t>NK00011</t>
  </si>
  <si>
    <t>NK00012</t>
  </si>
  <si>
    <t>NK00013</t>
  </si>
  <si>
    <t>NK00014</t>
  </si>
  <si>
    <t>NK00015</t>
  </si>
  <si>
    <t>NK00016</t>
  </si>
  <si>
    <t>NK00017</t>
  </si>
  <si>
    <t>NK00018</t>
  </si>
  <si>
    <t>Vat</t>
  </si>
  <si>
    <t>Tổng</t>
  </si>
  <si>
    <t>THỐNG KÊ</t>
  </si>
  <si>
    <t>Silica gel 1,2GR</t>
  </si>
  <si>
    <t>Clay 1,4GR</t>
  </si>
  <si>
    <t>Note</t>
  </si>
  <si>
    <t>CHÍNH SÁCH GIÁ ĐẠI LÝ</t>
  </si>
  <si>
    <t>SECCO 2000G (A21)</t>
  </si>
  <si>
    <t>TÚI CHỐNG ẨM SECCO L1</t>
  </si>
  <si>
    <t>TÚI CHỐNG ẨM SECCO L3</t>
  </si>
  <si>
    <t>SECCO 1000G (A13)</t>
  </si>
  <si>
    <t>TÚI CHỐNG ẨM SECCO L5</t>
  </si>
  <si>
    <t xml:space="preserve">SECCO 1000G (A14) </t>
  </si>
  <si>
    <t>TÚI CHỐNG ẨM SECCO L6</t>
  </si>
  <si>
    <t xml:space="preserve">SECCO 1000G (A15) </t>
  </si>
  <si>
    <t>TÚI CHỐNG ẨM SECCO L7</t>
  </si>
  <si>
    <t>SECCO 1000G (A11)</t>
  </si>
  <si>
    <t>SECCO 500G (KHÔNG MÓC)</t>
  </si>
  <si>
    <t>TÚI CHỐNG ẨM SECCO L19</t>
  </si>
  <si>
    <t>SECCO 250G</t>
  </si>
  <si>
    <t>TÚI CHỐNG ẨM SECCO L18</t>
  </si>
  <si>
    <t>SECCO 100G</t>
  </si>
  <si>
    <t>TÚI CHỐNG ẨM SECCO L17</t>
  </si>
  <si>
    <t>SECCO 50G</t>
  </si>
  <si>
    <t>TÚI CHỐNG ẨM SECCO L15</t>
  </si>
  <si>
    <t>SECCO 25G</t>
  </si>
  <si>
    <t>TÚI CHỐNG ẨM SECCO L12</t>
  </si>
  <si>
    <t>SECCO 20G</t>
  </si>
  <si>
    <t>TÚI CHỐNG ẨM SECCO L11</t>
  </si>
  <si>
    <t>SECCO 10G</t>
  </si>
  <si>
    <t>TÚI CHỐNG ẨM SECCO L10</t>
  </si>
  <si>
    <t>SECCO 5G</t>
  </si>
  <si>
    <t>TÚI CHỐNG ẨM SECCO L9</t>
  </si>
  <si>
    <t>SECCO 2G</t>
  </si>
  <si>
    <t>TÚI CHỐNG ẨM SECCO L29</t>
  </si>
  <si>
    <t>An Phú Đô</t>
  </si>
  <si>
    <t>FCC</t>
  </si>
  <si>
    <t>TPR</t>
  </si>
  <si>
    <t>Đạt Thuận</t>
  </si>
  <si>
    <t>Duy Quang</t>
  </si>
  <si>
    <t>Shing Mark</t>
  </si>
  <si>
    <t>Hằng Thuỵ</t>
  </si>
  <si>
    <t>Guang Yu</t>
  </si>
  <si>
    <t>Thịnh Kim Nguyên</t>
  </si>
  <si>
    <t>Leman</t>
  </si>
  <si>
    <t>Tự Đỉnh</t>
  </si>
  <si>
    <t>Đỉnh Đại Phát</t>
  </si>
  <si>
    <t>Gỗ Công Phát</t>
  </si>
  <si>
    <t>New Pacific</t>
  </si>
  <si>
    <t>Hố Nai</t>
  </si>
  <si>
    <t>Hita</t>
  </si>
  <si>
    <t>Toshiba Asia</t>
  </si>
  <si>
    <t>Việt Khắc</t>
  </si>
  <si>
    <t>Daiwa Lance</t>
  </si>
  <si>
    <t>Vasa</t>
  </si>
  <si>
    <t>Phượng Hoàng (VHP)</t>
  </si>
  <si>
    <t>YOUNG WIRE VINA</t>
  </si>
  <si>
    <t>Gỗ Việt Tín</t>
  </si>
  <si>
    <t>Mộc Thành</t>
  </si>
  <si>
    <t>Phát Hùng Anh</t>
  </si>
  <si>
    <t>Gỗ Bình Dương</t>
  </si>
  <si>
    <t>Nguyễn Phương Đông</t>
  </si>
  <si>
    <t>N.J Việt</t>
  </si>
  <si>
    <t>PGT-RE CLAIMED</t>
  </si>
  <si>
    <t>QH Plus</t>
  </si>
  <si>
    <t>Miền Quê</t>
  </si>
  <si>
    <t>500kg</t>
  </si>
  <si>
    <t>1000kg</t>
  </si>
  <si>
    <t>2500kg</t>
  </si>
  <si>
    <t>5000kg</t>
  </si>
  <si>
    <t>10000kg</t>
  </si>
  <si>
    <t xml:space="preserve">100kg </t>
  </si>
  <si>
    <t>*Loại A
* Màu sắc : Trắng
* Tỷ lệ hút ẩm : 120% - 150%
* Non-Polymer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</si>
</sst>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63"/>
    </font>
    <font>
      <b/>
      <sz val="9"/>
      <color indexed="81"/>
      <name val="Tahoma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Alignment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0" fillId="2" borderId="1" xfId="1" applyNumberFormat="1" applyFon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1" applyNumberFormat="1" applyFont="1" applyFill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6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4" fontId="0" fillId="0" borderId="1" xfId="0" applyNumberFormat="1" applyFill="1" applyBorder="1"/>
    <xf numFmtId="166" fontId="0" fillId="0" borderId="1" xfId="1" applyNumberFormat="1" applyFont="1" applyFill="1" applyBorder="1"/>
    <xf numFmtId="166" fontId="5" fillId="0" borderId="0" xfId="1" applyNumberFormat="1" applyFont="1"/>
    <xf numFmtId="164" fontId="0" fillId="0" borderId="1" xfId="1" applyNumberFormat="1" applyFont="1" applyFill="1" applyBorder="1" applyAlignment="1">
      <alignment horizontal="right" vertical="center"/>
    </xf>
    <xf numFmtId="9" fontId="0" fillId="0" borderId="1" xfId="2" applyFont="1" applyBorder="1"/>
    <xf numFmtId="166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166" fontId="2" fillId="0" borderId="3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8" sqref="H8"/>
    </sheetView>
  </sheetViews>
  <sheetFormatPr defaultRowHeight="14.4" x14ac:dyDescent="0.3"/>
  <cols>
    <col min="1" max="1" width="4" bestFit="1" customWidth="1"/>
    <col min="2" max="2" width="5.88671875" customWidth="1"/>
    <col min="3" max="3" width="19.5546875" customWidth="1"/>
    <col min="4" max="4" width="6.88671875" bestFit="1" customWidth="1"/>
    <col min="5" max="5" width="6.109375" bestFit="1" customWidth="1"/>
    <col min="6" max="6" width="6.6640625" style="10" bestFit="1" customWidth="1"/>
    <col min="7" max="7" width="9.44140625" style="10" hidden="1" customWidth="1"/>
    <col min="8" max="8" width="13.88671875" style="10" bestFit="1" customWidth="1"/>
    <col min="9" max="9" width="9" style="10" hidden="1" customWidth="1"/>
    <col min="10" max="10" width="13.88671875" style="10" bestFit="1" customWidth="1"/>
    <col min="11" max="11" width="10.44140625" style="10" bestFit="1" customWidth="1"/>
    <col min="12" max="12" width="11.44140625" style="10" bestFit="1" customWidth="1"/>
    <col min="13" max="13" width="19.109375" customWidth="1"/>
  </cols>
  <sheetData>
    <row r="1" spans="1:13" x14ac:dyDescent="0.3">
      <c r="A1" s="56" t="s">
        <v>227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5" spans="1:13" s="15" customFormat="1" ht="46.5" customHeight="1" x14ac:dyDescent="0.3">
      <c r="A5" s="14" t="s">
        <v>88</v>
      </c>
      <c r="B5" s="14" t="s">
        <v>92</v>
      </c>
      <c r="C5" s="14" t="s">
        <v>0</v>
      </c>
      <c r="D5" s="14" t="s">
        <v>93</v>
      </c>
      <c r="E5" s="14" t="s">
        <v>94</v>
      </c>
      <c r="F5" s="16" t="s">
        <v>96</v>
      </c>
      <c r="G5" s="16" t="s">
        <v>104</v>
      </c>
      <c r="H5" s="16" t="s">
        <v>106</v>
      </c>
      <c r="I5" s="16" t="s">
        <v>102</v>
      </c>
      <c r="J5" s="16" t="s">
        <v>105</v>
      </c>
      <c r="K5" s="16" t="s">
        <v>100</v>
      </c>
      <c r="L5" s="16" t="s">
        <v>101</v>
      </c>
      <c r="M5" s="14" t="s">
        <v>95</v>
      </c>
    </row>
    <row r="6" spans="1:13" s="8" customFormat="1" x14ac:dyDescent="0.3">
      <c r="A6" s="6">
        <v>1</v>
      </c>
      <c r="B6" s="48" t="str">
        <f>'Đơn hàng'!E6</f>
        <v>S1</v>
      </c>
      <c r="C6" s="6" t="str">
        <f>IFERROR(VLOOKUP(B6,'Giá Gốc'!$B$7:$M$98,2,0),"")</f>
        <v>Silica gel 1,2GR</v>
      </c>
      <c r="D6" s="6">
        <f>IFERROR(VLOOKUP(B6,'Giá Gốc'!$B$7:$R$98,10,0),"")</f>
        <v>833.33333333333337</v>
      </c>
      <c r="E6" s="6">
        <f>SUMIF('Đơn hàng'!$E:$E,B6,'Đơn hàng'!H:H)</f>
        <v>1</v>
      </c>
      <c r="F6" s="49" t="e">
        <f>SUMIF('Đơn hàng'!$E:$E,B6,'Đơn hàng'!I:I)</f>
        <v>#VALUE!</v>
      </c>
      <c r="G6" s="49">
        <f>IFERROR(VLOOKUP(B6,'Giá Gốc'!$B$7:$R$98,13,0),"")</f>
        <v>50000</v>
      </c>
      <c r="H6" s="49" t="e">
        <f>IF(E6&gt;0,G6*F6,"")</f>
        <v>#VALUE!</v>
      </c>
      <c r="I6" s="49">
        <f>IFERROR(VLOOKUP(B6,'Giá Gốc'!$B$7:$R$98,15,0),"")</f>
        <v>0</v>
      </c>
      <c r="J6" s="49" t="e">
        <f>IF(B6="","",ROUNDUP(I6*F6,-2))</f>
        <v>#VALUE!</v>
      </c>
      <c r="K6" s="49" t="e">
        <f>SUMIF('Đơn hàng'!$E:$E,B6,'Đơn hàng'!#REF!)</f>
        <v>#REF!</v>
      </c>
      <c r="L6" s="49" t="e">
        <f t="shared" ref="L6:L15" si="0">SUM(J6:K6)</f>
        <v>#VALUE!</v>
      </c>
      <c r="M6" s="6"/>
    </row>
    <row r="7" spans="1:13" s="8" customFormat="1" x14ac:dyDescent="0.3">
      <c r="A7" s="6">
        <f>A6+1</f>
        <v>2</v>
      </c>
      <c r="B7" s="48" t="str">
        <f>'Đơn hàng'!E7</f>
        <v>S2</v>
      </c>
      <c r="C7" s="6" t="str">
        <f>IFERROR(VLOOKUP(B7,'Giá Gốc'!$B$7:$M$98,2,0),"")</f>
        <v>Silica gel 2GR</v>
      </c>
      <c r="D7" s="6">
        <f>IFERROR(VLOOKUP(B7,'Giá Gốc'!$B$7:$R$98,10,0),"")</f>
        <v>1250</v>
      </c>
      <c r="E7" s="6">
        <f>SUMIF('Đơn hàng'!$E:$E,B7,'Đơn hàng'!H:H)</f>
        <v>1</v>
      </c>
      <c r="F7" s="49" t="e">
        <f>SUMIF('Đơn hàng'!$E:$E,B7,'Đơn hàng'!I:I)</f>
        <v>#VALUE!</v>
      </c>
      <c r="G7" s="49">
        <f>IFERROR(VLOOKUP(B7,'Giá Gốc'!$B$7:$R$98,13,0),"")</f>
        <v>50000</v>
      </c>
      <c r="H7" s="49" t="e">
        <f t="shared" ref="H7:H23" si="1">IF(E7&gt;0,G7*F7,"")</f>
        <v>#VALUE!</v>
      </c>
      <c r="I7" s="49">
        <f>IFERROR(VLOOKUP(B7,'Giá Gốc'!$B$7:$R$98,15,0),"")</f>
        <v>0</v>
      </c>
      <c r="J7" s="49" t="e">
        <f t="shared" ref="J7:J23" si="2">IF(B7="","",ROUNDUP(I7*F7,-2))</f>
        <v>#VALUE!</v>
      </c>
      <c r="K7" s="49" t="e">
        <f>SUMIF('Đơn hàng'!$E:$E,B7,'Đơn hàng'!#REF!)</f>
        <v>#REF!</v>
      </c>
      <c r="L7" s="49" t="e">
        <f t="shared" si="0"/>
        <v>#VALUE!</v>
      </c>
      <c r="M7" s="6"/>
    </row>
    <row r="8" spans="1:13" s="8" customFormat="1" x14ac:dyDescent="0.3">
      <c r="A8" s="6">
        <f t="shared" ref="A8:A23" si="3">A7+1</f>
        <v>3</v>
      </c>
      <c r="B8" s="48" t="str">
        <f>'Đơn hàng'!E8</f>
        <v>S3</v>
      </c>
      <c r="C8" s="6" t="str">
        <f>IFERROR(VLOOKUP(B8,'Giá Gốc'!$B$7:$M$98,2,0),"")</f>
        <v>Silica gel 3GR</v>
      </c>
      <c r="D8" s="6">
        <f>IFERROR(VLOOKUP(B8,'Giá Gốc'!$B$7:$R$98,10,0),"")</f>
        <v>833.33333333333326</v>
      </c>
      <c r="E8" s="6">
        <f>SUMIF('Đơn hàng'!$E:$E,B8,'Đơn hàng'!H:H)</f>
        <v>1</v>
      </c>
      <c r="F8" s="49" t="e">
        <f>SUMIF('Đơn hàng'!$E:$E,B8,'Đơn hàng'!I:I)</f>
        <v>#VALUE!</v>
      </c>
      <c r="G8" s="49">
        <f>IFERROR(VLOOKUP(B8,'Giá Gốc'!$B$7:$R$98,13,0),"")</f>
        <v>50000</v>
      </c>
      <c r="H8" s="49" t="e">
        <f t="shared" si="1"/>
        <v>#VALUE!</v>
      </c>
      <c r="I8" s="49">
        <f>IFERROR(VLOOKUP(B8,'Giá Gốc'!$B$7:$R$98,15,0),"")</f>
        <v>0</v>
      </c>
      <c r="J8" s="49" t="e">
        <f t="shared" si="2"/>
        <v>#VALUE!</v>
      </c>
      <c r="K8" s="49" t="e">
        <f>SUMIF('Đơn hàng'!$E:$E,B8,'Đơn hàng'!#REF!)</f>
        <v>#REF!</v>
      </c>
      <c r="L8" s="49" t="e">
        <f t="shared" si="0"/>
        <v>#VALUE!</v>
      </c>
      <c r="M8" s="6"/>
    </row>
    <row r="9" spans="1:13" s="8" customFormat="1" x14ac:dyDescent="0.3">
      <c r="A9" s="6">
        <f t="shared" si="3"/>
        <v>4</v>
      </c>
      <c r="B9" s="48" t="str">
        <f>'Đơn hàng'!E9</f>
        <v>S5</v>
      </c>
      <c r="C9" s="6" t="str">
        <f>IFERROR(VLOOKUP(B9,'Giá Gốc'!$B$7:$M$98,2,0),"")</f>
        <v>Silica gel 5GR</v>
      </c>
      <c r="D9" s="6">
        <f>IFERROR(VLOOKUP(B9,'Giá Gốc'!$B$7:$R$98,10,0),"")</f>
        <v>500</v>
      </c>
      <c r="E9" s="6">
        <f>SUMIF('Đơn hàng'!$E:$E,B9,'Đơn hàng'!H:H)</f>
        <v>1</v>
      </c>
      <c r="F9" s="49" t="e">
        <f>SUMIF('Đơn hàng'!$E:$E,B9,'Đơn hàng'!I:I)</f>
        <v>#VALUE!</v>
      </c>
      <c r="G9" s="49">
        <f>IFERROR(VLOOKUP(B9,'Giá Gốc'!$B$7:$R$98,13,0),"")</f>
        <v>46000</v>
      </c>
      <c r="H9" s="49" t="e">
        <f t="shared" si="1"/>
        <v>#VALUE!</v>
      </c>
      <c r="I9" s="49">
        <f>IFERROR(VLOOKUP(B9,'Giá Gốc'!$B$7:$R$98,15,0),"")</f>
        <v>0</v>
      </c>
      <c r="J9" s="49" t="e">
        <f t="shared" si="2"/>
        <v>#VALUE!</v>
      </c>
      <c r="K9" s="49" t="e">
        <f>SUMIF('Đơn hàng'!$E:$E,B9,'Đơn hàng'!#REF!)</f>
        <v>#REF!</v>
      </c>
      <c r="L9" s="49" t="e">
        <f t="shared" si="0"/>
        <v>#VALUE!</v>
      </c>
      <c r="M9" s="6"/>
    </row>
    <row r="10" spans="1:13" s="8" customFormat="1" x14ac:dyDescent="0.3">
      <c r="A10" s="6">
        <f t="shared" si="3"/>
        <v>5</v>
      </c>
      <c r="B10" s="48" t="str">
        <f>'Đơn hàng'!E10</f>
        <v>S10</v>
      </c>
      <c r="C10" s="6" t="str">
        <f>IFERROR(VLOOKUP(B10,'Giá Gốc'!$B$7:$M$98,2,0),"")</f>
        <v>Silica gel 10GR</v>
      </c>
      <c r="D10" s="6">
        <f>IFERROR(VLOOKUP(B10,'Giá Gốc'!$B$7:$R$98,10,0),"")</f>
        <v>250</v>
      </c>
      <c r="E10" s="6">
        <f>SUMIF('Đơn hàng'!$E:$E,B10,'Đơn hàng'!H:H)</f>
        <v>1</v>
      </c>
      <c r="F10" s="49" t="e">
        <f>SUMIF('Đơn hàng'!$E:$E,B10,'Đơn hàng'!I:I)</f>
        <v>#VALUE!</v>
      </c>
      <c r="G10" s="49">
        <f>IFERROR(VLOOKUP(B10,'Giá Gốc'!$B$7:$R$98,13,0),"")</f>
        <v>46000</v>
      </c>
      <c r="H10" s="49" t="e">
        <f t="shared" si="1"/>
        <v>#VALUE!</v>
      </c>
      <c r="I10" s="49">
        <f>IFERROR(VLOOKUP(B10,'Giá Gốc'!$B$7:$R$98,15,0),"")</f>
        <v>0</v>
      </c>
      <c r="J10" s="49" t="e">
        <f t="shared" si="2"/>
        <v>#VALUE!</v>
      </c>
      <c r="K10" s="49" t="e">
        <f>SUMIF('Đơn hàng'!$E:$E,B10,'Đơn hàng'!#REF!)</f>
        <v>#REF!</v>
      </c>
      <c r="L10" s="49" t="e">
        <f t="shared" si="0"/>
        <v>#VALUE!</v>
      </c>
      <c r="M10" s="6"/>
    </row>
    <row r="11" spans="1:13" s="8" customFormat="1" x14ac:dyDescent="0.3">
      <c r="A11" s="6">
        <f t="shared" si="3"/>
        <v>6</v>
      </c>
      <c r="B11" s="48" t="str">
        <f>'Đơn hàng'!E11</f>
        <v>S20</v>
      </c>
      <c r="C11" s="6" t="str">
        <f>IFERROR(VLOOKUP(B11,'Giá Gốc'!$B$7:$M$98,2,0),"")</f>
        <v>Silica gel 20GR</v>
      </c>
      <c r="D11" s="6">
        <f>IFERROR(VLOOKUP(B11,'Giá Gốc'!$B$7:$R$98,10,0),"")</f>
        <v>125</v>
      </c>
      <c r="E11" s="6">
        <f>SUMIF('Đơn hàng'!$E:$E,B11,'Đơn hàng'!H:H)</f>
        <v>1</v>
      </c>
      <c r="F11" s="49" t="e">
        <f>SUMIF('Đơn hàng'!$E:$E,B11,'Đơn hàng'!I:I)</f>
        <v>#VALUE!</v>
      </c>
      <c r="G11" s="49">
        <f>IFERROR(VLOOKUP(B11,'Giá Gốc'!$B$7:$R$98,13,0),"")</f>
        <v>44000</v>
      </c>
      <c r="H11" s="49" t="e">
        <f t="shared" si="1"/>
        <v>#VALUE!</v>
      </c>
      <c r="I11" s="49">
        <f>IFERROR(VLOOKUP(B11,'Giá Gốc'!$B$7:$R$98,15,0),"")</f>
        <v>0</v>
      </c>
      <c r="J11" s="49" t="e">
        <f t="shared" si="2"/>
        <v>#VALUE!</v>
      </c>
      <c r="K11" s="49" t="e">
        <f>SUMIF('Đơn hàng'!$E:$E,B11,'Đơn hàng'!#REF!)</f>
        <v>#REF!</v>
      </c>
      <c r="L11" s="49" t="e">
        <f t="shared" si="0"/>
        <v>#VALUE!</v>
      </c>
      <c r="M11" s="6"/>
    </row>
    <row r="12" spans="1:13" s="8" customFormat="1" x14ac:dyDescent="0.3">
      <c r="A12" s="6">
        <f t="shared" si="3"/>
        <v>7</v>
      </c>
      <c r="B12" s="48" t="str">
        <f>'Đơn hàng'!E12</f>
        <v>C1</v>
      </c>
      <c r="C12" s="6" t="str">
        <f>IFERROR(VLOOKUP(B12,'Giá Gốc'!$B$7:$M$98,2,0),"")</f>
        <v>Clay 1,4GR</v>
      </c>
      <c r="D12" s="6">
        <f>IFERROR(VLOOKUP(B12,'Giá Gốc'!$B$7:$R$98,10,0),"")</f>
        <v>3571.4285714285716</v>
      </c>
      <c r="E12" s="6">
        <f>SUMIF('Đơn hàng'!$E:$E,B12,'Đơn hàng'!H:H)</f>
        <v>1</v>
      </c>
      <c r="F12" s="49" t="e">
        <f>SUMIF('Đơn hàng'!$E:$E,B12,'Đơn hàng'!I:I)</f>
        <v>#VALUE!</v>
      </c>
      <c r="G12" s="49">
        <f>IFERROR(VLOOKUP(B12,'Giá Gốc'!$B$7:$R$98,13,0),"")</f>
        <v>35000</v>
      </c>
      <c r="H12" s="49" t="e">
        <f t="shared" si="1"/>
        <v>#VALUE!</v>
      </c>
      <c r="I12" s="49">
        <f>IFERROR(VLOOKUP(B12,'Giá Gốc'!$B$7:$R$98,15,0),"")</f>
        <v>0</v>
      </c>
      <c r="J12" s="49" t="e">
        <f t="shared" si="2"/>
        <v>#VALUE!</v>
      </c>
      <c r="K12" s="49" t="e">
        <f>SUMIF('Đơn hàng'!$E:$E,B12,'Đơn hàng'!#REF!)</f>
        <v>#REF!</v>
      </c>
      <c r="L12" s="49" t="e">
        <f t="shared" si="0"/>
        <v>#VALUE!</v>
      </c>
      <c r="M12" s="6"/>
    </row>
    <row r="13" spans="1:13" s="8" customFormat="1" x14ac:dyDescent="0.3">
      <c r="A13" s="6">
        <f t="shared" si="3"/>
        <v>8</v>
      </c>
      <c r="B13" s="48" t="str">
        <f>'Đơn hàng'!E13</f>
        <v>C2</v>
      </c>
      <c r="C13" s="6" t="str">
        <f>IFERROR(VLOOKUP(B13,'Giá Gốc'!$B$7:$M$98,2,0),"")</f>
        <v>Clay 2GR</v>
      </c>
      <c r="D13" s="6">
        <f>IFERROR(VLOOKUP(B13,'Giá Gốc'!$B$7:$R$98,10,0),"")</f>
        <v>3000</v>
      </c>
      <c r="E13" s="6">
        <f>SUMIF('Đơn hàng'!$E:$E,B13,'Đơn hàng'!H:H)</f>
        <v>1</v>
      </c>
      <c r="F13" s="49" t="e">
        <f>SUMIF('Đơn hàng'!$E:$E,B13,'Đơn hàng'!I:I)</f>
        <v>#VALUE!</v>
      </c>
      <c r="G13" s="49">
        <f>IFERROR(VLOOKUP(B13,'Giá Gốc'!$B$7:$R$98,13,0),"")</f>
        <v>35000</v>
      </c>
      <c r="H13" s="49" t="e">
        <f t="shared" si="1"/>
        <v>#VALUE!</v>
      </c>
      <c r="I13" s="49">
        <f>IFERROR(VLOOKUP(B13,'Giá Gốc'!$B$7:$R$98,15,0),"")</f>
        <v>0</v>
      </c>
      <c r="J13" s="49" t="e">
        <f t="shared" si="2"/>
        <v>#VALUE!</v>
      </c>
      <c r="K13" s="49" t="e">
        <f>SUMIF('Đơn hàng'!$E:$E,B13,'Đơn hàng'!#REF!)</f>
        <v>#REF!</v>
      </c>
      <c r="L13" s="49" t="e">
        <f t="shared" si="0"/>
        <v>#VALUE!</v>
      </c>
      <c r="M13" s="6"/>
    </row>
    <row r="14" spans="1:13" s="8" customFormat="1" x14ac:dyDescent="0.3">
      <c r="A14" s="6">
        <f t="shared" si="3"/>
        <v>9</v>
      </c>
      <c r="B14" s="48" t="str">
        <f>'Đơn hàng'!E14</f>
        <v>C3</v>
      </c>
      <c r="C14" s="6" t="str">
        <f>IFERROR(VLOOKUP(B14,'Giá Gốc'!$B$7:$M$98,2,0),"")</f>
        <v>Clay 3GR</v>
      </c>
      <c r="D14" s="6">
        <f>IFERROR(VLOOKUP(B14,'Giá Gốc'!$B$7:$R$98,10,0),"")</f>
        <v>2000</v>
      </c>
      <c r="E14" s="6">
        <f>SUMIF('Đơn hàng'!$E:$E,B14,'Đơn hàng'!H:H)</f>
        <v>1</v>
      </c>
      <c r="F14" s="49" t="e">
        <f>SUMIF('Đơn hàng'!$E:$E,B14,'Đơn hàng'!I:I)</f>
        <v>#VALUE!</v>
      </c>
      <c r="G14" s="49">
        <f>IFERROR(VLOOKUP(B14,'Giá Gốc'!$B$7:$R$98,13,0),"")</f>
        <v>35000</v>
      </c>
      <c r="H14" s="49" t="e">
        <f t="shared" si="1"/>
        <v>#VALUE!</v>
      </c>
      <c r="I14" s="49">
        <f>IFERROR(VLOOKUP(B14,'Giá Gốc'!$B$7:$R$98,15,0),"")</f>
        <v>0</v>
      </c>
      <c r="J14" s="49" t="e">
        <f t="shared" si="2"/>
        <v>#VALUE!</v>
      </c>
      <c r="K14" s="49" t="e">
        <f>SUMIF('Đơn hàng'!$E:$E,B14,'Đơn hàng'!#REF!)</f>
        <v>#REF!</v>
      </c>
      <c r="L14" s="49" t="e">
        <f t="shared" si="0"/>
        <v>#VALUE!</v>
      </c>
      <c r="M14" s="6"/>
    </row>
    <row r="15" spans="1:13" s="8" customFormat="1" x14ac:dyDescent="0.3">
      <c r="A15" s="6">
        <f t="shared" si="3"/>
        <v>10</v>
      </c>
      <c r="B15" s="48" t="str">
        <f>'Đơn hàng'!E15</f>
        <v>C5</v>
      </c>
      <c r="C15" s="6" t="str">
        <f>IFERROR(VLOOKUP(B15,'Giá Gốc'!$B$7:$M$98,2,0),"")</f>
        <v>Clay 5GR</v>
      </c>
      <c r="D15" s="6">
        <f>IFERROR(VLOOKUP(B15,'Giá Gốc'!$B$7:$R$98,10,0),"")</f>
        <v>1200</v>
      </c>
      <c r="E15" s="6">
        <f>SUMIF('Đơn hàng'!$E:$E,B15,'Đơn hàng'!H:H)</f>
        <v>1</v>
      </c>
      <c r="F15" s="49" t="e">
        <f>SUMIF('Đơn hàng'!$E:$E,B15,'Đơn hàng'!I:I)</f>
        <v>#VALUE!</v>
      </c>
      <c r="G15" s="49">
        <f>IFERROR(VLOOKUP(B15,'Giá Gốc'!$B$7:$R$98,13,0),"")</f>
        <v>24000</v>
      </c>
      <c r="H15" s="49" t="e">
        <f t="shared" si="1"/>
        <v>#VALUE!</v>
      </c>
      <c r="I15" s="49">
        <f>IFERROR(VLOOKUP(B15,'Giá Gốc'!$B$7:$R$98,15,0),"")</f>
        <v>0</v>
      </c>
      <c r="J15" s="49" t="e">
        <f t="shared" si="2"/>
        <v>#VALUE!</v>
      </c>
      <c r="K15" s="49" t="e">
        <f>SUMIF('Đơn hàng'!$E:$E,B15,'Đơn hàng'!#REF!)</f>
        <v>#REF!</v>
      </c>
      <c r="L15" s="49" t="e">
        <f t="shared" si="0"/>
        <v>#VALUE!</v>
      </c>
      <c r="M15" s="6"/>
    </row>
    <row r="16" spans="1:13" s="8" customFormat="1" x14ac:dyDescent="0.3">
      <c r="A16" s="6">
        <f t="shared" si="3"/>
        <v>11</v>
      </c>
      <c r="B16" s="48" t="str">
        <f>'Đơn hàng'!E16</f>
        <v>C10</v>
      </c>
      <c r="C16" s="6" t="str">
        <f>IFERROR(VLOOKUP(B16,'Giá Gốc'!$B$7:$M$98,2,0),"")</f>
        <v>Clay 10GR</v>
      </c>
      <c r="D16" s="6">
        <f>IFERROR(VLOOKUP(B16,'Giá Gốc'!$B$7:$R$98,10,0),"")</f>
        <v>700</v>
      </c>
      <c r="E16" s="6">
        <f>SUMIF('Đơn hàng'!$E:$E,B16,'Đơn hàng'!H:H)</f>
        <v>1</v>
      </c>
      <c r="F16" s="49" t="e">
        <f>SUMIF('Đơn hàng'!$E:$E,B16,'Đơn hàng'!I:I)</f>
        <v>#VALUE!</v>
      </c>
      <c r="G16" s="49">
        <f>IFERROR(VLOOKUP(B16,'Giá Gốc'!$B$7:$R$98,13,0),"")</f>
        <v>24000</v>
      </c>
      <c r="H16" s="49" t="e">
        <f t="shared" si="1"/>
        <v>#VALUE!</v>
      </c>
      <c r="I16" s="49">
        <f>IFERROR(VLOOKUP(B16,'Giá Gốc'!$B$7:$R$98,15,0),"")</f>
        <v>0</v>
      </c>
      <c r="J16" s="49" t="e">
        <f t="shared" si="2"/>
        <v>#VALUE!</v>
      </c>
      <c r="K16" s="49" t="e">
        <f>SUMIF('Đơn hàng'!$E:$E,B16,'Đơn hàng'!#REF!)</f>
        <v>#REF!</v>
      </c>
      <c r="L16" s="49" t="e">
        <f>SUM(J16:K16)</f>
        <v>#VALUE!</v>
      </c>
      <c r="M16" s="6"/>
    </row>
    <row r="17" spans="1:13" s="8" customFormat="1" x14ac:dyDescent="0.3">
      <c r="A17" s="6">
        <f t="shared" si="3"/>
        <v>12</v>
      </c>
      <c r="B17" s="48" t="str">
        <f>'Đơn hàng'!E17</f>
        <v>C20</v>
      </c>
      <c r="C17" s="6" t="str">
        <f>IFERROR(VLOOKUP(B17,'Giá Gốc'!$B$7:$M$98,2,0),"")</f>
        <v>Clay 20GR</v>
      </c>
      <c r="D17" s="6">
        <f>IFERROR(VLOOKUP(B17,'Giá Gốc'!$B$7:$R$98,10,0),"")</f>
        <v>400</v>
      </c>
      <c r="E17" s="6">
        <f>SUMIF('Đơn hàng'!$E:$E,B17,'Đơn hàng'!H:H)</f>
        <v>1</v>
      </c>
      <c r="F17" s="49" t="e">
        <f>SUMIF('Đơn hàng'!$E:$E,B17,'Đơn hàng'!I:I)</f>
        <v>#VALUE!</v>
      </c>
      <c r="G17" s="49">
        <f>IFERROR(VLOOKUP(B17,'Giá Gốc'!$B$7:$R$98,13,0),"")</f>
        <v>22000</v>
      </c>
      <c r="H17" s="49" t="e">
        <f t="shared" si="1"/>
        <v>#VALUE!</v>
      </c>
      <c r="I17" s="49">
        <f>IFERROR(VLOOKUP(B17,'Giá Gốc'!$B$7:$R$98,15,0),"")</f>
        <v>0</v>
      </c>
      <c r="J17" s="49" t="e">
        <f t="shared" si="2"/>
        <v>#VALUE!</v>
      </c>
      <c r="K17" s="49" t="e">
        <f>SUMIF('Đơn hàng'!$E:$E,B17,'Đơn hàng'!#REF!)</f>
        <v>#REF!</v>
      </c>
      <c r="L17" s="49" t="e">
        <f>SUM(J17:K17)</f>
        <v>#VALUE!</v>
      </c>
      <c r="M17" s="6"/>
    </row>
    <row r="18" spans="1:13" s="8" customFormat="1" x14ac:dyDescent="0.3">
      <c r="A18" s="6">
        <f t="shared" si="3"/>
        <v>13</v>
      </c>
      <c r="B18" s="48" t="str">
        <f>'Đơn hàng'!E18</f>
        <v>C50</v>
      </c>
      <c r="C18" s="6" t="str">
        <f>IFERROR(VLOOKUP(B18,'Giá Gốc'!$B$7:$M$98,2,0),"")</f>
        <v>Clay 50GR</v>
      </c>
      <c r="D18" s="6">
        <f>IFERROR(VLOOKUP(B18,'Giá Gốc'!$B$7:$R$98,10,0),"")</f>
        <v>160</v>
      </c>
      <c r="E18" s="6">
        <f>SUMIF('Đơn hàng'!$E:$E,B18,'Đơn hàng'!H:H)</f>
        <v>1</v>
      </c>
      <c r="F18" s="49" t="e">
        <f>SUMIF('Đơn hàng'!$E:$E,B18,'Đơn hàng'!I:I)</f>
        <v>#VALUE!</v>
      </c>
      <c r="G18" s="49">
        <f>IFERROR(VLOOKUP(B18,'Giá Gốc'!$B$7:$R$98,13,0),"")</f>
        <v>22000</v>
      </c>
      <c r="H18" s="49" t="e">
        <f t="shared" si="1"/>
        <v>#VALUE!</v>
      </c>
      <c r="I18" s="49">
        <f>IFERROR(VLOOKUP(B18,'Giá Gốc'!$B$7:$R$98,15,0),"")</f>
        <v>0</v>
      </c>
      <c r="J18" s="49" t="e">
        <f t="shared" si="2"/>
        <v>#VALUE!</v>
      </c>
      <c r="K18" s="49" t="e">
        <f>SUMIF('Đơn hàng'!$E:$E,B18,'Đơn hàng'!#REF!)</f>
        <v>#REF!</v>
      </c>
      <c r="L18" s="49" t="e">
        <f t="shared" ref="L18:L23" si="4">SUM(J18:K18)</f>
        <v>#VALUE!</v>
      </c>
      <c r="M18" s="6"/>
    </row>
    <row r="19" spans="1:13" s="8" customFormat="1" x14ac:dyDescent="0.3">
      <c r="A19" s="6">
        <f t="shared" si="3"/>
        <v>14</v>
      </c>
      <c r="B19" s="48" t="str">
        <f>'Đơn hàng'!E19</f>
        <v>C100</v>
      </c>
      <c r="C19" s="6" t="str">
        <f>IFERROR(VLOOKUP(B19,'Giá Gốc'!$B$7:$M$98,2,0),"")</f>
        <v>Clay 100GR</v>
      </c>
      <c r="D19" s="6">
        <f>IFERROR(VLOOKUP(B19,'Giá Gốc'!$B$7:$R$98,10,0),"")</f>
        <v>80</v>
      </c>
      <c r="E19" s="6">
        <f>SUMIF('Đơn hàng'!$E:$E,B19,'Đơn hàng'!H:H)</f>
        <v>1</v>
      </c>
      <c r="F19" s="49" t="e">
        <f>SUMIF('Đơn hàng'!$E:$E,B19,'Đơn hàng'!I:I)</f>
        <v>#VALUE!</v>
      </c>
      <c r="G19" s="49">
        <f>IFERROR(VLOOKUP(B19,'Giá Gốc'!$B$7:$R$98,13,0),"")</f>
        <v>22000</v>
      </c>
      <c r="H19" s="49" t="e">
        <f t="shared" si="1"/>
        <v>#VALUE!</v>
      </c>
      <c r="I19" s="49">
        <f>IFERROR(VLOOKUP(B19,'Giá Gốc'!$B$7:$R$98,15,0),"")</f>
        <v>0</v>
      </c>
      <c r="J19" s="49" t="e">
        <f t="shared" si="2"/>
        <v>#VALUE!</v>
      </c>
      <c r="K19" s="49" t="e">
        <f>SUMIF('Đơn hàng'!$E:$E,B19,'Đơn hàng'!#REF!)</f>
        <v>#REF!</v>
      </c>
      <c r="L19" s="49" t="e">
        <f t="shared" si="4"/>
        <v>#VALUE!</v>
      </c>
      <c r="M19" s="6"/>
    </row>
    <row r="20" spans="1:13" s="8" customFormat="1" x14ac:dyDescent="0.3">
      <c r="A20" s="6">
        <f t="shared" si="3"/>
        <v>15</v>
      </c>
      <c r="B20" s="48" t="str">
        <f>'Đơn hàng'!E20</f>
        <v>EA5</v>
      </c>
      <c r="C20" s="6" t="str">
        <f>IFERROR(VLOOKUP(B20,'Giá Gốc'!$B$7:$M$98,2,0),"")</f>
        <v>Ehylene absorber 5GR</v>
      </c>
      <c r="D20" s="6">
        <f>IFERROR(VLOOKUP(B20,'Giá Gốc'!$B$7:$R$98,10,0),"")</f>
        <v>200</v>
      </c>
      <c r="E20" s="6">
        <f>SUMIF('Đơn hàng'!$E:$E,B20,'Đơn hàng'!H:H)</f>
        <v>1</v>
      </c>
      <c r="F20" s="49" t="e">
        <f>SUMIF('Đơn hàng'!$E:$E,B20,'Đơn hàng'!I:I)</f>
        <v>#VALUE!</v>
      </c>
      <c r="G20" s="49">
        <f>IFERROR(VLOOKUP(B20,'Giá Gốc'!$B$7:$R$98,13,0),"")</f>
        <v>40000</v>
      </c>
      <c r="H20" s="49" t="e">
        <f t="shared" si="1"/>
        <v>#VALUE!</v>
      </c>
      <c r="I20" s="49">
        <f>IFERROR(VLOOKUP(B20,'Giá Gốc'!$B$7:$R$98,15,0),"")</f>
        <v>0</v>
      </c>
      <c r="J20" s="49" t="e">
        <f t="shared" si="2"/>
        <v>#VALUE!</v>
      </c>
      <c r="K20" s="49" t="e">
        <f>SUMIF('Đơn hàng'!$E:$E,B20,'Đơn hàng'!#REF!)</f>
        <v>#REF!</v>
      </c>
      <c r="L20" s="49" t="e">
        <f t="shared" si="4"/>
        <v>#VALUE!</v>
      </c>
      <c r="M20" s="6"/>
    </row>
    <row r="21" spans="1:13" s="8" customFormat="1" x14ac:dyDescent="0.3">
      <c r="A21" s="6">
        <f t="shared" si="3"/>
        <v>16</v>
      </c>
      <c r="B21" s="48" t="str">
        <f>'Đơn hàng'!E21</f>
        <v>P5</v>
      </c>
      <c r="C21" s="6" t="str">
        <f>IFERROR(VLOOKUP(B21,'Giá Gốc'!$B$7:$M$98,2,0),"")</f>
        <v>Powder 5GR</v>
      </c>
      <c r="D21" s="6">
        <f>IFERROR(VLOOKUP(B21,'Giá Gốc'!$B$7:$R$98,10,0),"")</f>
        <v>500</v>
      </c>
      <c r="E21" s="6">
        <f>SUMIF('Đơn hàng'!$E:$E,B21,'Đơn hàng'!H:H)</f>
        <v>1</v>
      </c>
      <c r="F21" s="49" t="e">
        <f>SUMIF('Đơn hàng'!$E:$E,B21,'Đơn hàng'!I:I)</f>
        <v>#VALUE!</v>
      </c>
      <c r="G21" s="49">
        <f>IFERROR(VLOOKUP(B21,'Giá Gốc'!$B$7:$R$98,13,0),"")</f>
        <v>68000</v>
      </c>
      <c r="H21" s="49" t="e">
        <f t="shared" si="1"/>
        <v>#VALUE!</v>
      </c>
      <c r="I21" s="49">
        <f>IFERROR(VLOOKUP(B21,'Giá Gốc'!$B$7:$R$98,15,0),"")</f>
        <v>48280</v>
      </c>
      <c r="J21" s="49" t="e">
        <f t="shared" si="2"/>
        <v>#VALUE!</v>
      </c>
      <c r="K21" s="49" t="e">
        <f>SUMIF('Đơn hàng'!$E:$E,B21,'Đơn hàng'!#REF!)</f>
        <v>#REF!</v>
      </c>
      <c r="L21" s="49" t="e">
        <f t="shared" si="4"/>
        <v>#VALUE!</v>
      </c>
      <c r="M21" s="6"/>
    </row>
    <row r="22" spans="1:13" s="8" customFormat="1" x14ac:dyDescent="0.3">
      <c r="A22" s="6">
        <f t="shared" si="3"/>
        <v>17</v>
      </c>
      <c r="B22" s="48" t="str">
        <f>'Đơn hàng'!E22</f>
        <v>P10</v>
      </c>
      <c r="C22" s="6" t="str">
        <f>IFERROR(VLOOKUP(B22,'Giá Gốc'!$B$7:$M$98,2,0),"")</f>
        <v>Powder 10GR</v>
      </c>
      <c r="D22" s="6">
        <f>IFERROR(VLOOKUP(B22,'Giá Gốc'!$B$7:$R$98,10,0),"")</f>
        <v>250</v>
      </c>
      <c r="E22" s="6">
        <f>SUMIF('Đơn hàng'!$E:$E,B22,'Đơn hàng'!H:H)</f>
        <v>1</v>
      </c>
      <c r="F22" s="49" t="e">
        <f>SUMIF('Đơn hàng'!$E:$E,B22,'Đơn hàng'!I:I)</f>
        <v>#VALUE!</v>
      </c>
      <c r="G22" s="49">
        <f>IFERROR(VLOOKUP(B22,'Giá Gốc'!$B$7:$R$98,13,0),"")</f>
        <v>54000</v>
      </c>
      <c r="H22" s="49" t="e">
        <f t="shared" si="1"/>
        <v>#VALUE!</v>
      </c>
      <c r="I22" s="49">
        <f>IFERROR(VLOOKUP(B22,'Giá Gốc'!$B$7:$R$98,15,0),"")</f>
        <v>40230</v>
      </c>
      <c r="J22" s="49" t="e">
        <f t="shared" si="2"/>
        <v>#VALUE!</v>
      </c>
      <c r="K22" s="49" t="e">
        <f>SUMIF('Đơn hàng'!$E:$E,B22,'Đơn hàng'!#REF!)</f>
        <v>#REF!</v>
      </c>
      <c r="L22" s="49" t="e">
        <f t="shared" si="4"/>
        <v>#VALUE!</v>
      </c>
      <c r="M22" s="6"/>
    </row>
    <row r="23" spans="1:13" s="8" customFormat="1" x14ac:dyDescent="0.3">
      <c r="A23" s="6">
        <f t="shared" si="3"/>
        <v>18</v>
      </c>
      <c r="B23" s="48" t="str">
        <f>'Đơn hàng'!E23</f>
        <v>P20</v>
      </c>
      <c r="C23" s="6" t="str">
        <f>IFERROR(VLOOKUP(B23,'Giá Gốc'!$B$7:$M$98,2,0),"")</f>
        <v>Powder 20GR</v>
      </c>
      <c r="D23" s="6">
        <f>IFERROR(VLOOKUP(B23,'Giá Gốc'!$B$7:$R$98,10,0),"")</f>
        <v>125</v>
      </c>
      <c r="E23" s="6">
        <f>SUMIF('Đơn hàng'!$E:$E,B23,'Đơn hàng'!H:H)</f>
        <v>1</v>
      </c>
      <c r="F23" s="49" t="e">
        <f>SUMIF('Đơn hàng'!$E:$E,B23,'Đơn hàng'!I:I)</f>
        <v>#VALUE!</v>
      </c>
      <c r="G23" s="49">
        <f>IFERROR(VLOOKUP(B23,'Giá Gốc'!$B$7:$R$98,13,0),"")</f>
        <v>50000</v>
      </c>
      <c r="H23" s="49" t="e">
        <f t="shared" si="1"/>
        <v>#VALUE!</v>
      </c>
      <c r="I23" s="49">
        <f>IFERROR(VLOOKUP(B23,'Giá Gốc'!$B$7:$R$98,15,0),"")</f>
        <v>38220</v>
      </c>
      <c r="J23" s="49" t="e">
        <f t="shared" si="2"/>
        <v>#VALUE!</v>
      </c>
      <c r="K23" s="49" t="e">
        <f>SUMIF('Đơn hàng'!$E:$E,B23,'Đơn hàng'!#REF!)</f>
        <v>#REF!</v>
      </c>
      <c r="L23" s="49" t="e">
        <f t="shared" si="4"/>
        <v>#VALUE!</v>
      </c>
      <c r="M23" s="6"/>
    </row>
    <row r="24" spans="1:13" s="8" customFormat="1" x14ac:dyDescent="0.3">
      <c r="F24" s="20"/>
      <c r="G24" s="20"/>
      <c r="H24" s="20"/>
      <c r="I24" s="20"/>
      <c r="J24" s="20"/>
      <c r="K24" s="20"/>
      <c r="L24" s="20"/>
    </row>
  </sheetData>
  <mergeCells count="1">
    <mergeCell ref="A1:M2"/>
  </mergeCells>
  <conditionalFormatting sqref="A6:A23">
    <cfRule type="expression" dxfId="1" priority="2">
      <formula>#REF!=TRUE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5"/>
  <sheetViews>
    <sheetView workbookViewId="0">
      <selection activeCell="F27" sqref="F27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8.88671875" customWidth="1"/>
    <col min="4" max="4" width="7.5546875" customWidth="1"/>
    <col min="5" max="5" width="5.88671875" customWidth="1"/>
    <col min="6" max="6" width="24.5546875" customWidth="1"/>
    <col min="7" max="7" width="12" customWidth="1"/>
    <col min="8" max="8" width="8.6640625" bestFit="1" customWidth="1"/>
    <col min="9" max="9" width="11.44140625" bestFit="1" customWidth="1"/>
    <col min="10" max="10" width="12" style="10" customWidth="1"/>
    <col min="11" max="11" width="10.6640625" style="10" customWidth="1"/>
    <col min="12" max="12" width="12" style="10" customWidth="1"/>
    <col min="13" max="13" width="11.21875" style="10" bestFit="1" customWidth="1"/>
    <col min="14" max="14" width="11.21875" style="10" customWidth="1"/>
    <col min="15" max="15" width="11" bestFit="1" customWidth="1"/>
  </cols>
  <sheetData>
    <row r="5" spans="1:15" s="15" customFormat="1" ht="46.5" customHeight="1" x14ac:dyDescent="0.3">
      <c r="A5" s="14" t="s">
        <v>88</v>
      </c>
      <c r="B5" s="14" t="s">
        <v>89</v>
      </c>
      <c r="C5" s="14" t="s">
        <v>90</v>
      </c>
      <c r="D5" s="14" t="s">
        <v>91</v>
      </c>
      <c r="E5" s="41" t="s">
        <v>92</v>
      </c>
      <c r="F5" s="14" t="s">
        <v>0</v>
      </c>
      <c r="G5" s="14" t="s">
        <v>93</v>
      </c>
      <c r="H5" s="45" t="s">
        <v>94</v>
      </c>
      <c r="I5" s="44" t="s">
        <v>96</v>
      </c>
      <c r="J5" s="16" t="s">
        <v>208</v>
      </c>
      <c r="K5" s="16" t="s">
        <v>97</v>
      </c>
      <c r="L5" s="16" t="s">
        <v>209</v>
      </c>
      <c r="M5" s="16" t="s">
        <v>225</v>
      </c>
      <c r="N5" s="16" t="s">
        <v>226</v>
      </c>
      <c r="O5" s="14" t="s">
        <v>95</v>
      </c>
    </row>
    <row r="6" spans="1:15" x14ac:dyDescent="0.3">
      <c r="A6" s="3">
        <f>IF($B6=COUNTA($B6),0,1)</f>
        <v>1</v>
      </c>
      <c r="B6" s="13">
        <v>44780</v>
      </c>
      <c r="C6" s="13" t="s">
        <v>98</v>
      </c>
      <c r="D6" s="3" t="str">
        <f>IF(G6="PP Bag","TM","SX")</f>
        <v>SX</v>
      </c>
      <c r="E6" s="3" t="s">
        <v>178</v>
      </c>
      <c r="F6" s="3" t="str">
        <f>IFERROR(VLOOKUP(E6,'Giá Gốc'!$B$7:$R$98,2,0),"")</f>
        <v>Silica gel 1,2GR</v>
      </c>
      <c r="G6" s="3">
        <f>IFERROR(VLOOKUP(E6,'Giá Gốc'!$B$7:$R$98,10,0),"")</f>
        <v>833.33333333333337</v>
      </c>
      <c r="H6" s="3">
        <v>1</v>
      </c>
      <c r="I6" s="47" t="e">
        <f>IFERROR(VLOOKUP(E6,'Giá Gốc'!$B$7:$R$98,9,0),"")*H6</f>
        <v>#VALUE!</v>
      </c>
      <c r="J6" s="5">
        <f>IFERROR(VLOOKUP(E6,'Giá Gốc'!$B$7:$R$98,6,0),"")*H6</f>
        <v>0</v>
      </c>
      <c r="K6" s="5">
        <f>IFERROR(VLOOKUP(E6,'Giá Gốc'!$B$7:$R$98,13,0),"")</f>
        <v>50000</v>
      </c>
      <c r="L6" s="5" t="e">
        <f>K6*I6</f>
        <v>#VALUE!</v>
      </c>
      <c r="M6" s="5" t="e">
        <f>L6*10%</f>
        <v>#VALUE!</v>
      </c>
      <c r="N6" s="5" t="e">
        <f>L6+M6</f>
        <v>#VALUE!</v>
      </c>
      <c r="O6" s="3"/>
    </row>
    <row r="7" spans="1:15" s="8" customFormat="1" x14ac:dyDescent="0.3">
      <c r="A7" s="3">
        <f>IF($B7=COUNTA($B7),0,A6+1)</f>
        <v>2</v>
      </c>
      <c r="B7" s="13">
        <v>44780</v>
      </c>
      <c r="C7" s="13" t="s">
        <v>99</v>
      </c>
      <c r="D7" s="3" t="str">
        <f t="shared" ref="D7:D23" si="0">IF(G7="PP Bag","TM","SX")</f>
        <v>SX</v>
      </c>
      <c r="E7" s="3" t="s">
        <v>177</v>
      </c>
      <c r="F7" s="3" t="str">
        <f>IFERROR(VLOOKUP(E7,'Giá Gốc'!$B$7:$R$98,2,0),"")</f>
        <v>Silica gel 2GR</v>
      </c>
      <c r="G7" s="3">
        <f>IFERROR(VLOOKUP(E7,'Giá Gốc'!$B$7:$R$98,10,0),"")</f>
        <v>1250</v>
      </c>
      <c r="H7" s="3">
        <v>1</v>
      </c>
      <c r="I7" s="47" t="e">
        <f>IFERROR(VLOOKUP(E7,'Giá Gốc'!$B$7:$R$98,9,0),"")*H7</f>
        <v>#VALUE!</v>
      </c>
      <c r="J7" s="5">
        <f>IFERROR(VLOOKUP(E7,'Giá Gốc'!$B$7:$R$98,6,0),"")*H7</f>
        <v>0</v>
      </c>
      <c r="K7" s="5">
        <f>IFERROR(VLOOKUP(E7,'Giá Gốc'!$B$7:$R$98,13,0),"")</f>
        <v>50000</v>
      </c>
      <c r="L7" s="5" t="e">
        <f t="shared" ref="L7:L23" si="1">K7*I7</f>
        <v>#VALUE!</v>
      </c>
      <c r="M7" s="5" t="e">
        <f t="shared" ref="M7:M23" si="2">L7*10%</f>
        <v>#VALUE!</v>
      </c>
      <c r="N7" s="5" t="e">
        <f t="shared" ref="N7:N23" si="3">L7+M7</f>
        <v>#VALUE!</v>
      </c>
      <c r="O7" s="3"/>
    </row>
    <row r="8" spans="1:15" s="8" customFormat="1" x14ac:dyDescent="0.3">
      <c r="A8" s="3">
        <f t="shared" ref="A8:A23" si="4">IF($B8=COUNTA($B8),0,A7+1)</f>
        <v>3</v>
      </c>
      <c r="B8" s="13">
        <v>44780</v>
      </c>
      <c r="C8" s="13" t="s">
        <v>103</v>
      </c>
      <c r="D8" s="3" t="str">
        <f t="shared" si="0"/>
        <v>SX</v>
      </c>
      <c r="E8" s="3" t="s">
        <v>176</v>
      </c>
      <c r="F8" s="3" t="str">
        <f>IFERROR(VLOOKUP(E8,'Giá Gốc'!$B$7:$R$98,2,0),"")</f>
        <v>Silica gel 3GR</v>
      </c>
      <c r="G8" s="3">
        <f>IFERROR(VLOOKUP(E8,'Giá Gốc'!$B$7:$R$98,10,0),"")</f>
        <v>833.33333333333326</v>
      </c>
      <c r="H8" s="3">
        <v>1</v>
      </c>
      <c r="I8" s="47" t="e">
        <f>IFERROR(VLOOKUP(E8,'Giá Gốc'!$B$7:$R$98,9,0),"")*H8</f>
        <v>#VALUE!</v>
      </c>
      <c r="J8" s="5">
        <f>IFERROR(VLOOKUP(E8,'Giá Gốc'!$B$7:$R$98,6,0),"")*H8</f>
        <v>0</v>
      </c>
      <c r="K8" s="5">
        <f>IFERROR(VLOOKUP(E8,'Giá Gốc'!$B$7:$R$98,13,0),"")</f>
        <v>50000</v>
      </c>
      <c r="L8" s="5" t="e">
        <f t="shared" si="1"/>
        <v>#VALUE!</v>
      </c>
      <c r="M8" s="5" t="e">
        <f t="shared" si="2"/>
        <v>#VALUE!</v>
      </c>
      <c r="N8" s="5" t="e">
        <f t="shared" si="3"/>
        <v>#VALUE!</v>
      </c>
      <c r="O8" s="3"/>
    </row>
    <row r="9" spans="1:15" s="8" customFormat="1" x14ac:dyDescent="0.3">
      <c r="A9" s="3">
        <f t="shared" si="4"/>
        <v>4</v>
      </c>
      <c r="B9" s="13">
        <v>44780</v>
      </c>
      <c r="C9" s="13" t="s">
        <v>210</v>
      </c>
      <c r="D9" s="3" t="str">
        <f t="shared" si="0"/>
        <v>SX</v>
      </c>
      <c r="E9" s="3" t="s">
        <v>175</v>
      </c>
      <c r="F9" s="3" t="str">
        <f>IFERROR(VLOOKUP(E9,'Giá Gốc'!$B$7:$R$98,2,0),"")</f>
        <v>Silica gel 5GR</v>
      </c>
      <c r="G9" s="3">
        <f>IFERROR(VLOOKUP(E9,'Giá Gốc'!$B$7:$R$98,10,0),"")</f>
        <v>500</v>
      </c>
      <c r="H9" s="3">
        <v>1</v>
      </c>
      <c r="I9" s="47" t="e">
        <f>IFERROR(VLOOKUP(E9,'Giá Gốc'!$B$7:$R$98,9,0),"")*H9</f>
        <v>#VALUE!</v>
      </c>
      <c r="J9" s="5">
        <f>IFERROR(VLOOKUP(E9,'Giá Gốc'!$B$7:$R$98,6,0),"")*H9</f>
        <v>0</v>
      </c>
      <c r="K9" s="5">
        <f>IFERROR(VLOOKUP(E9,'Giá Gốc'!$B$7:$R$98,13,0),"")</f>
        <v>46000</v>
      </c>
      <c r="L9" s="5" t="e">
        <f t="shared" si="1"/>
        <v>#VALUE!</v>
      </c>
      <c r="M9" s="5" t="e">
        <f t="shared" si="2"/>
        <v>#VALUE!</v>
      </c>
      <c r="N9" s="5" t="e">
        <f t="shared" si="3"/>
        <v>#VALUE!</v>
      </c>
      <c r="O9" s="3"/>
    </row>
    <row r="10" spans="1:15" x14ac:dyDescent="0.3">
      <c r="A10" s="3">
        <f t="shared" si="4"/>
        <v>5</v>
      </c>
      <c r="B10" s="13">
        <v>44780</v>
      </c>
      <c r="C10" s="13" t="s">
        <v>211</v>
      </c>
      <c r="D10" s="3" t="str">
        <f t="shared" si="0"/>
        <v>SX</v>
      </c>
      <c r="E10" s="3" t="s">
        <v>16</v>
      </c>
      <c r="F10" s="3" t="str">
        <f>IFERROR(VLOOKUP(E10,'Giá Gốc'!$B$7:$R$98,2,0),"")</f>
        <v>Silica gel 10GR</v>
      </c>
      <c r="G10" s="3">
        <f>IFERROR(VLOOKUP(E10,'Giá Gốc'!$B$7:$R$98,10,0),"")</f>
        <v>250</v>
      </c>
      <c r="H10" s="3">
        <v>1</v>
      </c>
      <c r="I10" s="47" t="e">
        <f>IFERROR(VLOOKUP(E10,'Giá Gốc'!$B$7:$R$98,9,0),"")*H10</f>
        <v>#VALUE!</v>
      </c>
      <c r="J10" s="5">
        <f>IFERROR(VLOOKUP(E10,'Giá Gốc'!$B$7:$R$98,6,0),"")*H10</f>
        <v>0</v>
      </c>
      <c r="K10" s="5">
        <f>IFERROR(VLOOKUP(E10,'Giá Gốc'!$B$7:$R$98,13,0),"")</f>
        <v>46000</v>
      </c>
      <c r="L10" s="5" t="e">
        <f t="shared" si="1"/>
        <v>#VALUE!</v>
      </c>
      <c r="M10" s="5" t="e">
        <f t="shared" si="2"/>
        <v>#VALUE!</v>
      </c>
      <c r="N10" s="5" t="e">
        <f t="shared" si="3"/>
        <v>#VALUE!</v>
      </c>
      <c r="O10" s="3"/>
    </row>
    <row r="11" spans="1:15" x14ac:dyDescent="0.3">
      <c r="A11" s="3">
        <f t="shared" si="4"/>
        <v>6</v>
      </c>
      <c r="B11" s="13">
        <v>44780</v>
      </c>
      <c r="C11" s="13" t="s">
        <v>212</v>
      </c>
      <c r="D11" s="3" t="str">
        <f t="shared" si="0"/>
        <v>SX</v>
      </c>
      <c r="E11" s="3" t="s">
        <v>174</v>
      </c>
      <c r="F11" s="3" t="str">
        <f>IFERROR(VLOOKUP(E11,'Giá Gốc'!$B$7:$R$98,2,0),"")</f>
        <v>Silica gel 20GR</v>
      </c>
      <c r="G11" s="3">
        <f>IFERROR(VLOOKUP(E11,'Giá Gốc'!$B$7:$R$98,10,0),"")</f>
        <v>125</v>
      </c>
      <c r="H11" s="3">
        <v>1</v>
      </c>
      <c r="I11" s="47" t="e">
        <f>IFERROR(VLOOKUP(E11,'Giá Gốc'!$B$7:$R$98,9,0),"")*H11</f>
        <v>#VALUE!</v>
      </c>
      <c r="J11" s="5">
        <f>IFERROR(VLOOKUP(E11,'Giá Gốc'!$B$7:$R$98,6,0),"")*H11</f>
        <v>0</v>
      </c>
      <c r="K11" s="5">
        <f>IFERROR(VLOOKUP(E11,'Giá Gốc'!$B$7:$R$98,13,0),"")</f>
        <v>44000</v>
      </c>
      <c r="L11" s="5" t="e">
        <f t="shared" si="1"/>
        <v>#VALUE!</v>
      </c>
      <c r="M11" s="5" t="e">
        <f t="shared" si="2"/>
        <v>#VALUE!</v>
      </c>
      <c r="N11" s="5" t="e">
        <f t="shared" si="3"/>
        <v>#VALUE!</v>
      </c>
      <c r="O11" s="3"/>
    </row>
    <row r="12" spans="1:15" x14ac:dyDescent="0.3">
      <c r="A12" s="3">
        <f t="shared" si="4"/>
        <v>7</v>
      </c>
      <c r="B12" s="13">
        <v>44780</v>
      </c>
      <c r="C12" s="13" t="s">
        <v>213</v>
      </c>
      <c r="D12" s="3" t="str">
        <f t="shared" si="0"/>
        <v>SX</v>
      </c>
      <c r="E12" s="3" t="s">
        <v>165</v>
      </c>
      <c r="F12" s="3" t="str">
        <f>IFERROR(VLOOKUP(E12,'Giá Gốc'!$B$7:$R$98,2,0),"")</f>
        <v>Clay 1,4GR</v>
      </c>
      <c r="G12" s="3">
        <f>IFERROR(VLOOKUP(E12,'Giá Gốc'!$B$7:$R$98,10,0),"")</f>
        <v>3571.4285714285716</v>
      </c>
      <c r="H12" s="3">
        <v>1</v>
      </c>
      <c r="I12" s="47" t="e">
        <f>IFERROR(VLOOKUP(E12,'Giá Gốc'!$B$7:$R$98,9,0),"")*H12</f>
        <v>#VALUE!</v>
      </c>
      <c r="J12" s="5">
        <f>IFERROR(VLOOKUP(E12,'Giá Gốc'!$B$7:$R$98,6,0),"")*H12</f>
        <v>0</v>
      </c>
      <c r="K12" s="5">
        <f>IFERROR(VLOOKUP(E12,'Giá Gốc'!$B$7:$R$98,13,0),"")</f>
        <v>35000</v>
      </c>
      <c r="L12" s="5" t="e">
        <f t="shared" si="1"/>
        <v>#VALUE!</v>
      </c>
      <c r="M12" s="5" t="e">
        <f t="shared" si="2"/>
        <v>#VALUE!</v>
      </c>
      <c r="N12" s="5" t="e">
        <f t="shared" si="3"/>
        <v>#VALUE!</v>
      </c>
      <c r="O12" s="3"/>
    </row>
    <row r="13" spans="1:15" x14ac:dyDescent="0.3">
      <c r="A13" s="3">
        <f t="shared" si="4"/>
        <v>8</v>
      </c>
      <c r="B13" s="13">
        <v>44780</v>
      </c>
      <c r="C13" s="13" t="s">
        <v>214</v>
      </c>
      <c r="D13" s="3" t="str">
        <f t="shared" si="0"/>
        <v>SX</v>
      </c>
      <c r="E13" s="3" t="s">
        <v>164</v>
      </c>
      <c r="F13" s="3" t="str">
        <f>IFERROR(VLOOKUP(E13,'Giá Gốc'!$B$7:$R$98,2,0),"")</f>
        <v>Clay 2GR</v>
      </c>
      <c r="G13" s="3">
        <f>IFERROR(VLOOKUP(E13,'Giá Gốc'!$B$7:$R$98,10,0),"")</f>
        <v>3000</v>
      </c>
      <c r="H13" s="3">
        <v>1</v>
      </c>
      <c r="I13" s="47" t="e">
        <f>IFERROR(VLOOKUP(E13,'Giá Gốc'!$B$7:$R$98,9,0),"")*H13</f>
        <v>#VALUE!</v>
      </c>
      <c r="J13" s="5">
        <f>IFERROR(VLOOKUP(E13,'Giá Gốc'!$B$7:$R$98,6,0),"")*H13</f>
        <v>0</v>
      </c>
      <c r="K13" s="5">
        <f>IFERROR(VLOOKUP(E13,'Giá Gốc'!$B$7:$R$98,13,0),"")</f>
        <v>35000</v>
      </c>
      <c r="L13" s="5" t="e">
        <f>K13*I13</f>
        <v>#VALUE!</v>
      </c>
      <c r="M13" s="5" t="e">
        <f t="shared" si="2"/>
        <v>#VALUE!</v>
      </c>
      <c r="N13" s="5" t="e">
        <f t="shared" si="3"/>
        <v>#VALUE!</v>
      </c>
      <c r="O13" s="3"/>
    </row>
    <row r="14" spans="1:15" x14ac:dyDescent="0.3">
      <c r="A14" s="3">
        <f t="shared" si="4"/>
        <v>9</v>
      </c>
      <c r="B14" s="13">
        <v>44780</v>
      </c>
      <c r="C14" s="13" t="s">
        <v>215</v>
      </c>
      <c r="D14" s="3" t="str">
        <f t="shared" si="0"/>
        <v>SX</v>
      </c>
      <c r="E14" s="3" t="s">
        <v>163</v>
      </c>
      <c r="F14" s="3" t="str">
        <f>IFERROR(VLOOKUP(E14,'Giá Gốc'!$B$7:$R$98,2,0),"")</f>
        <v>Clay 3GR</v>
      </c>
      <c r="G14" s="3">
        <f>IFERROR(VLOOKUP(E14,'Giá Gốc'!$B$7:$R$98,10,0),"")</f>
        <v>2000</v>
      </c>
      <c r="H14" s="3">
        <v>1</v>
      </c>
      <c r="I14" s="47" t="e">
        <f>IFERROR(VLOOKUP(E14,'Giá Gốc'!$B$7:$R$98,9,0),"")*H14</f>
        <v>#VALUE!</v>
      </c>
      <c r="J14" s="5">
        <f>IFERROR(VLOOKUP(E14,'Giá Gốc'!$B$7:$R$98,6,0),"")*H14</f>
        <v>0</v>
      </c>
      <c r="K14" s="5">
        <f>IFERROR(VLOOKUP(E14,'Giá Gốc'!$B$7:$R$98,13,0),"")</f>
        <v>35000</v>
      </c>
      <c r="L14" s="5" t="e">
        <f>K14*I14</f>
        <v>#VALUE!</v>
      </c>
      <c r="M14" s="5" t="e">
        <f t="shared" si="2"/>
        <v>#VALUE!</v>
      </c>
      <c r="N14" s="5" t="e">
        <f t="shared" si="3"/>
        <v>#VALUE!</v>
      </c>
      <c r="O14" s="3"/>
    </row>
    <row r="15" spans="1:15" x14ac:dyDescent="0.3">
      <c r="A15" s="3">
        <f t="shared" si="4"/>
        <v>10</v>
      </c>
      <c r="B15" s="13">
        <v>44780</v>
      </c>
      <c r="C15" s="13" t="s">
        <v>216</v>
      </c>
      <c r="D15" s="3" t="str">
        <f t="shared" si="0"/>
        <v>SX</v>
      </c>
      <c r="E15" s="3" t="s">
        <v>162</v>
      </c>
      <c r="F15" s="3" t="str">
        <f>IFERROR(VLOOKUP(E15,'Giá Gốc'!$B$7:$R$98,2,0),"")</f>
        <v>Clay 5GR</v>
      </c>
      <c r="G15" s="3">
        <f>IFERROR(VLOOKUP(E15,'Giá Gốc'!$B$7:$R$98,10,0),"")</f>
        <v>1200</v>
      </c>
      <c r="H15" s="3">
        <v>1</v>
      </c>
      <c r="I15" s="47" t="e">
        <f>IFERROR(VLOOKUP(E15,'Giá Gốc'!$B$7:$R$98,9,0),"")*H15</f>
        <v>#VALUE!</v>
      </c>
      <c r="J15" s="5">
        <f>IFERROR(VLOOKUP(E15,'Giá Gốc'!$B$7:$R$98,6,0),"")*H15</f>
        <v>0</v>
      </c>
      <c r="K15" s="5">
        <f>IFERROR(VLOOKUP(E15,'Giá Gốc'!$B$7:$R$98,13,0),"")</f>
        <v>24000</v>
      </c>
      <c r="L15" s="5" t="e">
        <f t="shared" si="1"/>
        <v>#VALUE!</v>
      </c>
      <c r="M15" s="5" t="e">
        <f t="shared" si="2"/>
        <v>#VALUE!</v>
      </c>
      <c r="N15" s="5" t="e">
        <f t="shared" si="3"/>
        <v>#VALUE!</v>
      </c>
      <c r="O15" s="3"/>
    </row>
    <row r="16" spans="1:15" x14ac:dyDescent="0.3">
      <c r="A16" s="3">
        <f t="shared" si="4"/>
        <v>11</v>
      </c>
      <c r="B16" s="13">
        <v>44780</v>
      </c>
      <c r="C16" s="13" t="s">
        <v>217</v>
      </c>
      <c r="D16" s="3" t="str">
        <f t="shared" si="0"/>
        <v>SX</v>
      </c>
      <c r="E16" s="3" t="s">
        <v>8</v>
      </c>
      <c r="F16" s="3" t="str">
        <f>IFERROR(VLOOKUP(E16,'Giá Gốc'!$B$7:$R$98,2,0),"")</f>
        <v>Clay 10GR</v>
      </c>
      <c r="G16" s="3">
        <f>IFERROR(VLOOKUP(E16,'Giá Gốc'!$B$7:$R$98,10,0),"")</f>
        <v>700</v>
      </c>
      <c r="H16" s="3">
        <v>1</v>
      </c>
      <c r="I16" s="47" t="e">
        <f>IFERROR(VLOOKUP(E16,'Giá Gốc'!$B$7:$R$98,9,0),"")*H16</f>
        <v>#VALUE!</v>
      </c>
      <c r="J16" s="5">
        <f>IFERROR(VLOOKUP(E16,'Giá Gốc'!$B$7:$R$98,6,0),"")*H16</f>
        <v>0</v>
      </c>
      <c r="K16" s="5">
        <f>IFERROR(VLOOKUP(E16,'Giá Gốc'!$B$7:$R$98,13,0),"")</f>
        <v>24000</v>
      </c>
      <c r="L16" s="5" t="e">
        <f t="shared" si="1"/>
        <v>#VALUE!</v>
      </c>
      <c r="M16" s="5" t="e">
        <f t="shared" si="2"/>
        <v>#VALUE!</v>
      </c>
      <c r="N16" s="5" t="e">
        <f t="shared" si="3"/>
        <v>#VALUE!</v>
      </c>
      <c r="O16" s="3"/>
    </row>
    <row r="17" spans="1:15" x14ac:dyDescent="0.3">
      <c r="A17" s="3">
        <f t="shared" si="4"/>
        <v>12</v>
      </c>
      <c r="B17" s="13">
        <v>44780</v>
      </c>
      <c r="C17" s="13" t="s">
        <v>218</v>
      </c>
      <c r="D17" s="3" t="str">
        <f t="shared" si="0"/>
        <v>SX</v>
      </c>
      <c r="E17" s="3" t="s">
        <v>161</v>
      </c>
      <c r="F17" s="3" t="str">
        <f>IFERROR(VLOOKUP(E17,'Giá Gốc'!$B$7:$R$98,2,0),"")</f>
        <v>Clay 20GR</v>
      </c>
      <c r="G17" s="3">
        <f>IFERROR(VLOOKUP(E17,'Giá Gốc'!$B$7:$R$98,10,0),"")</f>
        <v>400</v>
      </c>
      <c r="H17" s="3">
        <v>1</v>
      </c>
      <c r="I17" s="47" t="e">
        <f>IFERROR(VLOOKUP(E17,'Giá Gốc'!$B$7:$R$98,9,0),"")*H17</f>
        <v>#VALUE!</v>
      </c>
      <c r="J17" s="5">
        <f>IFERROR(VLOOKUP(E17,'Giá Gốc'!$B$7:$R$98,6,0),"")*H17</f>
        <v>0</v>
      </c>
      <c r="K17" s="5">
        <f>IFERROR(VLOOKUP(E17,'Giá Gốc'!$B$7:$R$98,13,0),"")</f>
        <v>22000</v>
      </c>
      <c r="L17" s="5" t="e">
        <f t="shared" si="1"/>
        <v>#VALUE!</v>
      </c>
      <c r="M17" s="5" t="e">
        <f t="shared" si="2"/>
        <v>#VALUE!</v>
      </c>
      <c r="N17" s="5" t="e">
        <f t="shared" si="3"/>
        <v>#VALUE!</v>
      </c>
      <c r="O17" s="3"/>
    </row>
    <row r="18" spans="1:15" x14ac:dyDescent="0.3">
      <c r="A18" s="3">
        <f t="shared" si="4"/>
        <v>13</v>
      </c>
      <c r="B18" s="13">
        <v>44780</v>
      </c>
      <c r="C18" s="13" t="s">
        <v>219</v>
      </c>
      <c r="D18" s="3" t="str">
        <f t="shared" si="0"/>
        <v>SX</v>
      </c>
      <c r="E18" s="3" t="s">
        <v>160</v>
      </c>
      <c r="F18" s="3" t="str">
        <f>IFERROR(VLOOKUP(E18,'Giá Gốc'!$B$7:$R$98,2,0),"")</f>
        <v>Clay 50GR</v>
      </c>
      <c r="G18" s="3">
        <f>IFERROR(VLOOKUP(E18,'Giá Gốc'!$B$7:$R$98,10,0),"")</f>
        <v>160</v>
      </c>
      <c r="H18" s="3">
        <v>1</v>
      </c>
      <c r="I18" s="47" t="e">
        <f>IFERROR(VLOOKUP(E18,'Giá Gốc'!$B$7:$R$98,9,0),"")*H18</f>
        <v>#VALUE!</v>
      </c>
      <c r="J18" s="5">
        <f>IFERROR(VLOOKUP(E18,'Giá Gốc'!$B$7:$R$98,6,0),"")*H18</f>
        <v>0</v>
      </c>
      <c r="K18" s="5">
        <f>IFERROR(VLOOKUP(E18,'Giá Gốc'!$B$7:$R$98,13,0),"")</f>
        <v>22000</v>
      </c>
      <c r="L18" s="5" t="e">
        <f t="shared" si="1"/>
        <v>#VALUE!</v>
      </c>
      <c r="M18" s="5" t="e">
        <f t="shared" si="2"/>
        <v>#VALUE!</v>
      </c>
      <c r="N18" s="5" t="e">
        <f t="shared" si="3"/>
        <v>#VALUE!</v>
      </c>
      <c r="O18" s="3"/>
    </row>
    <row r="19" spans="1:15" x14ac:dyDescent="0.3">
      <c r="A19" s="3">
        <f t="shared" si="4"/>
        <v>14</v>
      </c>
      <c r="B19" s="13">
        <v>44780</v>
      </c>
      <c r="C19" s="13" t="s">
        <v>220</v>
      </c>
      <c r="D19" s="3" t="str">
        <f t="shared" si="0"/>
        <v>SX</v>
      </c>
      <c r="E19" s="3" t="s">
        <v>159</v>
      </c>
      <c r="F19" s="3" t="str">
        <f>IFERROR(VLOOKUP(E19,'Giá Gốc'!$B$7:$R$98,2,0),"")</f>
        <v>Clay 100GR</v>
      </c>
      <c r="G19" s="3">
        <f>IFERROR(VLOOKUP(E19,'Giá Gốc'!$B$7:$R$98,10,0),"")</f>
        <v>80</v>
      </c>
      <c r="H19" s="3">
        <v>1</v>
      </c>
      <c r="I19" s="47" t="e">
        <f>IFERROR(VLOOKUP(E19,'Giá Gốc'!$B$7:$R$98,9,0),"")*H19</f>
        <v>#VALUE!</v>
      </c>
      <c r="J19" s="5">
        <f>IFERROR(VLOOKUP(E19,'Giá Gốc'!$B$7:$R$98,6,0),"")*H19</f>
        <v>0</v>
      </c>
      <c r="K19" s="5">
        <f>IFERROR(VLOOKUP(E19,'Giá Gốc'!$B$7:$R$98,13,0),"")</f>
        <v>22000</v>
      </c>
      <c r="L19" s="5" t="e">
        <f t="shared" si="1"/>
        <v>#VALUE!</v>
      </c>
      <c r="M19" s="5" t="e">
        <f t="shared" si="2"/>
        <v>#VALUE!</v>
      </c>
      <c r="N19" s="5" t="e">
        <f t="shared" si="3"/>
        <v>#VALUE!</v>
      </c>
      <c r="O19" s="3"/>
    </row>
    <row r="20" spans="1:15" x14ac:dyDescent="0.3">
      <c r="A20" s="3">
        <f t="shared" si="4"/>
        <v>15</v>
      </c>
      <c r="B20" s="13">
        <v>44780</v>
      </c>
      <c r="C20" s="13" t="s">
        <v>221</v>
      </c>
      <c r="D20" s="3" t="str">
        <f t="shared" si="0"/>
        <v>SX</v>
      </c>
      <c r="E20" s="3" t="s">
        <v>185</v>
      </c>
      <c r="F20" s="3" t="str">
        <f>IFERROR(VLOOKUP(E20,'Giá Gốc'!$B$7:$R$98,2,0),"")</f>
        <v>Ehylene absorber 5GR</v>
      </c>
      <c r="G20" s="3">
        <f>IFERROR(VLOOKUP(E20,'Giá Gốc'!$B$7:$R$98,10,0),"")</f>
        <v>200</v>
      </c>
      <c r="H20" s="3">
        <v>1</v>
      </c>
      <c r="I20" s="47" t="e">
        <f>IFERROR(VLOOKUP(E20,'Giá Gốc'!$B$7:$R$98,9,0),"")*H20</f>
        <v>#VALUE!</v>
      </c>
      <c r="J20" s="5">
        <f>IFERROR(VLOOKUP(E20,'Giá Gốc'!$B$7:$R$98,6,0),"")*H20</f>
        <v>0</v>
      </c>
      <c r="K20" s="5">
        <f>IFERROR(VLOOKUP(E20,'Giá Gốc'!$B$7:$R$98,13,0),"")</f>
        <v>40000</v>
      </c>
      <c r="L20" s="5" t="e">
        <f t="shared" si="1"/>
        <v>#VALUE!</v>
      </c>
      <c r="M20" s="5" t="e">
        <f t="shared" si="2"/>
        <v>#VALUE!</v>
      </c>
      <c r="N20" s="5" t="e">
        <f t="shared" si="3"/>
        <v>#VALUE!</v>
      </c>
      <c r="O20" s="3"/>
    </row>
    <row r="21" spans="1:15" x14ac:dyDescent="0.3">
      <c r="A21" s="3">
        <f t="shared" si="4"/>
        <v>16</v>
      </c>
      <c r="B21" s="13">
        <v>44780</v>
      </c>
      <c r="C21" s="13" t="s">
        <v>222</v>
      </c>
      <c r="D21" s="3" t="str">
        <f t="shared" si="0"/>
        <v>SX</v>
      </c>
      <c r="E21" s="3" t="s">
        <v>153</v>
      </c>
      <c r="F21" s="3" t="str">
        <f>IFERROR(VLOOKUP(E21,'Giá Gốc'!$B$7:$R$98,2,0),"")</f>
        <v>Powder 5GR</v>
      </c>
      <c r="G21" s="3">
        <f>IFERROR(VLOOKUP(E21,'Giá Gốc'!$B$7:$R$98,10,0),"")</f>
        <v>500</v>
      </c>
      <c r="H21" s="3">
        <v>1</v>
      </c>
      <c r="I21" s="47" t="e">
        <f>IFERROR(VLOOKUP(E21,'Giá Gốc'!$B$7:$R$98,9,0),"")*H21</f>
        <v>#VALUE!</v>
      </c>
      <c r="J21" s="5" t="e">
        <f>IFERROR(VLOOKUP(E21,'Giá Gốc'!$B$7:$R$98,6,0),"")*H21</f>
        <v>#VALUE!</v>
      </c>
      <c r="K21" s="5">
        <f>IFERROR(VLOOKUP(E21,'Giá Gốc'!$B$7:$R$98,13,0),"")</f>
        <v>68000</v>
      </c>
      <c r="L21" s="5" t="e">
        <f t="shared" si="1"/>
        <v>#VALUE!</v>
      </c>
      <c r="M21" s="5" t="e">
        <f t="shared" si="2"/>
        <v>#VALUE!</v>
      </c>
      <c r="N21" s="5" t="e">
        <f t="shared" si="3"/>
        <v>#VALUE!</v>
      </c>
      <c r="O21" s="3"/>
    </row>
    <row r="22" spans="1:15" x14ac:dyDescent="0.3">
      <c r="A22" s="3">
        <f t="shared" si="4"/>
        <v>17</v>
      </c>
      <c r="B22" s="13">
        <v>44780</v>
      </c>
      <c r="C22" s="13" t="s">
        <v>223</v>
      </c>
      <c r="D22" s="3" t="str">
        <f t="shared" si="0"/>
        <v>SX</v>
      </c>
      <c r="E22" s="3" t="s">
        <v>6</v>
      </c>
      <c r="F22" s="3" t="str">
        <f>IFERROR(VLOOKUP(E22,'Giá Gốc'!$B$7:$R$98,2,0),"")</f>
        <v>Powder 10GR</v>
      </c>
      <c r="G22" s="3">
        <f>IFERROR(VLOOKUP(E22,'Giá Gốc'!$B$7:$R$98,10,0),"")</f>
        <v>250</v>
      </c>
      <c r="H22" s="3">
        <v>1</v>
      </c>
      <c r="I22" s="47" t="e">
        <f>IFERROR(VLOOKUP(E22,'Giá Gốc'!$B$7:$R$98,9,0),"")*H22</f>
        <v>#VALUE!</v>
      </c>
      <c r="J22" s="5" t="e">
        <f>IFERROR(VLOOKUP(E22,'Giá Gốc'!$B$7:$R$98,6,0),"")*H22</f>
        <v>#VALUE!</v>
      </c>
      <c r="K22" s="5">
        <f>IFERROR(VLOOKUP(E22,'Giá Gốc'!$B$7:$R$98,13,0),"")</f>
        <v>54000</v>
      </c>
      <c r="L22" s="5" t="e">
        <f t="shared" si="1"/>
        <v>#VALUE!</v>
      </c>
      <c r="M22" s="5" t="e">
        <f t="shared" si="2"/>
        <v>#VALUE!</v>
      </c>
      <c r="N22" s="5" t="e">
        <f t="shared" si="3"/>
        <v>#VALUE!</v>
      </c>
      <c r="O22" s="3"/>
    </row>
    <row r="23" spans="1:15" x14ac:dyDescent="0.3">
      <c r="A23" s="3">
        <f t="shared" si="4"/>
        <v>18</v>
      </c>
      <c r="B23" s="13">
        <v>44780</v>
      </c>
      <c r="C23" s="13" t="s">
        <v>224</v>
      </c>
      <c r="D23" s="3" t="str">
        <f t="shared" si="0"/>
        <v>SX</v>
      </c>
      <c r="E23" s="3" t="s">
        <v>152</v>
      </c>
      <c r="F23" s="3" t="str">
        <f>IFERROR(VLOOKUP(E23,'Giá Gốc'!$B$7:$R$98,2,0),"")</f>
        <v>Powder 20GR</v>
      </c>
      <c r="G23" s="3">
        <f>IFERROR(VLOOKUP(E23,'Giá Gốc'!$B$7:$R$98,10,0),"")</f>
        <v>125</v>
      </c>
      <c r="H23" s="3">
        <v>1</v>
      </c>
      <c r="I23" s="47" t="e">
        <f>IFERROR(VLOOKUP(E23,'Giá Gốc'!$B$7:$R$98,9,0),"")*H23</f>
        <v>#VALUE!</v>
      </c>
      <c r="J23" s="5" t="e">
        <f>IFERROR(VLOOKUP(E23,'Giá Gốc'!$B$7:$R$98,6,0),"")*H23</f>
        <v>#VALUE!</v>
      </c>
      <c r="K23" s="5">
        <f>IFERROR(VLOOKUP(E23,'Giá Gốc'!$B$7:$R$98,13,0),"")</f>
        <v>50000</v>
      </c>
      <c r="L23" s="5" t="e">
        <f t="shared" si="1"/>
        <v>#VALUE!</v>
      </c>
      <c r="M23" s="5" t="e">
        <f t="shared" si="2"/>
        <v>#VALUE!</v>
      </c>
      <c r="N23" s="5" t="e">
        <f t="shared" si="3"/>
        <v>#VALUE!</v>
      </c>
      <c r="O23" s="3"/>
    </row>
    <row r="25" spans="1:15" x14ac:dyDescent="0.3">
      <c r="L25" s="50" t="e">
        <f>SUM(L6:L23)</f>
        <v>#VALUE!</v>
      </c>
      <c r="M25" s="50" t="e">
        <f>SUM(M6:M23)</f>
        <v>#VALUE!</v>
      </c>
      <c r="N25" s="50" t="e">
        <f>SUM(N6:N23)</f>
        <v>#VALUE!</v>
      </c>
    </row>
  </sheetData>
  <autoFilter ref="B5:F5"/>
  <conditionalFormatting sqref="A6:A23">
    <cfRule type="expression" dxfId="0" priority="8">
      <formula>$B:B=TRUE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103"/>
  <sheetViews>
    <sheetView tabSelected="1" topLeftCell="A4" zoomScaleNormal="100" workbookViewId="0">
      <pane xSplit="3" ySplit="3" topLeftCell="N7" activePane="bottomRight" state="frozen"/>
      <selection activeCell="A4" sqref="A4"/>
      <selection pane="topRight" activeCell="D4" sqref="D4"/>
      <selection pane="bottomLeft" activeCell="A7" sqref="A7"/>
      <selection pane="bottomRight" activeCell="Y22" sqref="Y22"/>
    </sheetView>
  </sheetViews>
  <sheetFormatPr defaultRowHeight="14.4" outlineLevelRow="1" x14ac:dyDescent="0.3"/>
  <cols>
    <col min="1" max="1" width="3.44140625" bestFit="1" customWidth="1"/>
    <col min="2" max="2" width="8.44140625" style="9" customWidth="1"/>
    <col min="3" max="3" width="28.33203125" bestFit="1" customWidth="1"/>
    <col min="4" max="4" width="14.44140625" style="24" customWidth="1"/>
    <col min="5" max="5" width="11.33203125" style="9" hidden="1" customWidth="1"/>
    <col min="6" max="6" width="11.33203125" style="9" customWidth="1"/>
    <col min="7" max="7" width="18.33203125" style="9" hidden="1" customWidth="1"/>
    <col min="8" max="8" width="25" style="9" hidden="1" customWidth="1"/>
    <col min="9" max="9" width="8.88671875" style="36" customWidth="1"/>
    <col min="10" max="10" width="11.88671875" style="33" hidden="1" customWidth="1"/>
    <col min="11" max="11" width="8.88671875" style="33" hidden="1" customWidth="1"/>
    <col min="12" max="12" width="8.5546875" style="34" customWidth="1"/>
    <col min="13" max="13" width="8.44140625" style="36" customWidth="1"/>
    <col min="14" max="14" width="8.88671875" customWidth="1"/>
    <col min="15" max="15" width="9.5546875" customWidth="1"/>
    <col min="16" max="16" width="9.6640625" style="10" customWidth="1"/>
    <col min="17" max="18" width="8" customWidth="1"/>
    <col min="19" max="19" width="7.88671875" customWidth="1"/>
    <col min="20" max="20" width="16.77734375" customWidth="1"/>
    <col min="21" max="21" width="10.109375" style="10" bestFit="1" customWidth="1"/>
    <col min="22" max="25" width="10.109375" style="10" customWidth="1"/>
    <col min="27" max="37" width="8.88671875" customWidth="1"/>
  </cols>
  <sheetData>
    <row r="1" spans="1:57" ht="33.75" customHeight="1" x14ac:dyDescent="0.5">
      <c r="A1" s="69" t="s">
        <v>231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57" ht="15" customHeight="1" x14ac:dyDescent="0.55000000000000004">
      <c r="A2" s="1"/>
      <c r="B2" s="1"/>
      <c r="C2" s="1"/>
      <c r="D2" s="21"/>
      <c r="E2" s="1"/>
      <c r="F2" s="1"/>
      <c r="G2" s="1"/>
      <c r="H2" s="1"/>
      <c r="I2" s="26"/>
      <c r="J2" s="25"/>
      <c r="K2" s="25"/>
      <c r="L2" s="25"/>
      <c r="M2" s="26"/>
    </row>
    <row r="4" spans="1:57" s="2" customFormat="1" ht="21.6" customHeight="1" x14ac:dyDescent="0.3">
      <c r="A4" s="59" t="s">
        <v>141</v>
      </c>
      <c r="B4" s="60" t="s">
        <v>1</v>
      </c>
      <c r="C4" s="59" t="s">
        <v>140</v>
      </c>
      <c r="D4" s="60" t="s">
        <v>190</v>
      </c>
      <c r="E4" s="60" t="s">
        <v>189</v>
      </c>
      <c r="F4" s="60" t="s">
        <v>191</v>
      </c>
      <c r="G4" s="54"/>
      <c r="H4" s="54"/>
      <c r="I4" s="61" t="s">
        <v>193</v>
      </c>
      <c r="J4" s="60" t="s">
        <v>192</v>
      </c>
      <c r="K4" s="60" t="s">
        <v>194</v>
      </c>
      <c r="L4" s="62" t="s">
        <v>2</v>
      </c>
      <c r="M4" s="61" t="s">
        <v>3</v>
      </c>
      <c r="N4" s="60" t="s">
        <v>296</v>
      </c>
      <c r="O4" s="65" t="s">
        <v>291</v>
      </c>
      <c r="P4" s="67" t="s">
        <v>292</v>
      </c>
      <c r="Q4" s="60" t="s">
        <v>293</v>
      </c>
      <c r="R4" s="60" t="s">
        <v>294</v>
      </c>
      <c r="S4" s="60" t="s">
        <v>295</v>
      </c>
      <c r="T4" s="59" t="s">
        <v>230</v>
      </c>
      <c r="U4" s="53"/>
      <c r="V4" s="53"/>
      <c r="W4" s="53"/>
      <c r="X4" s="53"/>
      <c r="Y4" s="53"/>
      <c r="Z4" s="63" t="s">
        <v>261</v>
      </c>
      <c r="AA4" s="73" t="s">
        <v>269</v>
      </c>
      <c r="AB4" s="74" t="s">
        <v>279</v>
      </c>
      <c r="AC4" s="64" t="s">
        <v>260</v>
      </c>
      <c r="AD4" s="64" t="s">
        <v>262</v>
      </c>
      <c r="AE4" s="64" t="s">
        <v>277</v>
      </c>
      <c r="AF4" s="64" t="s">
        <v>263</v>
      </c>
      <c r="AG4" s="64" t="s">
        <v>264</v>
      </c>
      <c r="AH4" s="64" t="s">
        <v>265</v>
      </c>
      <c r="AI4" s="64" t="s">
        <v>266</v>
      </c>
      <c r="AJ4" s="64" t="s">
        <v>267</v>
      </c>
      <c r="AK4" s="64" t="s">
        <v>268</v>
      </c>
      <c r="AM4" s="73" t="s">
        <v>270</v>
      </c>
      <c r="AN4" s="64" t="s">
        <v>271</v>
      </c>
      <c r="AO4" s="64" t="s">
        <v>290</v>
      </c>
      <c r="AP4" s="64" t="s">
        <v>287</v>
      </c>
      <c r="AQ4" s="64" t="s">
        <v>273</v>
      </c>
      <c r="AR4" s="73" t="s">
        <v>274</v>
      </c>
      <c r="AS4" s="73" t="s">
        <v>275</v>
      </c>
      <c r="AT4" s="64" t="s">
        <v>276</v>
      </c>
      <c r="AU4" s="64" t="s">
        <v>278</v>
      </c>
      <c r="AV4" s="64" t="s">
        <v>280</v>
      </c>
      <c r="AW4" s="64" t="s">
        <v>281</v>
      </c>
      <c r="AX4" s="64" t="s">
        <v>272</v>
      </c>
      <c r="AY4" s="64" t="s">
        <v>282</v>
      </c>
      <c r="AZ4" s="64" t="s">
        <v>285</v>
      </c>
      <c r="BA4" s="64" t="s">
        <v>284</v>
      </c>
      <c r="BB4" s="64" t="s">
        <v>288</v>
      </c>
      <c r="BC4" s="64" t="s">
        <v>286</v>
      </c>
      <c r="BD4" s="64" t="s">
        <v>283</v>
      </c>
      <c r="BE4" s="64" t="s">
        <v>289</v>
      </c>
    </row>
    <row r="5" spans="1:57" s="2" customFormat="1" ht="21.6" customHeight="1" x14ac:dyDescent="0.3">
      <c r="A5" s="59"/>
      <c r="B5" s="60"/>
      <c r="C5" s="59"/>
      <c r="D5" s="60"/>
      <c r="E5" s="60"/>
      <c r="F5" s="60"/>
      <c r="G5" s="54"/>
      <c r="H5" s="54"/>
      <c r="I5" s="61"/>
      <c r="J5" s="60"/>
      <c r="K5" s="60"/>
      <c r="L5" s="62"/>
      <c r="M5" s="61"/>
      <c r="N5" s="60"/>
      <c r="O5" s="66"/>
      <c r="P5" s="68"/>
      <c r="Q5" s="60"/>
      <c r="R5" s="60"/>
      <c r="S5" s="60"/>
      <c r="T5" s="59"/>
      <c r="U5" s="53"/>
      <c r="V5" s="53"/>
      <c r="W5" s="53"/>
      <c r="X5" s="53"/>
      <c r="Y5" s="53"/>
      <c r="Z5" s="63"/>
      <c r="AA5" s="73"/>
      <c r="AB5" s="74"/>
      <c r="AC5" s="64"/>
      <c r="AD5" s="64"/>
      <c r="AE5" s="64"/>
      <c r="AF5" s="64"/>
      <c r="AG5" s="64"/>
      <c r="AH5" s="64"/>
      <c r="AI5" s="64"/>
      <c r="AJ5" s="64"/>
      <c r="AK5" s="64"/>
      <c r="AM5" s="73"/>
      <c r="AN5" s="64"/>
      <c r="AO5" s="64"/>
      <c r="AP5" s="64"/>
      <c r="AQ5" s="64"/>
      <c r="AR5" s="73"/>
      <c r="AS5" s="73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</row>
    <row r="6" spans="1:57" s="2" customFormat="1" x14ac:dyDescent="0.3">
      <c r="A6" s="57" t="s">
        <v>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71"/>
      <c r="U6" s="53"/>
      <c r="V6" s="53"/>
      <c r="W6" s="53"/>
      <c r="X6" s="53"/>
      <c r="Y6" s="53"/>
    </row>
    <row r="7" spans="1:57" x14ac:dyDescent="0.3">
      <c r="A7" s="3">
        <v>1</v>
      </c>
      <c r="B7" s="4" t="s">
        <v>142</v>
      </c>
      <c r="C7" s="3" t="s">
        <v>59</v>
      </c>
      <c r="D7" s="42" t="str">
        <f t="shared" ref="D7:D20" si="0">RIGHT(C7,LEN(C7)-6)</f>
        <v xml:space="preserve"> 2000GR</v>
      </c>
      <c r="E7" s="4" t="str">
        <f>LEFT(D7,LEN(D7)-2)</f>
        <v xml:space="preserve"> 2000</v>
      </c>
      <c r="F7" s="4" t="s">
        <v>110</v>
      </c>
      <c r="G7" s="55" t="s">
        <v>232</v>
      </c>
      <c r="H7" s="55" t="s">
        <v>233</v>
      </c>
      <c r="I7" s="30">
        <v>10</v>
      </c>
      <c r="J7" s="27" t="s">
        <v>195</v>
      </c>
      <c r="K7" s="28">
        <v>1</v>
      </c>
      <c r="L7" s="29">
        <f t="shared" ref="L7:L21" si="1">I7*E7/1000</f>
        <v>20</v>
      </c>
      <c r="M7" s="30" t="s">
        <v>5</v>
      </c>
      <c r="N7" s="19">
        <v>39000</v>
      </c>
      <c r="O7" s="19">
        <v>28670</v>
      </c>
      <c r="P7" s="5">
        <v>28160</v>
      </c>
      <c r="Q7" s="19">
        <v>27160</v>
      </c>
      <c r="R7" s="19">
        <v>26650</v>
      </c>
      <c r="S7" s="19">
        <v>26150</v>
      </c>
      <c r="T7" s="72" t="s">
        <v>297</v>
      </c>
      <c r="U7" s="10">
        <f>ROUND(O7/24000*$AA$55,-1)</f>
        <v>28840</v>
      </c>
      <c r="V7" s="10">
        <f t="shared" ref="V7:Y7" si="2">ROUND(P7/24000*$AA$55,-1)</f>
        <v>28320</v>
      </c>
      <c r="W7" s="10">
        <f t="shared" si="2"/>
        <v>27320</v>
      </c>
      <c r="X7" s="10">
        <f t="shared" si="2"/>
        <v>26810</v>
      </c>
      <c r="Y7" s="10">
        <f t="shared" si="2"/>
        <v>26300</v>
      </c>
      <c r="Z7">
        <v>45000</v>
      </c>
      <c r="AA7">
        <v>28700</v>
      </c>
      <c r="AC7">
        <v>30000</v>
      </c>
      <c r="BE7">
        <v>27500</v>
      </c>
    </row>
    <row r="8" spans="1:57" x14ac:dyDescent="0.3">
      <c r="A8" s="3">
        <v>2</v>
      </c>
      <c r="B8" s="4" t="s">
        <v>143</v>
      </c>
      <c r="C8" s="3" t="s">
        <v>60</v>
      </c>
      <c r="D8" s="42" t="str">
        <f t="shared" si="0"/>
        <v xml:space="preserve"> 1000GR - 5 Túi</v>
      </c>
      <c r="E8" s="4" t="str">
        <f>LEFT(D8,LEN(D8)-10)</f>
        <v xml:space="preserve"> 1000</v>
      </c>
      <c r="F8" s="4" t="s">
        <v>111</v>
      </c>
      <c r="G8" s="55" t="s">
        <v>239</v>
      </c>
      <c r="H8" s="55" t="s">
        <v>240</v>
      </c>
      <c r="I8" s="30">
        <v>16</v>
      </c>
      <c r="J8" s="27" t="s">
        <v>196</v>
      </c>
      <c r="K8" s="28">
        <v>1</v>
      </c>
      <c r="L8" s="29">
        <f t="shared" si="1"/>
        <v>16</v>
      </c>
      <c r="M8" s="30" t="s">
        <v>5</v>
      </c>
      <c r="N8" s="19">
        <v>49000</v>
      </c>
      <c r="O8" s="19">
        <v>38720</v>
      </c>
      <c r="P8" s="5">
        <v>38220</v>
      </c>
      <c r="Q8" s="19">
        <v>37220</v>
      </c>
      <c r="R8" s="19">
        <v>36210</v>
      </c>
      <c r="S8" s="19">
        <v>34700</v>
      </c>
      <c r="T8" s="72"/>
      <c r="U8" s="10">
        <f t="shared" ref="U8:U15" si="3">ROUND(O8/24000*$AA$55,-1)</f>
        <v>38950</v>
      </c>
      <c r="V8" s="10">
        <f t="shared" ref="V8:V15" si="4">ROUND(P8/24000*$AA$55,-1)</f>
        <v>38440</v>
      </c>
      <c r="W8" s="10">
        <f t="shared" ref="W8:W15" si="5">ROUND(Q8/24000*$AA$55,-1)</f>
        <v>37440</v>
      </c>
      <c r="X8" s="10">
        <f t="shared" ref="X8:X15" si="6">ROUND(R8/24000*$AA$55,-1)</f>
        <v>36420</v>
      </c>
      <c r="Y8" s="10">
        <f t="shared" ref="Y8:Y15" si="7">ROUND(S8/24000*$AA$55,-1)</f>
        <v>34900</v>
      </c>
      <c r="AE8">
        <v>38000</v>
      </c>
      <c r="AF8">
        <v>35000</v>
      </c>
      <c r="AP8">
        <v>42000</v>
      </c>
    </row>
    <row r="9" spans="1:57" x14ac:dyDescent="0.3">
      <c r="A9" s="3">
        <v>3</v>
      </c>
      <c r="B9" s="4" t="s">
        <v>144</v>
      </c>
      <c r="C9" s="3" t="s">
        <v>61</v>
      </c>
      <c r="D9" s="42" t="str">
        <f t="shared" si="0"/>
        <v xml:space="preserve"> 1000GR - 4 Túi</v>
      </c>
      <c r="E9" s="4" t="str">
        <f>LEFT(D9,LEN(D9)-10)</f>
        <v xml:space="preserve"> 1000</v>
      </c>
      <c r="F9" s="4" t="s">
        <v>112</v>
      </c>
      <c r="G9" s="55" t="s">
        <v>237</v>
      </c>
      <c r="H9" s="55" t="s">
        <v>238</v>
      </c>
      <c r="I9" s="30">
        <v>18</v>
      </c>
      <c r="J9" s="27" t="s">
        <v>196</v>
      </c>
      <c r="K9" s="28">
        <v>1</v>
      </c>
      <c r="L9" s="29">
        <f t="shared" si="1"/>
        <v>18</v>
      </c>
      <c r="M9" s="30" t="s">
        <v>5</v>
      </c>
      <c r="N9" s="19">
        <v>48000</v>
      </c>
      <c r="O9" s="19">
        <v>37720</v>
      </c>
      <c r="P9" s="5">
        <v>37220</v>
      </c>
      <c r="Q9" s="19">
        <v>36210</v>
      </c>
      <c r="R9" s="19">
        <v>34700</v>
      </c>
      <c r="S9" s="19">
        <v>33190</v>
      </c>
      <c r="T9" s="72"/>
      <c r="U9" s="10">
        <f t="shared" si="3"/>
        <v>37940</v>
      </c>
      <c r="V9" s="10">
        <f t="shared" si="4"/>
        <v>37440</v>
      </c>
      <c r="W9" s="10">
        <f t="shared" si="5"/>
        <v>36420</v>
      </c>
      <c r="X9" s="10">
        <f t="shared" si="6"/>
        <v>34900</v>
      </c>
      <c r="Y9" s="10">
        <f t="shared" si="7"/>
        <v>33380</v>
      </c>
      <c r="AA9">
        <v>38000</v>
      </c>
      <c r="AC9">
        <v>41000</v>
      </c>
      <c r="AF9">
        <v>35000</v>
      </c>
      <c r="AG9">
        <v>39000</v>
      </c>
      <c r="AI9">
        <v>45000</v>
      </c>
      <c r="AK9">
        <v>44000</v>
      </c>
      <c r="AQ9">
        <v>40000</v>
      </c>
      <c r="AX9">
        <v>41000</v>
      </c>
      <c r="AZ9">
        <v>50000</v>
      </c>
      <c r="BA9">
        <v>44500</v>
      </c>
      <c r="BC9">
        <v>40000</v>
      </c>
    </row>
    <row r="10" spans="1:57" x14ac:dyDescent="0.3">
      <c r="A10" s="3">
        <v>4</v>
      </c>
      <c r="B10" s="4" t="s">
        <v>145</v>
      </c>
      <c r="C10" s="3" t="s">
        <v>62</v>
      </c>
      <c r="D10" s="42" t="str">
        <f t="shared" si="0"/>
        <v xml:space="preserve"> 1000GR - 3 Túi</v>
      </c>
      <c r="E10" s="4" t="str">
        <f>LEFT(D10,LEN(D10)-10)</f>
        <v xml:space="preserve"> 1000</v>
      </c>
      <c r="F10" s="4" t="s">
        <v>113</v>
      </c>
      <c r="G10" s="55" t="s">
        <v>235</v>
      </c>
      <c r="H10" s="55" t="s">
        <v>236</v>
      </c>
      <c r="I10" s="30">
        <v>18</v>
      </c>
      <c r="J10" s="27" t="s">
        <v>196</v>
      </c>
      <c r="K10" s="28">
        <v>1</v>
      </c>
      <c r="L10" s="29">
        <f t="shared" si="1"/>
        <v>18</v>
      </c>
      <c r="M10" s="30" t="s">
        <v>5</v>
      </c>
      <c r="N10" s="19">
        <v>47000</v>
      </c>
      <c r="O10" s="19">
        <v>36710</v>
      </c>
      <c r="P10" s="5">
        <v>36210</v>
      </c>
      <c r="Q10" s="19">
        <v>35200</v>
      </c>
      <c r="R10" s="19">
        <v>33700</v>
      </c>
      <c r="S10" s="19">
        <v>31680</v>
      </c>
      <c r="T10" s="72"/>
      <c r="U10" s="10">
        <f t="shared" si="3"/>
        <v>36920</v>
      </c>
      <c r="V10" s="10">
        <f t="shared" si="4"/>
        <v>36420</v>
      </c>
      <c r="W10" s="10">
        <f t="shared" si="5"/>
        <v>35410</v>
      </c>
      <c r="X10" s="10">
        <f t="shared" si="6"/>
        <v>33900</v>
      </c>
      <c r="Y10" s="10">
        <f t="shared" si="7"/>
        <v>31860</v>
      </c>
      <c r="AA10">
        <v>36500</v>
      </c>
      <c r="AQ10">
        <v>39000</v>
      </c>
      <c r="AV10">
        <v>55000</v>
      </c>
      <c r="AW10">
        <v>52000</v>
      </c>
      <c r="AY10">
        <v>42600</v>
      </c>
    </row>
    <row r="11" spans="1:57" x14ac:dyDescent="0.3">
      <c r="A11" s="3">
        <v>5</v>
      </c>
      <c r="B11" s="4" t="s">
        <v>146</v>
      </c>
      <c r="C11" s="3" t="s">
        <v>63</v>
      </c>
      <c r="D11" s="42" t="str">
        <f t="shared" si="0"/>
        <v xml:space="preserve"> 1000GR</v>
      </c>
      <c r="E11" s="4" t="str">
        <f t="shared" ref="E11:E20" si="8">LEFT(D11,LEN(D11)-2)</f>
        <v xml:space="preserve"> 1000</v>
      </c>
      <c r="F11" s="4" t="s">
        <v>114</v>
      </c>
      <c r="G11" s="55" t="s">
        <v>241</v>
      </c>
      <c r="H11" s="55" t="s">
        <v>234</v>
      </c>
      <c r="I11" s="30">
        <v>18</v>
      </c>
      <c r="J11" s="27" t="s">
        <v>197</v>
      </c>
      <c r="K11" s="28">
        <v>1</v>
      </c>
      <c r="L11" s="29">
        <f t="shared" si="1"/>
        <v>18</v>
      </c>
      <c r="M11" s="30" t="s">
        <v>5</v>
      </c>
      <c r="N11" s="19">
        <v>40000</v>
      </c>
      <c r="O11" s="19">
        <v>33700</v>
      </c>
      <c r="P11" s="5">
        <v>32690</v>
      </c>
      <c r="Q11" s="19">
        <v>32190</v>
      </c>
      <c r="R11" s="19">
        <v>31180</v>
      </c>
      <c r="S11" s="19">
        <v>28670</v>
      </c>
      <c r="T11" s="72"/>
      <c r="U11" s="10">
        <f t="shared" si="3"/>
        <v>33900</v>
      </c>
      <c r="V11" s="10">
        <f t="shared" si="4"/>
        <v>32880</v>
      </c>
      <c r="W11" s="10">
        <f t="shared" si="5"/>
        <v>32380</v>
      </c>
      <c r="X11" s="10">
        <f t="shared" si="6"/>
        <v>31360</v>
      </c>
      <c r="Y11" s="10">
        <f t="shared" si="7"/>
        <v>28840</v>
      </c>
      <c r="Z11">
        <v>50000</v>
      </c>
      <c r="AA11">
        <v>32200</v>
      </c>
      <c r="AB11">
        <v>34000</v>
      </c>
      <c r="AE11">
        <v>34000</v>
      </c>
      <c r="AG11">
        <v>33000</v>
      </c>
      <c r="AT11">
        <v>38000</v>
      </c>
      <c r="AU11">
        <v>40000</v>
      </c>
    </row>
    <row r="12" spans="1:57" hidden="1" x14ac:dyDescent="0.3">
      <c r="A12" s="3">
        <v>6</v>
      </c>
      <c r="B12" s="4" t="s">
        <v>147</v>
      </c>
      <c r="C12" s="3" t="s">
        <v>64</v>
      </c>
      <c r="D12" s="42" t="str">
        <f t="shared" si="0"/>
        <v xml:space="preserve"> 500GR</v>
      </c>
      <c r="E12" s="4" t="str">
        <f t="shared" si="8"/>
        <v xml:space="preserve"> 500</v>
      </c>
      <c r="F12" s="37" t="s">
        <v>138</v>
      </c>
      <c r="G12" s="55" t="s">
        <v>242</v>
      </c>
      <c r="H12" s="55" t="s">
        <v>243</v>
      </c>
      <c r="I12" s="32">
        <f t="shared" ref="I12:I13" si="9">ROUND(K12*6,0)</f>
        <v>24</v>
      </c>
      <c r="J12" s="27" t="s">
        <v>199</v>
      </c>
      <c r="K12" s="28">
        <f>1000/E12*2</f>
        <v>4</v>
      </c>
      <c r="L12" s="29">
        <f t="shared" si="1"/>
        <v>12</v>
      </c>
      <c r="M12" s="30" t="s">
        <v>5</v>
      </c>
      <c r="N12" s="19">
        <v>40000</v>
      </c>
      <c r="O12" s="19">
        <v>0</v>
      </c>
      <c r="P12" s="5">
        <v>0</v>
      </c>
      <c r="Q12" s="19">
        <v>0</v>
      </c>
      <c r="R12" s="19">
        <v>0</v>
      </c>
      <c r="S12" s="19">
        <v>0</v>
      </c>
      <c r="T12" s="72"/>
      <c r="U12" s="10">
        <f t="shared" si="3"/>
        <v>0</v>
      </c>
      <c r="V12" s="10">
        <f t="shared" si="4"/>
        <v>0</v>
      </c>
      <c r="W12" s="10">
        <f t="shared" si="5"/>
        <v>0</v>
      </c>
      <c r="X12" s="10">
        <f t="shared" si="6"/>
        <v>0</v>
      </c>
      <c r="Y12" s="10">
        <f t="shared" si="7"/>
        <v>0</v>
      </c>
    </row>
    <row r="13" spans="1:57" s="8" customFormat="1" hidden="1" x14ac:dyDescent="0.3">
      <c r="A13" s="3">
        <v>7</v>
      </c>
      <c r="B13" s="4" t="s">
        <v>148</v>
      </c>
      <c r="C13" s="6" t="s">
        <v>65</v>
      </c>
      <c r="D13" s="42" t="str">
        <f t="shared" si="0"/>
        <v xml:space="preserve"> 250GR</v>
      </c>
      <c r="E13" s="7" t="str">
        <f t="shared" si="8"/>
        <v xml:space="preserve"> 250</v>
      </c>
      <c r="F13" s="37" t="s">
        <v>138</v>
      </c>
      <c r="G13" s="55" t="s">
        <v>244</v>
      </c>
      <c r="H13" s="55" t="s">
        <v>245</v>
      </c>
      <c r="I13" s="32">
        <f t="shared" si="9"/>
        <v>60</v>
      </c>
      <c r="J13" s="27" t="s">
        <v>199</v>
      </c>
      <c r="K13" s="28">
        <f>1000/E13*2.5</f>
        <v>10</v>
      </c>
      <c r="L13" s="31">
        <f t="shared" si="1"/>
        <v>15</v>
      </c>
      <c r="M13" s="30" t="s">
        <v>5</v>
      </c>
      <c r="N13" s="19">
        <v>41000</v>
      </c>
      <c r="O13" s="19">
        <v>0</v>
      </c>
      <c r="P13" s="5">
        <v>0</v>
      </c>
      <c r="Q13" s="19">
        <v>0</v>
      </c>
      <c r="R13" s="19">
        <v>0</v>
      </c>
      <c r="S13" s="19">
        <v>0</v>
      </c>
      <c r="T13" s="72"/>
      <c r="U13" s="10">
        <f t="shared" si="3"/>
        <v>0</v>
      </c>
      <c r="V13" s="10">
        <f t="shared" si="4"/>
        <v>0</v>
      </c>
      <c r="W13" s="10">
        <f t="shared" si="5"/>
        <v>0</v>
      </c>
      <c r="X13" s="10">
        <f t="shared" si="6"/>
        <v>0</v>
      </c>
      <c r="Y13" s="10">
        <f t="shared" si="7"/>
        <v>0</v>
      </c>
    </row>
    <row r="14" spans="1:57" s="8" customFormat="1" hidden="1" x14ac:dyDescent="0.3">
      <c r="A14" s="3">
        <v>8</v>
      </c>
      <c r="B14" s="4" t="s">
        <v>149</v>
      </c>
      <c r="C14" s="6" t="s">
        <v>66</v>
      </c>
      <c r="D14" s="42" t="str">
        <f t="shared" si="0"/>
        <v xml:space="preserve"> 200GR</v>
      </c>
      <c r="E14" s="7" t="str">
        <f t="shared" si="8"/>
        <v xml:space="preserve"> 200</v>
      </c>
      <c r="F14" s="37" t="s">
        <v>138</v>
      </c>
      <c r="G14" s="7"/>
      <c r="H14" s="7"/>
      <c r="I14" s="32">
        <f>ROUND(K14*6,0)</f>
        <v>60</v>
      </c>
      <c r="J14" s="27" t="s">
        <v>199</v>
      </c>
      <c r="K14" s="28">
        <f>1000/E14*2</f>
        <v>10</v>
      </c>
      <c r="L14" s="31">
        <f t="shared" si="1"/>
        <v>12</v>
      </c>
      <c r="M14" s="30" t="s">
        <v>5</v>
      </c>
      <c r="N14" s="19">
        <v>42000</v>
      </c>
      <c r="O14" s="19">
        <v>0</v>
      </c>
      <c r="P14" s="5">
        <v>0</v>
      </c>
      <c r="Q14" s="19">
        <v>0</v>
      </c>
      <c r="R14" s="19">
        <v>0</v>
      </c>
      <c r="S14" s="19">
        <v>0</v>
      </c>
      <c r="T14" s="72"/>
      <c r="U14" s="10">
        <f t="shared" si="3"/>
        <v>0</v>
      </c>
      <c r="V14" s="10">
        <f t="shared" si="4"/>
        <v>0</v>
      </c>
      <c r="W14" s="10">
        <f t="shared" si="5"/>
        <v>0</v>
      </c>
      <c r="X14" s="10">
        <f t="shared" si="6"/>
        <v>0</v>
      </c>
      <c r="Y14" s="10">
        <f t="shared" si="7"/>
        <v>0</v>
      </c>
    </row>
    <row r="15" spans="1:57" ht="15" hidden="1" customHeight="1" x14ac:dyDescent="0.3">
      <c r="A15" s="3">
        <v>9</v>
      </c>
      <c r="B15" s="4" t="s">
        <v>150</v>
      </c>
      <c r="C15" s="3" t="s">
        <v>67</v>
      </c>
      <c r="D15" s="42" t="str">
        <f t="shared" si="0"/>
        <v xml:space="preserve"> 100GR</v>
      </c>
      <c r="E15" s="4" t="str">
        <f t="shared" si="8"/>
        <v xml:space="preserve"> 100</v>
      </c>
      <c r="F15" s="4" t="s">
        <v>115</v>
      </c>
      <c r="G15" s="55" t="s">
        <v>246</v>
      </c>
      <c r="H15" s="55" t="s">
        <v>247</v>
      </c>
      <c r="I15" s="32">
        <f t="shared" ref="I15:I18" si="10">ROUND(K15*4,0)</f>
        <v>100</v>
      </c>
      <c r="J15" s="27" t="s">
        <v>199</v>
      </c>
      <c r="K15" s="28">
        <f t="shared" ref="K15:K21" si="11">1000/E15*2.5</f>
        <v>25</v>
      </c>
      <c r="L15" s="29">
        <f t="shared" si="1"/>
        <v>10</v>
      </c>
      <c r="M15" s="30" t="s">
        <v>5</v>
      </c>
      <c r="N15" s="19">
        <v>44000</v>
      </c>
      <c r="O15" s="19">
        <v>0</v>
      </c>
      <c r="P15" s="5">
        <v>0</v>
      </c>
      <c r="Q15" s="19">
        <v>0</v>
      </c>
      <c r="R15" s="19">
        <v>0</v>
      </c>
      <c r="S15" s="19">
        <v>0</v>
      </c>
      <c r="T15" s="72"/>
      <c r="U15" s="10">
        <f t="shared" si="3"/>
        <v>0</v>
      </c>
      <c r="V15" s="10">
        <f t="shared" si="4"/>
        <v>0</v>
      </c>
      <c r="W15" s="10">
        <f t="shared" si="5"/>
        <v>0</v>
      </c>
      <c r="X15" s="10">
        <f t="shared" si="6"/>
        <v>0</v>
      </c>
      <c r="Y15" s="10">
        <f t="shared" si="7"/>
        <v>0</v>
      </c>
    </row>
    <row r="16" spans="1:57" x14ac:dyDescent="0.3">
      <c r="A16" s="3">
        <v>10</v>
      </c>
      <c r="B16" s="4" t="s">
        <v>151</v>
      </c>
      <c r="C16" s="3" t="s">
        <v>68</v>
      </c>
      <c r="D16" s="42" t="str">
        <f t="shared" si="0"/>
        <v xml:space="preserve"> 50GR</v>
      </c>
      <c r="E16" s="4" t="str">
        <f>LEFT(D16,LEN(D16)-2)</f>
        <v xml:space="preserve"> 50</v>
      </c>
      <c r="F16" s="4" t="s">
        <v>116</v>
      </c>
      <c r="G16" s="55" t="s">
        <v>248</v>
      </c>
      <c r="H16" s="55" t="s">
        <v>249</v>
      </c>
      <c r="I16" s="32">
        <f t="shared" si="10"/>
        <v>200</v>
      </c>
      <c r="J16" s="27" t="s">
        <v>199</v>
      </c>
      <c r="K16" s="28">
        <f t="shared" si="11"/>
        <v>50</v>
      </c>
      <c r="L16" s="29">
        <f t="shared" si="1"/>
        <v>10</v>
      </c>
      <c r="M16" s="30" t="s">
        <v>5</v>
      </c>
      <c r="N16" s="19">
        <v>46000</v>
      </c>
      <c r="O16" s="19">
        <v>41240</v>
      </c>
      <c r="P16" s="5">
        <v>37220</v>
      </c>
      <c r="Q16" s="19"/>
      <c r="R16" s="19"/>
      <c r="S16" s="19"/>
      <c r="T16" s="72"/>
      <c r="U16" s="10">
        <f>ROUND(O16/24000*$AA$55,-1)</f>
        <v>41480</v>
      </c>
      <c r="V16" s="10">
        <f>ROUND(P16/24000*$AA$55,-1)</f>
        <v>37440</v>
      </c>
      <c r="AA16">
        <v>37000</v>
      </c>
      <c r="AF16">
        <v>35000</v>
      </c>
      <c r="AI16">
        <v>41000</v>
      </c>
      <c r="AM16">
        <v>33000</v>
      </c>
      <c r="AN16">
        <v>39000</v>
      </c>
      <c r="AQ16">
        <v>38000</v>
      </c>
      <c r="AX16">
        <v>43000</v>
      </c>
    </row>
    <row r="17" spans="1:55" x14ac:dyDescent="0.3">
      <c r="A17" s="3">
        <v>11</v>
      </c>
      <c r="B17" s="4" t="s">
        <v>187</v>
      </c>
      <c r="C17" s="3" t="s">
        <v>69</v>
      </c>
      <c r="D17" s="42" t="str">
        <f t="shared" si="0"/>
        <v xml:space="preserve"> 25GR</v>
      </c>
      <c r="E17" s="4" t="str">
        <f t="shared" si="8"/>
        <v xml:space="preserve"> 25</v>
      </c>
      <c r="F17" s="4" t="s">
        <v>117</v>
      </c>
      <c r="G17" s="55" t="s">
        <v>250</v>
      </c>
      <c r="H17" s="55" t="s">
        <v>251</v>
      </c>
      <c r="I17" s="32">
        <f t="shared" si="10"/>
        <v>400</v>
      </c>
      <c r="J17" s="27" t="s">
        <v>199</v>
      </c>
      <c r="K17" s="28">
        <f t="shared" si="11"/>
        <v>100</v>
      </c>
      <c r="L17" s="29">
        <f t="shared" si="1"/>
        <v>10</v>
      </c>
      <c r="M17" s="30" t="s">
        <v>5</v>
      </c>
      <c r="N17" s="19">
        <v>49000</v>
      </c>
      <c r="O17" s="19">
        <v>40230</v>
      </c>
      <c r="P17" s="5">
        <v>36210</v>
      </c>
      <c r="Q17" s="19"/>
      <c r="R17" s="19"/>
      <c r="S17" s="19"/>
      <c r="T17" s="72"/>
      <c r="U17" s="10">
        <f t="shared" ref="U17:U20" si="12">ROUND(O17/24000*$AA$55,-1)</f>
        <v>40460</v>
      </c>
      <c r="V17" s="10">
        <f t="shared" ref="V17:V20" si="13">ROUND(P17/24000*$AA$55,-1)</f>
        <v>36420</v>
      </c>
      <c r="AA17">
        <v>36000</v>
      </c>
      <c r="AF17">
        <v>35000</v>
      </c>
      <c r="AM17">
        <v>33000</v>
      </c>
    </row>
    <row r="18" spans="1:55" x14ac:dyDescent="0.3">
      <c r="A18" s="3">
        <v>12</v>
      </c>
      <c r="B18" s="4" t="s">
        <v>152</v>
      </c>
      <c r="C18" s="3" t="s">
        <v>70</v>
      </c>
      <c r="D18" s="42" t="str">
        <f t="shared" si="0"/>
        <v xml:space="preserve"> 20GR</v>
      </c>
      <c r="E18" s="4" t="str">
        <f t="shared" si="8"/>
        <v xml:space="preserve"> 20</v>
      </c>
      <c r="F18" s="4" t="s">
        <v>118</v>
      </c>
      <c r="G18" s="55" t="s">
        <v>252</v>
      </c>
      <c r="H18" s="55" t="s">
        <v>253</v>
      </c>
      <c r="I18" s="32">
        <f t="shared" si="10"/>
        <v>500</v>
      </c>
      <c r="J18" s="27" t="s">
        <v>199</v>
      </c>
      <c r="K18" s="28">
        <f t="shared" si="11"/>
        <v>125</v>
      </c>
      <c r="L18" s="29">
        <f t="shared" si="1"/>
        <v>10</v>
      </c>
      <c r="M18" s="30" t="s">
        <v>5</v>
      </c>
      <c r="N18" s="19">
        <v>50000</v>
      </c>
      <c r="O18" s="19">
        <v>42250</v>
      </c>
      <c r="P18" s="5">
        <v>38220</v>
      </c>
      <c r="Q18" s="19"/>
      <c r="R18" s="19"/>
      <c r="S18" s="19"/>
      <c r="T18" s="72"/>
      <c r="U18" s="10">
        <f t="shared" si="12"/>
        <v>42500</v>
      </c>
      <c r="V18" s="10">
        <f t="shared" si="13"/>
        <v>38440</v>
      </c>
      <c r="AE18">
        <v>37000</v>
      </c>
      <c r="AF18">
        <v>35000</v>
      </c>
      <c r="AK18">
        <v>45000</v>
      </c>
      <c r="AO18">
        <v>46000</v>
      </c>
      <c r="BC18">
        <v>42000</v>
      </c>
    </row>
    <row r="19" spans="1:55" x14ac:dyDescent="0.3">
      <c r="A19" s="3">
        <v>13</v>
      </c>
      <c r="B19" s="4" t="s">
        <v>6</v>
      </c>
      <c r="C19" s="3" t="s">
        <v>71</v>
      </c>
      <c r="D19" s="42" t="str">
        <f t="shared" si="0"/>
        <v xml:space="preserve"> 10GR</v>
      </c>
      <c r="E19" s="4" t="str">
        <f t="shared" si="8"/>
        <v xml:space="preserve"> 10</v>
      </c>
      <c r="F19" s="4" t="s">
        <v>120</v>
      </c>
      <c r="G19" s="55" t="s">
        <v>254</v>
      </c>
      <c r="H19" s="55" t="s">
        <v>255</v>
      </c>
      <c r="I19" s="32">
        <f>ROUND(K19*4,0)</f>
        <v>1000</v>
      </c>
      <c r="J19" s="27" t="s">
        <v>199</v>
      </c>
      <c r="K19" s="28">
        <f t="shared" si="11"/>
        <v>250</v>
      </c>
      <c r="L19" s="29">
        <f t="shared" si="1"/>
        <v>10</v>
      </c>
      <c r="M19" s="30" t="s">
        <v>5</v>
      </c>
      <c r="N19" s="19">
        <v>54000</v>
      </c>
      <c r="O19" s="19">
        <v>44260</v>
      </c>
      <c r="P19" s="5">
        <v>40230</v>
      </c>
      <c r="Q19" s="19"/>
      <c r="R19" s="19"/>
      <c r="S19" s="19"/>
      <c r="T19" s="72"/>
      <c r="U19" s="10">
        <f t="shared" si="12"/>
        <v>44520</v>
      </c>
      <c r="V19" s="10">
        <f t="shared" si="13"/>
        <v>40460</v>
      </c>
      <c r="AD19">
        <v>88000</v>
      </c>
      <c r="AE19">
        <v>40000</v>
      </c>
      <c r="AF19">
        <v>35000</v>
      </c>
      <c r="AG19">
        <v>44000</v>
      </c>
      <c r="AH19">
        <v>40000</v>
      </c>
      <c r="AI19">
        <v>41000</v>
      </c>
      <c r="AJ19">
        <v>47000</v>
      </c>
      <c r="AK19">
        <v>55000</v>
      </c>
    </row>
    <row r="20" spans="1:55" x14ac:dyDescent="0.3">
      <c r="A20" s="3">
        <v>14</v>
      </c>
      <c r="B20" s="4" t="s">
        <v>153</v>
      </c>
      <c r="C20" s="3" t="s">
        <v>72</v>
      </c>
      <c r="D20" s="42" t="str">
        <f t="shared" si="0"/>
        <v xml:space="preserve"> 5GR</v>
      </c>
      <c r="E20" s="4" t="str">
        <f t="shared" si="8"/>
        <v xml:space="preserve"> 5</v>
      </c>
      <c r="F20" s="4" t="s">
        <v>119</v>
      </c>
      <c r="G20" s="55" t="s">
        <v>256</v>
      </c>
      <c r="H20" s="55" t="s">
        <v>257</v>
      </c>
      <c r="I20" s="32">
        <f>ROUND(K20*4,0)</f>
        <v>2000</v>
      </c>
      <c r="J20" s="27" t="s">
        <v>198</v>
      </c>
      <c r="K20" s="28">
        <f t="shared" si="11"/>
        <v>500</v>
      </c>
      <c r="L20" s="29">
        <f t="shared" si="1"/>
        <v>10</v>
      </c>
      <c r="M20" s="30" t="s">
        <v>5</v>
      </c>
      <c r="N20" s="19">
        <v>68000</v>
      </c>
      <c r="O20" s="19">
        <v>52300</v>
      </c>
      <c r="P20" s="5">
        <v>48280</v>
      </c>
      <c r="Q20" s="19"/>
      <c r="R20" s="19"/>
      <c r="S20" s="19"/>
      <c r="T20" s="72"/>
      <c r="U20" s="10">
        <f t="shared" si="12"/>
        <v>52610</v>
      </c>
      <c r="V20" s="10">
        <f t="shared" si="13"/>
        <v>48560</v>
      </c>
      <c r="AB20">
        <v>48000</v>
      </c>
      <c r="AC20" s="19">
        <v>50000</v>
      </c>
      <c r="BB20">
        <v>60000</v>
      </c>
      <c r="BC20">
        <v>49000</v>
      </c>
    </row>
    <row r="21" spans="1:55" s="8" customFormat="1" x14ac:dyDescent="0.3">
      <c r="A21" s="6">
        <v>15</v>
      </c>
      <c r="B21" s="7" t="s">
        <v>188</v>
      </c>
      <c r="C21" s="6" t="s">
        <v>107</v>
      </c>
      <c r="D21" s="23" t="str">
        <f>RIGHT(C21,LEN(C21)-6)</f>
        <v xml:space="preserve"> 2GR</v>
      </c>
      <c r="E21" s="7" t="str">
        <f>LEFT(D21,LEN(D21)-2)</f>
        <v xml:space="preserve"> 2</v>
      </c>
      <c r="F21" s="7" t="s">
        <v>136</v>
      </c>
      <c r="G21" s="55" t="s">
        <v>258</v>
      </c>
      <c r="H21" s="55" t="s">
        <v>259</v>
      </c>
      <c r="I21" s="32">
        <f>ROUND(K21*4,0)</f>
        <v>5000</v>
      </c>
      <c r="J21" s="27" t="s">
        <v>198</v>
      </c>
      <c r="K21" s="28">
        <f t="shared" si="11"/>
        <v>1250</v>
      </c>
      <c r="L21" s="31">
        <f t="shared" si="1"/>
        <v>10</v>
      </c>
      <c r="M21" s="30" t="s">
        <v>5</v>
      </c>
      <c r="N21" s="38">
        <v>114000</v>
      </c>
      <c r="O21" s="19"/>
      <c r="P21" s="5"/>
      <c r="Q21" s="19"/>
      <c r="R21" s="19"/>
      <c r="S21" s="19"/>
      <c r="T21" s="72"/>
      <c r="U21" s="10"/>
      <c r="V21" s="10"/>
      <c r="W21" s="10"/>
      <c r="X21" s="10"/>
      <c r="Y21" s="10"/>
      <c r="AS21" s="8">
        <v>140000</v>
      </c>
    </row>
    <row r="22" spans="1:55" s="2" customFormat="1" x14ac:dyDescent="0.3">
      <c r="A22" s="70" t="s">
        <v>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39"/>
      <c r="O22" s="39"/>
      <c r="P22" s="46"/>
      <c r="Q22" s="39"/>
      <c r="R22" s="40"/>
      <c r="S22" s="43"/>
      <c r="T22" s="43"/>
      <c r="U22" s="53"/>
      <c r="V22" s="10"/>
      <c r="W22" s="10"/>
      <c r="X22" s="10"/>
      <c r="Y22" s="10"/>
    </row>
    <row r="23" spans="1:55" ht="14.4" hidden="1" customHeight="1" outlineLevel="1" x14ac:dyDescent="0.3">
      <c r="A23" s="3">
        <v>1</v>
      </c>
      <c r="B23" s="4" t="s">
        <v>154</v>
      </c>
      <c r="C23" s="3" t="s">
        <v>48</v>
      </c>
      <c r="D23" s="42" t="str">
        <f t="shared" ref="D23:D34" si="14">RIGHT(C23,LEN(C23)-5)</f>
        <v>2000GR</v>
      </c>
      <c r="E23" s="4" t="str">
        <f>LEFT(D23,LEN(D23)-2)</f>
        <v>2000</v>
      </c>
      <c r="F23" s="4" t="s">
        <v>138</v>
      </c>
      <c r="G23" s="4"/>
      <c r="H23" s="4"/>
      <c r="I23" s="30">
        <v>10</v>
      </c>
      <c r="J23" s="30" t="s">
        <v>200</v>
      </c>
      <c r="K23" s="28">
        <v>1</v>
      </c>
      <c r="L23" s="31">
        <f t="shared" ref="L23:L35" si="15">I23*E23/1000</f>
        <v>20</v>
      </c>
      <c r="M23" s="30" t="s">
        <v>139</v>
      </c>
      <c r="N23" s="19">
        <v>22000</v>
      </c>
      <c r="O23" s="19"/>
      <c r="P23" s="5"/>
      <c r="Q23" s="19"/>
      <c r="R23" s="19"/>
      <c r="S23" s="52"/>
      <c r="T23" s="3"/>
    </row>
    <row r="24" spans="1:55" ht="14.4" hidden="1" customHeight="1" outlineLevel="1" x14ac:dyDescent="0.3">
      <c r="A24" s="3">
        <v>2</v>
      </c>
      <c r="B24" s="4" t="s">
        <v>155</v>
      </c>
      <c r="C24" s="3" t="s">
        <v>109</v>
      </c>
      <c r="D24" s="42" t="str">
        <f t="shared" ref="D24" si="16">RIGHT(C24,LEN(C24)-5)</f>
        <v>1000GR - 4 túi</v>
      </c>
      <c r="E24" s="4" t="str">
        <f>LEFT(D24,LEN(D24)-10)</f>
        <v>1000</v>
      </c>
      <c r="F24" s="4" t="s">
        <v>112</v>
      </c>
      <c r="G24" s="4"/>
      <c r="H24" s="4"/>
      <c r="I24" s="30">
        <v>10</v>
      </c>
      <c r="J24" s="30" t="s">
        <v>197</v>
      </c>
      <c r="K24" s="28">
        <v>1</v>
      </c>
      <c r="L24" s="31">
        <f t="shared" si="15"/>
        <v>10</v>
      </c>
      <c r="M24" s="30" t="s">
        <v>139</v>
      </c>
      <c r="N24" s="19">
        <v>22000</v>
      </c>
      <c r="O24" s="19"/>
      <c r="P24" s="5"/>
      <c r="Q24" s="19"/>
      <c r="R24" s="19"/>
      <c r="S24" s="52"/>
      <c r="T24" s="3"/>
    </row>
    <row r="25" spans="1:55" ht="14.4" hidden="1" customHeight="1" outlineLevel="1" x14ac:dyDescent="0.3">
      <c r="A25" s="3">
        <v>3</v>
      </c>
      <c r="B25" s="4" t="s">
        <v>156</v>
      </c>
      <c r="C25" s="3" t="s">
        <v>49</v>
      </c>
      <c r="D25" s="42" t="str">
        <f t="shared" si="14"/>
        <v>1000GR</v>
      </c>
      <c r="E25" s="4" t="str">
        <f>LEFT(D25,LEN(D25)-2)</f>
        <v>1000</v>
      </c>
      <c r="F25" s="4" t="s">
        <v>121</v>
      </c>
      <c r="G25" s="4"/>
      <c r="H25" s="4"/>
      <c r="I25" s="30">
        <v>25</v>
      </c>
      <c r="J25" s="30" t="s">
        <v>197</v>
      </c>
      <c r="K25" s="28">
        <v>1</v>
      </c>
      <c r="L25" s="31">
        <f t="shared" si="15"/>
        <v>25</v>
      </c>
      <c r="M25" s="30" t="s">
        <v>139</v>
      </c>
      <c r="N25" s="19">
        <v>20000</v>
      </c>
      <c r="O25" s="19"/>
      <c r="P25" s="5"/>
      <c r="Q25" s="19"/>
      <c r="R25" s="19"/>
      <c r="S25" s="52"/>
      <c r="T25" s="3"/>
    </row>
    <row r="26" spans="1:55" ht="14.4" hidden="1" customHeight="1" outlineLevel="1" x14ac:dyDescent="0.3">
      <c r="A26" s="3">
        <v>4</v>
      </c>
      <c r="B26" s="4" t="s">
        <v>157</v>
      </c>
      <c r="C26" s="3" t="s">
        <v>50</v>
      </c>
      <c r="D26" s="42" t="str">
        <f t="shared" si="14"/>
        <v>500GR</v>
      </c>
      <c r="E26" s="4" t="str">
        <f t="shared" ref="E26:E50" si="17">LEFT(D26,LEN(D26)-2)</f>
        <v>500</v>
      </c>
      <c r="F26" s="4" t="s">
        <v>138</v>
      </c>
      <c r="G26" s="4"/>
      <c r="H26" s="4"/>
      <c r="I26" s="30">
        <v>50</v>
      </c>
      <c r="J26" s="30" t="s">
        <v>199</v>
      </c>
      <c r="K26" s="32"/>
      <c r="L26" s="31">
        <f t="shared" si="15"/>
        <v>25</v>
      </c>
      <c r="M26" s="30" t="s">
        <v>139</v>
      </c>
      <c r="N26" s="19">
        <v>22000</v>
      </c>
      <c r="O26" s="19"/>
      <c r="P26" s="5"/>
      <c r="Q26" s="19"/>
      <c r="R26" s="19"/>
      <c r="S26" s="52"/>
      <c r="T26" s="3"/>
    </row>
    <row r="27" spans="1:55" ht="14.4" hidden="1" customHeight="1" outlineLevel="1" x14ac:dyDescent="0.3">
      <c r="A27" s="3">
        <v>5</v>
      </c>
      <c r="B27" s="4" t="s">
        <v>158</v>
      </c>
      <c r="C27" s="3" t="s">
        <v>51</v>
      </c>
      <c r="D27" s="42" t="str">
        <f t="shared" si="14"/>
        <v>200GR</v>
      </c>
      <c r="E27" s="4" t="str">
        <f t="shared" si="17"/>
        <v>200</v>
      </c>
      <c r="F27" s="4" t="s">
        <v>138</v>
      </c>
      <c r="G27" s="4"/>
      <c r="H27" s="4"/>
      <c r="I27" s="30">
        <v>120</v>
      </c>
      <c r="J27" s="30" t="s">
        <v>199</v>
      </c>
      <c r="K27" s="32"/>
      <c r="L27" s="31">
        <f t="shared" si="15"/>
        <v>24</v>
      </c>
      <c r="M27" s="30" t="s">
        <v>139</v>
      </c>
      <c r="N27" s="19">
        <v>22000</v>
      </c>
      <c r="O27" s="19"/>
      <c r="P27" s="5"/>
      <c r="Q27" s="19"/>
      <c r="R27" s="19"/>
      <c r="S27" s="52"/>
      <c r="T27" s="3"/>
    </row>
    <row r="28" spans="1:55" ht="14.4" hidden="1" customHeight="1" outlineLevel="1" x14ac:dyDescent="0.3">
      <c r="A28" s="3">
        <v>6</v>
      </c>
      <c r="B28" s="4" t="s">
        <v>159</v>
      </c>
      <c r="C28" s="3" t="s">
        <v>52</v>
      </c>
      <c r="D28" s="42" t="str">
        <f t="shared" si="14"/>
        <v>100GR</v>
      </c>
      <c r="E28" s="4" t="str">
        <f t="shared" si="17"/>
        <v>100</v>
      </c>
      <c r="F28" s="4" t="s">
        <v>122</v>
      </c>
      <c r="G28" s="4"/>
      <c r="H28" s="4"/>
      <c r="I28" s="32">
        <f>ROUND(K28*3,0)</f>
        <v>240</v>
      </c>
      <c r="J28" s="30" t="s">
        <v>199</v>
      </c>
      <c r="K28" s="28">
        <f>1000/E28*8</f>
        <v>80</v>
      </c>
      <c r="L28" s="31">
        <f t="shared" si="15"/>
        <v>24</v>
      </c>
      <c r="M28" s="30" t="s">
        <v>139</v>
      </c>
      <c r="N28" s="19">
        <v>22000</v>
      </c>
      <c r="O28" s="19"/>
      <c r="P28" s="5"/>
      <c r="Q28" s="19"/>
      <c r="R28" s="19"/>
      <c r="S28" s="52"/>
      <c r="T28" s="3"/>
    </row>
    <row r="29" spans="1:55" ht="14.4" hidden="1" customHeight="1" outlineLevel="1" x14ac:dyDescent="0.3">
      <c r="A29" s="3">
        <v>7</v>
      </c>
      <c r="B29" s="4" t="s">
        <v>160</v>
      </c>
      <c r="C29" s="3" t="s">
        <v>53</v>
      </c>
      <c r="D29" s="42" t="str">
        <f t="shared" si="14"/>
        <v>50GR</v>
      </c>
      <c r="E29" s="4" t="str">
        <f t="shared" si="17"/>
        <v>50</v>
      </c>
      <c r="F29" s="4" t="s">
        <v>123</v>
      </c>
      <c r="G29" s="4"/>
      <c r="H29" s="4"/>
      <c r="I29" s="32">
        <f t="shared" ref="I29:I32" si="18">ROUND(K29*3,0)</f>
        <v>480</v>
      </c>
      <c r="J29" s="30" t="s">
        <v>199</v>
      </c>
      <c r="K29" s="28">
        <f>1000/E29*8</f>
        <v>160</v>
      </c>
      <c r="L29" s="31">
        <f t="shared" si="15"/>
        <v>24</v>
      </c>
      <c r="M29" s="30" t="s">
        <v>139</v>
      </c>
      <c r="N29" s="19">
        <v>22000</v>
      </c>
      <c r="O29" s="19"/>
      <c r="P29" s="5"/>
      <c r="Q29" s="19"/>
      <c r="R29" s="19"/>
      <c r="S29" s="52"/>
      <c r="T29" s="3"/>
    </row>
    <row r="30" spans="1:55" s="8" customFormat="1" ht="14.4" hidden="1" customHeight="1" outlineLevel="1" x14ac:dyDescent="0.3">
      <c r="A30" s="3">
        <v>8</v>
      </c>
      <c r="B30" s="4" t="s">
        <v>161</v>
      </c>
      <c r="C30" s="6" t="s">
        <v>54</v>
      </c>
      <c r="D30" s="23" t="str">
        <f t="shared" si="14"/>
        <v>20GR</v>
      </c>
      <c r="E30" s="7" t="str">
        <f t="shared" si="17"/>
        <v>20</v>
      </c>
      <c r="F30" s="7" t="s">
        <v>124</v>
      </c>
      <c r="G30" s="7"/>
      <c r="H30" s="7"/>
      <c r="I30" s="32">
        <f t="shared" si="18"/>
        <v>1200</v>
      </c>
      <c r="J30" s="30" t="s">
        <v>197</v>
      </c>
      <c r="K30" s="28">
        <f>1000/E30*8</f>
        <v>400</v>
      </c>
      <c r="L30" s="31">
        <f t="shared" si="15"/>
        <v>24</v>
      </c>
      <c r="M30" s="30" t="s">
        <v>139</v>
      </c>
      <c r="N30" s="19">
        <v>22000</v>
      </c>
      <c r="O30" s="19"/>
      <c r="P30" s="5"/>
      <c r="Q30" s="19"/>
      <c r="R30" s="19"/>
      <c r="S30" s="52"/>
      <c r="T30" s="6"/>
      <c r="U30" s="20"/>
      <c r="V30" s="10"/>
      <c r="W30" s="10"/>
      <c r="X30" s="10"/>
      <c r="Y30" s="10"/>
    </row>
    <row r="31" spans="1:55" ht="14.4" hidden="1" customHeight="1" outlineLevel="1" x14ac:dyDescent="0.3">
      <c r="A31" s="3">
        <v>9</v>
      </c>
      <c r="B31" s="4" t="s">
        <v>8</v>
      </c>
      <c r="C31" s="3" t="s">
        <v>55</v>
      </c>
      <c r="D31" s="42" t="str">
        <f t="shared" si="14"/>
        <v>10GR</v>
      </c>
      <c r="E31" s="4" t="str">
        <f t="shared" si="17"/>
        <v>10</v>
      </c>
      <c r="F31" s="4" t="s">
        <v>125</v>
      </c>
      <c r="G31" s="4"/>
      <c r="H31" s="4"/>
      <c r="I31" s="32">
        <f t="shared" si="18"/>
        <v>2100</v>
      </c>
      <c r="J31" s="30" t="s">
        <v>197</v>
      </c>
      <c r="K31" s="28">
        <f>1000/E31*7</f>
        <v>700</v>
      </c>
      <c r="L31" s="31">
        <f t="shared" si="15"/>
        <v>21</v>
      </c>
      <c r="M31" s="30" t="s">
        <v>139</v>
      </c>
      <c r="N31" s="19">
        <v>24000</v>
      </c>
      <c r="O31" s="19"/>
      <c r="P31" s="5"/>
      <c r="Q31" s="19"/>
      <c r="R31" s="19"/>
      <c r="S31" s="52"/>
      <c r="T31" s="3"/>
    </row>
    <row r="32" spans="1:55" ht="14.4" hidden="1" customHeight="1" outlineLevel="1" x14ac:dyDescent="0.3">
      <c r="A32" s="3">
        <v>10</v>
      </c>
      <c r="B32" s="4" t="s">
        <v>162</v>
      </c>
      <c r="C32" s="3" t="s">
        <v>56</v>
      </c>
      <c r="D32" s="42" t="str">
        <f t="shared" si="14"/>
        <v>5GR</v>
      </c>
      <c r="E32" s="4" t="str">
        <f t="shared" si="17"/>
        <v>5</v>
      </c>
      <c r="F32" s="4" t="s">
        <v>126</v>
      </c>
      <c r="G32" s="4"/>
      <c r="H32" s="4"/>
      <c r="I32" s="32">
        <f t="shared" si="18"/>
        <v>3600</v>
      </c>
      <c r="J32" s="30" t="s">
        <v>197</v>
      </c>
      <c r="K32" s="28">
        <f>1000/E32*6</f>
        <v>1200</v>
      </c>
      <c r="L32" s="31">
        <f t="shared" si="15"/>
        <v>18</v>
      </c>
      <c r="M32" s="30" t="s">
        <v>139</v>
      </c>
      <c r="N32" s="19">
        <v>24000</v>
      </c>
      <c r="O32" s="19"/>
      <c r="P32" s="5"/>
      <c r="Q32" s="19"/>
      <c r="R32" s="19"/>
      <c r="S32" s="52"/>
      <c r="T32" s="3"/>
    </row>
    <row r="33" spans="1:20" ht="14.4" hidden="1" customHeight="1" outlineLevel="1" x14ac:dyDescent="0.3">
      <c r="A33" s="3">
        <v>11</v>
      </c>
      <c r="B33" s="4" t="s">
        <v>163</v>
      </c>
      <c r="C33" s="3" t="s">
        <v>57</v>
      </c>
      <c r="D33" s="42" t="str">
        <f t="shared" si="14"/>
        <v>3GR</v>
      </c>
      <c r="E33" s="4" t="str">
        <f t="shared" si="17"/>
        <v>3</v>
      </c>
      <c r="F33" s="4" t="s">
        <v>127</v>
      </c>
      <c r="G33" s="4"/>
      <c r="H33" s="4"/>
      <c r="I33" s="32">
        <f>ROUND(K33*3,0)</f>
        <v>6000</v>
      </c>
      <c r="J33" s="30" t="s">
        <v>197</v>
      </c>
      <c r="K33" s="28">
        <f>1000/E33*6</f>
        <v>2000</v>
      </c>
      <c r="L33" s="31">
        <f t="shared" si="15"/>
        <v>18</v>
      </c>
      <c r="M33" s="30" t="s">
        <v>139</v>
      </c>
      <c r="N33" s="19">
        <v>35000</v>
      </c>
      <c r="O33" s="19"/>
      <c r="P33" s="5"/>
      <c r="Q33" s="19"/>
      <c r="R33" s="19"/>
      <c r="S33" s="52"/>
      <c r="T33" s="3"/>
    </row>
    <row r="34" spans="1:20" ht="14.4" hidden="1" customHeight="1" outlineLevel="1" x14ac:dyDescent="0.3">
      <c r="A34" s="3">
        <v>12</v>
      </c>
      <c r="B34" s="4" t="s">
        <v>164</v>
      </c>
      <c r="C34" s="3" t="s">
        <v>58</v>
      </c>
      <c r="D34" s="42" t="str">
        <f t="shared" si="14"/>
        <v>2GR</v>
      </c>
      <c r="E34" s="4" t="str">
        <f t="shared" si="17"/>
        <v>2</v>
      </c>
      <c r="F34" s="4" t="s">
        <v>128</v>
      </c>
      <c r="G34" s="4"/>
      <c r="H34" s="4"/>
      <c r="I34" s="32">
        <f>ROUND(K34*3,0)</f>
        <v>9000</v>
      </c>
      <c r="J34" s="30" t="s">
        <v>197</v>
      </c>
      <c r="K34" s="28">
        <f>1000/E34*6</f>
        <v>3000</v>
      </c>
      <c r="L34" s="31">
        <f t="shared" si="15"/>
        <v>18</v>
      </c>
      <c r="M34" s="30" t="s">
        <v>139</v>
      </c>
      <c r="N34" s="19">
        <v>35000</v>
      </c>
      <c r="O34" s="19"/>
      <c r="P34" s="5"/>
      <c r="Q34" s="19"/>
      <c r="R34" s="19"/>
      <c r="S34" s="52"/>
      <c r="T34" s="3"/>
    </row>
    <row r="35" spans="1:20" ht="14.4" hidden="1" customHeight="1" outlineLevel="1" x14ac:dyDescent="0.3">
      <c r="A35" s="3">
        <v>13</v>
      </c>
      <c r="B35" s="4" t="s">
        <v>165</v>
      </c>
      <c r="C35" s="3" t="s">
        <v>229</v>
      </c>
      <c r="D35" s="42" t="str">
        <f t="shared" ref="D35" si="19">RIGHT(C35,LEN(C35)-5)</f>
        <v>1,4GR</v>
      </c>
      <c r="E35" s="4" t="str">
        <f t="shared" ref="E35" si="20">LEFT(D35,LEN(D35)-2)</f>
        <v>1,4</v>
      </c>
      <c r="F35" s="4" t="s">
        <v>129</v>
      </c>
      <c r="G35" s="4"/>
      <c r="H35" s="4"/>
      <c r="I35" s="32">
        <f>ROUNDUP(K35*4,0)</f>
        <v>14286</v>
      </c>
      <c r="J35" s="30" t="s">
        <v>197</v>
      </c>
      <c r="K35" s="28">
        <f>1000/E35*5</f>
        <v>3571.4285714285716</v>
      </c>
      <c r="L35" s="31">
        <f t="shared" si="15"/>
        <v>20.000399999999999</v>
      </c>
      <c r="M35" s="30" t="s">
        <v>139</v>
      </c>
      <c r="N35" s="19">
        <v>35000</v>
      </c>
      <c r="O35" s="19"/>
      <c r="P35" s="5"/>
      <c r="Q35" s="19"/>
      <c r="R35" s="19"/>
      <c r="S35" s="52"/>
      <c r="T35" s="3"/>
    </row>
    <row r="36" spans="1:20" collapsed="1" x14ac:dyDescent="0.3">
      <c r="A36" s="70" t="s">
        <v>9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39"/>
      <c r="O36" s="39"/>
      <c r="P36" s="17"/>
      <c r="Q36" s="39"/>
      <c r="R36" s="12"/>
      <c r="S36" s="3"/>
      <c r="T36" s="3"/>
    </row>
    <row r="37" spans="1:20" ht="14.4" hidden="1" customHeight="1" outlineLevel="1" x14ac:dyDescent="0.3">
      <c r="A37" s="3">
        <v>1</v>
      </c>
      <c r="B37" s="4" t="s">
        <v>166</v>
      </c>
      <c r="C37" s="6" t="s">
        <v>11</v>
      </c>
      <c r="D37" s="42" t="str">
        <f t="shared" ref="D37:D50" si="21">RIGHT(C37,LEN(C37)-11)</f>
        <v>1000GR - 4 túi</v>
      </c>
      <c r="E37" s="4" t="str">
        <f>LEFT(D37,LEN(D37)-10)</f>
        <v>1000</v>
      </c>
      <c r="F37" s="4" t="s">
        <v>112</v>
      </c>
      <c r="G37" s="4"/>
      <c r="H37" s="4"/>
      <c r="I37" s="30">
        <v>18</v>
      </c>
      <c r="J37" s="30" t="s">
        <v>197</v>
      </c>
      <c r="K37" s="28">
        <v>1</v>
      </c>
      <c r="L37" s="31">
        <f t="shared" ref="L37:L50" si="22">I37*E37/1000</f>
        <v>18</v>
      </c>
      <c r="M37" s="30" t="s">
        <v>139</v>
      </c>
      <c r="N37" s="19">
        <v>44000</v>
      </c>
      <c r="O37" s="19"/>
      <c r="P37" s="5"/>
      <c r="Q37" s="19"/>
      <c r="R37" s="19"/>
      <c r="S37" s="52"/>
      <c r="T37" s="3"/>
    </row>
    <row r="38" spans="1:20" ht="14.4" hidden="1" customHeight="1" outlineLevel="1" x14ac:dyDescent="0.3">
      <c r="A38" s="3">
        <v>2</v>
      </c>
      <c r="B38" s="4" t="s">
        <v>167</v>
      </c>
      <c r="C38" s="6" t="s">
        <v>10</v>
      </c>
      <c r="D38" s="42" t="str">
        <f>RIGHT(C38,LEN(C38)-11)</f>
        <v>1000GR - 3 túi</v>
      </c>
      <c r="E38" s="4" t="str">
        <f>LEFT(D38,LEN(D38)-10)</f>
        <v>1000</v>
      </c>
      <c r="F38" s="4" t="s">
        <v>113</v>
      </c>
      <c r="G38" s="4"/>
      <c r="H38" s="4"/>
      <c r="I38" s="30">
        <v>16</v>
      </c>
      <c r="J38" s="30" t="s">
        <v>197</v>
      </c>
      <c r="K38" s="28">
        <v>1</v>
      </c>
      <c r="L38" s="31">
        <f t="shared" si="22"/>
        <v>16</v>
      </c>
      <c r="M38" s="30" t="s">
        <v>139</v>
      </c>
      <c r="N38" s="19">
        <v>44000</v>
      </c>
      <c r="O38" s="19"/>
      <c r="P38" s="5"/>
      <c r="Q38" s="19"/>
      <c r="R38" s="19"/>
      <c r="S38" s="52"/>
      <c r="T38" s="3"/>
    </row>
    <row r="39" spans="1:20" ht="14.4" hidden="1" customHeight="1" outlineLevel="1" x14ac:dyDescent="0.3">
      <c r="A39" s="3">
        <v>3</v>
      </c>
      <c r="B39" s="4" t="s">
        <v>168</v>
      </c>
      <c r="C39" s="6" t="s">
        <v>108</v>
      </c>
      <c r="D39" s="42" t="str">
        <f>RIGHT(C39,LEN(C39)-11)</f>
        <v>1000GR</v>
      </c>
      <c r="E39" s="4" t="str">
        <f>LEFT(D39,LEN(D39)-2)</f>
        <v>1000</v>
      </c>
      <c r="F39" s="4" t="s">
        <v>121</v>
      </c>
      <c r="G39" s="4"/>
      <c r="H39" s="4"/>
      <c r="I39" s="30">
        <v>18</v>
      </c>
      <c r="J39" s="30" t="s">
        <v>197</v>
      </c>
      <c r="K39" s="28">
        <v>1</v>
      </c>
      <c r="L39" s="31">
        <f t="shared" si="22"/>
        <v>18</v>
      </c>
      <c r="M39" s="30" t="s">
        <v>139</v>
      </c>
      <c r="N39" s="19">
        <v>42000</v>
      </c>
      <c r="O39" s="19"/>
      <c r="P39" s="5"/>
      <c r="Q39" s="19"/>
      <c r="R39" s="19"/>
      <c r="S39" s="52"/>
      <c r="T39" s="3"/>
    </row>
    <row r="40" spans="1:20" ht="14.4" hidden="1" customHeight="1" outlineLevel="1" x14ac:dyDescent="0.3">
      <c r="A40" s="3">
        <v>4</v>
      </c>
      <c r="B40" s="4" t="s">
        <v>169</v>
      </c>
      <c r="C40" s="6" t="s">
        <v>12</v>
      </c>
      <c r="D40" s="42" t="str">
        <f t="shared" si="21"/>
        <v>500GR</v>
      </c>
      <c r="E40" s="4" t="str">
        <f t="shared" si="17"/>
        <v>500</v>
      </c>
      <c r="F40" s="4" t="s">
        <v>138</v>
      </c>
      <c r="G40" s="4"/>
      <c r="H40" s="4"/>
      <c r="I40" s="30">
        <v>40</v>
      </c>
      <c r="J40" s="30" t="s">
        <v>199</v>
      </c>
      <c r="K40" s="32"/>
      <c r="L40" s="31">
        <f t="shared" si="22"/>
        <v>20</v>
      </c>
      <c r="M40" s="30" t="s">
        <v>139</v>
      </c>
      <c r="N40" s="19">
        <v>44000</v>
      </c>
      <c r="O40" s="19"/>
      <c r="P40" s="5"/>
      <c r="Q40" s="19"/>
      <c r="R40" s="19"/>
      <c r="S40" s="52"/>
      <c r="T40" s="3"/>
    </row>
    <row r="41" spans="1:20" ht="14.4" hidden="1" customHeight="1" outlineLevel="1" x14ac:dyDescent="0.3">
      <c r="A41" s="3">
        <v>5</v>
      </c>
      <c r="B41" s="4" t="s">
        <v>170</v>
      </c>
      <c r="C41" s="6" t="s">
        <v>13</v>
      </c>
      <c r="D41" s="42" t="str">
        <f t="shared" si="21"/>
        <v>200GR</v>
      </c>
      <c r="E41" s="4" t="str">
        <f t="shared" si="17"/>
        <v>200</v>
      </c>
      <c r="F41" s="4" t="s">
        <v>138</v>
      </c>
      <c r="G41" s="4"/>
      <c r="H41" s="4"/>
      <c r="I41" s="30">
        <v>120</v>
      </c>
      <c r="J41" s="30" t="s">
        <v>199</v>
      </c>
      <c r="K41" s="32"/>
      <c r="L41" s="31">
        <f t="shared" si="22"/>
        <v>24</v>
      </c>
      <c r="M41" s="30" t="s">
        <v>139</v>
      </c>
      <c r="N41" s="19">
        <v>44000</v>
      </c>
      <c r="O41" s="19"/>
      <c r="P41" s="5"/>
      <c r="Q41" s="19"/>
      <c r="R41" s="19"/>
      <c r="S41" s="52"/>
      <c r="T41" s="3"/>
    </row>
    <row r="42" spans="1:20" ht="14.4" hidden="1" customHeight="1" outlineLevel="1" x14ac:dyDescent="0.3">
      <c r="A42" s="3">
        <v>6</v>
      </c>
      <c r="B42" s="4" t="s">
        <v>171</v>
      </c>
      <c r="C42" s="6" t="s">
        <v>14</v>
      </c>
      <c r="D42" s="42" t="str">
        <f t="shared" si="21"/>
        <v>100GR</v>
      </c>
      <c r="E42" s="4" t="str">
        <f t="shared" si="17"/>
        <v>100</v>
      </c>
      <c r="F42" s="4" t="s">
        <v>130</v>
      </c>
      <c r="G42" s="4"/>
      <c r="H42" s="4"/>
      <c r="I42" s="32">
        <f>ROUND(K42*12,0)</f>
        <v>300</v>
      </c>
      <c r="J42" s="30" t="s">
        <v>199</v>
      </c>
      <c r="K42" s="28">
        <f t="shared" ref="K42:K49" si="23">1000/E42*2.5</f>
        <v>25</v>
      </c>
      <c r="L42" s="31">
        <f t="shared" si="22"/>
        <v>30</v>
      </c>
      <c r="M42" s="30" t="s">
        <v>139</v>
      </c>
      <c r="N42" s="19">
        <v>44000</v>
      </c>
      <c r="O42" s="19"/>
      <c r="P42" s="5"/>
      <c r="Q42" s="19"/>
      <c r="R42" s="19"/>
      <c r="S42" s="52"/>
      <c r="T42" s="3"/>
    </row>
    <row r="43" spans="1:20" ht="14.4" hidden="1" customHeight="1" outlineLevel="1" x14ac:dyDescent="0.3">
      <c r="A43" s="3">
        <v>7</v>
      </c>
      <c r="B43" s="4" t="s">
        <v>172</v>
      </c>
      <c r="C43" s="6" t="s">
        <v>15</v>
      </c>
      <c r="D43" s="42" t="str">
        <f t="shared" si="21"/>
        <v>50GR</v>
      </c>
      <c r="E43" s="4" t="str">
        <f t="shared" si="17"/>
        <v>50</v>
      </c>
      <c r="F43" s="4" t="s">
        <v>131</v>
      </c>
      <c r="G43" s="4"/>
      <c r="H43" s="4"/>
      <c r="I43" s="32">
        <f t="shared" ref="I43:I46" si="24">ROUND(K43*12,0)</f>
        <v>600</v>
      </c>
      <c r="J43" s="30" t="s">
        <v>199</v>
      </c>
      <c r="K43" s="28">
        <f t="shared" si="23"/>
        <v>50</v>
      </c>
      <c r="L43" s="31">
        <f t="shared" si="22"/>
        <v>30</v>
      </c>
      <c r="M43" s="30" t="s">
        <v>139</v>
      </c>
      <c r="N43" s="19">
        <v>44000</v>
      </c>
      <c r="O43" s="19"/>
      <c r="P43" s="5"/>
      <c r="Q43" s="19"/>
      <c r="R43" s="19"/>
      <c r="S43" s="52"/>
      <c r="T43" s="3"/>
    </row>
    <row r="44" spans="1:20" ht="14.4" hidden="1" customHeight="1" outlineLevel="1" x14ac:dyDescent="0.3">
      <c r="A44" s="3">
        <v>8</v>
      </c>
      <c r="B44" s="4" t="s">
        <v>173</v>
      </c>
      <c r="C44" s="6" t="s">
        <v>17</v>
      </c>
      <c r="D44" s="42" t="str">
        <f t="shared" si="21"/>
        <v>25GR</v>
      </c>
      <c r="E44" s="4" t="str">
        <f t="shared" si="17"/>
        <v>25</v>
      </c>
      <c r="F44" s="4" t="s">
        <v>132</v>
      </c>
      <c r="G44" s="4"/>
      <c r="H44" s="4"/>
      <c r="I44" s="32">
        <f t="shared" si="24"/>
        <v>1200</v>
      </c>
      <c r="J44" s="30" t="s">
        <v>197</v>
      </c>
      <c r="K44" s="28">
        <f t="shared" si="23"/>
        <v>100</v>
      </c>
      <c r="L44" s="31">
        <f t="shared" si="22"/>
        <v>30</v>
      </c>
      <c r="M44" s="30" t="s">
        <v>139</v>
      </c>
      <c r="N44" s="19">
        <v>44000</v>
      </c>
      <c r="O44" s="19"/>
      <c r="P44" s="5"/>
      <c r="Q44" s="19"/>
      <c r="R44" s="19"/>
      <c r="S44" s="52"/>
      <c r="T44" s="3"/>
    </row>
    <row r="45" spans="1:20" ht="14.4" hidden="1" customHeight="1" outlineLevel="1" x14ac:dyDescent="0.3">
      <c r="A45" s="3">
        <v>9</v>
      </c>
      <c r="B45" s="4" t="s">
        <v>174</v>
      </c>
      <c r="C45" s="6" t="s">
        <v>18</v>
      </c>
      <c r="D45" s="42" t="str">
        <f t="shared" si="21"/>
        <v>20GR</v>
      </c>
      <c r="E45" s="4" t="str">
        <f t="shared" si="17"/>
        <v>20</v>
      </c>
      <c r="F45" s="4" t="s">
        <v>124</v>
      </c>
      <c r="G45" s="4"/>
      <c r="H45" s="4"/>
      <c r="I45" s="32">
        <f t="shared" si="24"/>
        <v>1500</v>
      </c>
      <c r="J45" s="30" t="s">
        <v>197</v>
      </c>
      <c r="K45" s="28">
        <f t="shared" si="23"/>
        <v>125</v>
      </c>
      <c r="L45" s="31">
        <f t="shared" si="22"/>
        <v>30</v>
      </c>
      <c r="M45" s="30" t="s">
        <v>139</v>
      </c>
      <c r="N45" s="19">
        <v>44000</v>
      </c>
      <c r="O45" s="19"/>
      <c r="P45" s="5"/>
      <c r="Q45" s="19"/>
      <c r="R45" s="19"/>
      <c r="S45" s="52"/>
      <c r="T45" s="3"/>
    </row>
    <row r="46" spans="1:20" ht="14.4" hidden="1" customHeight="1" outlineLevel="1" x14ac:dyDescent="0.3">
      <c r="A46" s="3">
        <v>10</v>
      </c>
      <c r="B46" s="4" t="s">
        <v>16</v>
      </c>
      <c r="C46" s="6" t="s">
        <v>19</v>
      </c>
      <c r="D46" s="42" t="str">
        <f t="shared" si="21"/>
        <v>10GR</v>
      </c>
      <c r="E46" s="4" t="str">
        <f t="shared" si="17"/>
        <v>10</v>
      </c>
      <c r="F46" s="4" t="s">
        <v>133</v>
      </c>
      <c r="G46" s="4"/>
      <c r="H46" s="4"/>
      <c r="I46" s="32">
        <f t="shared" si="24"/>
        <v>3000</v>
      </c>
      <c r="J46" s="30" t="s">
        <v>197</v>
      </c>
      <c r="K46" s="28">
        <f t="shared" si="23"/>
        <v>250</v>
      </c>
      <c r="L46" s="31">
        <f t="shared" si="22"/>
        <v>30</v>
      </c>
      <c r="M46" s="30" t="s">
        <v>139</v>
      </c>
      <c r="N46" s="19">
        <v>46000</v>
      </c>
      <c r="O46" s="19"/>
      <c r="P46" s="5"/>
      <c r="Q46" s="19"/>
      <c r="R46" s="19"/>
      <c r="S46" s="52"/>
      <c r="T46" s="3"/>
    </row>
    <row r="47" spans="1:20" ht="14.4" hidden="1" customHeight="1" outlineLevel="1" x14ac:dyDescent="0.3">
      <c r="A47" s="3">
        <v>11</v>
      </c>
      <c r="B47" s="4" t="s">
        <v>175</v>
      </c>
      <c r="C47" s="6" t="s">
        <v>20</v>
      </c>
      <c r="D47" s="42" t="str">
        <f t="shared" si="21"/>
        <v>5GR</v>
      </c>
      <c r="E47" s="4" t="str">
        <f t="shared" si="17"/>
        <v>5</v>
      </c>
      <c r="F47" s="4" t="s">
        <v>126</v>
      </c>
      <c r="G47" s="4"/>
      <c r="H47" s="4"/>
      <c r="I47" s="32">
        <f>ROUNDUP(K47*10,0)</f>
        <v>5000</v>
      </c>
      <c r="J47" s="30" t="s">
        <v>197</v>
      </c>
      <c r="K47" s="28">
        <f t="shared" si="23"/>
        <v>500</v>
      </c>
      <c r="L47" s="31">
        <f t="shared" si="22"/>
        <v>25</v>
      </c>
      <c r="M47" s="30" t="s">
        <v>139</v>
      </c>
      <c r="N47" s="19">
        <v>46000</v>
      </c>
      <c r="O47" s="19"/>
      <c r="P47" s="5"/>
      <c r="Q47" s="19"/>
      <c r="R47" s="19"/>
      <c r="S47" s="52"/>
      <c r="T47" s="3"/>
    </row>
    <row r="48" spans="1:20" ht="14.4" hidden="1" customHeight="1" outlineLevel="1" x14ac:dyDescent="0.3">
      <c r="A48" s="3">
        <v>12</v>
      </c>
      <c r="B48" s="4" t="s">
        <v>176</v>
      </c>
      <c r="C48" s="6" t="s">
        <v>21</v>
      </c>
      <c r="D48" s="42" t="str">
        <f t="shared" si="21"/>
        <v>3GR</v>
      </c>
      <c r="E48" s="4" t="str">
        <f t="shared" si="17"/>
        <v>3</v>
      </c>
      <c r="F48" s="4" t="s">
        <v>127</v>
      </c>
      <c r="G48" s="4"/>
      <c r="H48" s="4"/>
      <c r="I48" s="32">
        <f t="shared" ref="I48:I50" si="25">ROUNDUP(K48*10,0)</f>
        <v>8334</v>
      </c>
      <c r="J48" s="30" t="s">
        <v>197</v>
      </c>
      <c r="K48" s="28">
        <f t="shared" si="23"/>
        <v>833.33333333333326</v>
      </c>
      <c r="L48" s="31">
        <f t="shared" si="22"/>
        <v>25.001999999999999</v>
      </c>
      <c r="M48" s="30" t="s">
        <v>139</v>
      </c>
      <c r="N48" s="19">
        <v>50000</v>
      </c>
      <c r="O48" s="19"/>
      <c r="P48" s="5"/>
      <c r="Q48" s="19"/>
      <c r="R48" s="19"/>
      <c r="S48" s="52"/>
      <c r="T48" s="3"/>
    </row>
    <row r="49" spans="1:27" ht="14.4" hidden="1" customHeight="1" outlineLevel="1" x14ac:dyDescent="0.3">
      <c r="A49" s="3">
        <v>13</v>
      </c>
      <c r="B49" s="4" t="s">
        <v>177</v>
      </c>
      <c r="C49" s="6" t="s">
        <v>22</v>
      </c>
      <c r="D49" s="42" t="str">
        <f t="shared" si="21"/>
        <v>2GR</v>
      </c>
      <c r="E49" s="4" t="str">
        <f t="shared" si="17"/>
        <v>2</v>
      </c>
      <c r="F49" s="4" t="s">
        <v>128</v>
      </c>
      <c r="G49" s="4"/>
      <c r="H49" s="4"/>
      <c r="I49" s="32">
        <f t="shared" si="25"/>
        <v>12500</v>
      </c>
      <c r="J49" s="30" t="s">
        <v>197</v>
      </c>
      <c r="K49" s="28">
        <f t="shared" si="23"/>
        <v>1250</v>
      </c>
      <c r="L49" s="31">
        <f t="shared" si="22"/>
        <v>25</v>
      </c>
      <c r="M49" s="30" t="s">
        <v>139</v>
      </c>
      <c r="N49" s="19">
        <v>50000</v>
      </c>
      <c r="O49" s="19"/>
      <c r="P49" s="5"/>
      <c r="Q49" s="19"/>
      <c r="R49" s="19"/>
      <c r="S49" s="52"/>
      <c r="T49" s="3"/>
    </row>
    <row r="50" spans="1:27" ht="14.4" hidden="1" customHeight="1" outlineLevel="1" x14ac:dyDescent="0.3">
      <c r="A50" s="3">
        <v>14</v>
      </c>
      <c r="B50" s="4" t="s">
        <v>178</v>
      </c>
      <c r="C50" s="6" t="s">
        <v>228</v>
      </c>
      <c r="D50" s="42" t="str">
        <f t="shared" si="21"/>
        <v>1,2GR</v>
      </c>
      <c r="E50" s="4" t="str">
        <f t="shared" si="17"/>
        <v>1,2</v>
      </c>
      <c r="F50" s="4" t="s">
        <v>129</v>
      </c>
      <c r="G50" s="4"/>
      <c r="H50" s="4"/>
      <c r="I50" s="32">
        <f t="shared" si="25"/>
        <v>8334</v>
      </c>
      <c r="J50" s="30" t="s">
        <v>197</v>
      </c>
      <c r="K50" s="28">
        <f>1000/E50</f>
        <v>833.33333333333337</v>
      </c>
      <c r="L50" s="51">
        <f t="shared" si="22"/>
        <v>10.0008</v>
      </c>
      <c r="M50" s="30" t="s">
        <v>139</v>
      </c>
      <c r="N50" s="19">
        <v>50000</v>
      </c>
      <c r="O50" s="19"/>
      <c r="P50" s="5"/>
      <c r="Q50" s="19"/>
      <c r="R50" s="19"/>
      <c r="S50" s="52"/>
      <c r="T50" s="3"/>
    </row>
    <row r="51" spans="1:27" collapsed="1" x14ac:dyDescent="0.3">
      <c r="A51" s="57" t="s">
        <v>23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71"/>
    </row>
    <row r="52" spans="1:27" x14ac:dyDescent="0.3">
      <c r="A52" s="3">
        <v>1</v>
      </c>
      <c r="B52" s="4" t="s">
        <v>179</v>
      </c>
      <c r="C52" s="6" t="s">
        <v>31</v>
      </c>
      <c r="D52" s="42" t="s">
        <v>201</v>
      </c>
      <c r="E52" s="4">
        <v>1.5</v>
      </c>
      <c r="F52" s="4" t="s">
        <v>128</v>
      </c>
      <c r="G52" s="4"/>
      <c r="H52" s="4"/>
      <c r="I52" s="30">
        <v>7200</v>
      </c>
      <c r="J52" s="27" t="s">
        <v>207</v>
      </c>
      <c r="K52" s="28">
        <v>667</v>
      </c>
      <c r="L52" s="29">
        <f t="shared" ref="L52:L57" si="26">I52*E52/1000</f>
        <v>10.8</v>
      </c>
      <c r="M52" s="30" t="s">
        <v>5</v>
      </c>
      <c r="N52" s="19">
        <v>120000</v>
      </c>
      <c r="O52" s="19"/>
      <c r="P52" s="5"/>
      <c r="Q52" s="19"/>
      <c r="R52" s="19"/>
      <c r="S52" s="52"/>
      <c r="T52" s="72"/>
    </row>
    <row r="53" spans="1:27" x14ac:dyDescent="0.3">
      <c r="A53" s="3">
        <v>2</v>
      </c>
      <c r="B53" s="4" t="s">
        <v>180</v>
      </c>
      <c r="C53" s="6" t="s">
        <v>32</v>
      </c>
      <c r="D53" s="42" t="s">
        <v>202</v>
      </c>
      <c r="E53" s="4">
        <v>2</v>
      </c>
      <c r="F53" s="4" t="s">
        <v>134</v>
      </c>
      <c r="G53" s="4"/>
      <c r="H53" s="4"/>
      <c r="I53" s="30">
        <v>4800</v>
      </c>
      <c r="J53" s="27" t="s">
        <v>207</v>
      </c>
      <c r="K53" s="28">
        <v>500</v>
      </c>
      <c r="L53" s="29">
        <f t="shared" si="26"/>
        <v>9.6</v>
      </c>
      <c r="M53" s="30" t="s">
        <v>5</v>
      </c>
      <c r="N53" s="19">
        <v>108000</v>
      </c>
      <c r="O53" s="19"/>
      <c r="P53" s="5"/>
      <c r="Q53" s="19"/>
      <c r="R53" s="19"/>
      <c r="S53" s="52"/>
      <c r="T53" s="72"/>
    </row>
    <row r="54" spans="1:27" x14ac:dyDescent="0.3">
      <c r="A54" s="3">
        <v>3</v>
      </c>
      <c r="B54" s="4" t="s">
        <v>181</v>
      </c>
      <c r="C54" s="6" t="s">
        <v>33</v>
      </c>
      <c r="D54" s="42" t="s">
        <v>203</v>
      </c>
      <c r="E54" s="4">
        <v>4</v>
      </c>
      <c r="F54" s="4" t="s">
        <v>135</v>
      </c>
      <c r="G54" s="4"/>
      <c r="H54" s="4"/>
      <c r="I54" s="30">
        <v>2400</v>
      </c>
      <c r="J54" s="27" t="s">
        <v>207</v>
      </c>
      <c r="K54" s="28">
        <v>250</v>
      </c>
      <c r="L54" s="29">
        <f t="shared" si="26"/>
        <v>9.6</v>
      </c>
      <c r="M54" s="30" t="s">
        <v>5</v>
      </c>
      <c r="N54" s="19">
        <v>63000</v>
      </c>
      <c r="O54" s="19"/>
      <c r="P54" s="5"/>
      <c r="Q54" s="19"/>
      <c r="R54" s="19"/>
      <c r="S54" s="52"/>
      <c r="T54" s="72"/>
    </row>
    <row r="55" spans="1:27" x14ac:dyDescent="0.3">
      <c r="A55" s="3">
        <v>4</v>
      </c>
      <c r="B55" s="4" t="s">
        <v>182</v>
      </c>
      <c r="C55" s="6" t="s">
        <v>34</v>
      </c>
      <c r="D55" s="42" t="s">
        <v>204</v>
      </c>
      <c r="E55" s="4">
        <v>8</v>
      </c>
      <c r="F55" s="4" t="s">
        <v>136</v>
      </c>
      <c r="G55" s="4"/>
      <c r="H55" s="4"/>
      <c r="I55" s="30">
        <v>2400</v>
      </c>
      <c r="J55" s="27" t="s">
        <v>207</v>
      </c>
      <c r="K55" s="28">
        <v>150</v>
      </c>
      <c r="L55" s="29">
        <f t="shared" si="26"/>
        <v>19.2</v>
      </c>
      <c r="M55" s="30" t="s">
        <v>5</v>
      </c>
      <c r="N55" s="19">
        <v>44000</v>
      </c>
      <c r="O55" s="19"/>
      <c r="P55" s="5"/>
      <c r="Q55" s="19"/>
      <c r="R55" s="19"/>
      <c r="S55" s="52"/>
      <c r="T55" s="72"/>
      <c r="AA55">
        <v>24140</v>
      </c>
    </row>
    <row r="56" spans="1:27" x14ac:dyDescent="0.3">
      <c r="A56" s="3">
        <v>5</v>
      </c>
      <c r="B56" s="4" t="s">
        <v>183</v>
      </c>
      <c r="C56" s="6" t="s">
        <v>35</v>
      </c>
      <c r="D56" s="42" t="s">
        <v>205</v>
      </c>
      <c r="E56" s="4">
        <v>11</v>
      </c>
      <c r="F56" s="4" t="s">
        <v>125</v>
      </c>
      <c r="G56" s="4"/>
      <c r="H56" s="4"/>
      <c r="I56" s="30">
        <v>1400</v>
      </c>
      <c r="J56" s="27" t="s">
        <v>207</v>
      </c>
      <c r="K56" s="28">
        <v>120</v>
      </c>
      <c r="L56" s="29">
        <f t="shared" si="26"/>
        <v>15.4</v>
      </c>
      <c r="M56" s="30" t="s">
        <v>5</v>
      </c>
      <c r="N56" s="19">
        <v>43000</v>
      </c>
      <c r="O56" s="19"/>
      <c r="P56" s="5"/>
      <c r="Q56" s="19"/>
      <c r="R56" s="19"/>
      <c r="S56" s="52"/>
      <c r="T56" s="72"/>
    </row>
    <row r="57" spans="1:27" x14ac:dyDescent="0.3">
      <c r="A57" s="3">
        <v>6</v>
      </c>
      <c r="B57" s="4" t="s">
        <v>184</v>
      </c>
      <c r="C57" s="6" t="s">
        <v>36</v>
      </c>
      <c r="D57" s="42" t="s">
        <v>206</v>
      </c>
      <c r="E57" s="4">
        <v>17</v>
      </c>
      <c r="F57" s="4" t="s">
        <v>137</v>
      </c>
      <c r="G57" s="4"/>
      <c r="H57" s="4"/>
      <c r="I57" s="30">
        <v>960</v>
      </c>
      <c r="J57" s="27" t="s">
        <v>207</v>
      </c>
      <c r="K57" s="28">
        <v>60</v>
      </c>
      <c r="L57" s="29">
        <f t="shared" si="26"/>
        <v>16.32</v>
      </c>
      <c r="M57" s="30" t="s">
        <v>5</v>
      </c>
      <c r="N57" s="19">
        <v>34000</v>
      </c>
      <c r="O57" s="19"/>
      <c r="P57" s="5"/>
      <c r="Q57" s="19"/>
      <c r="R57" s="19"/>
      <c r="S57" s="52"/>
      <c r="T57" s="72"/>
    </row>
    <row r="58" spans="1:27" x14ac:dyDescent="0.3">
      <c r="A58" s="57" t="s">
        <v>24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71"/>
    </row>
    <row r="59" spans="1:27" x14ac:dyDescent="0.3">
      <c r="A59" s="3">
        <v>1</v>
      </c>
      <c r="B59" s="4" t="s">
        <v>185</v>
      </c>
      <c r="C59" s="6" t="s">
        <v>44</v>
      </c>
      <c r="D59" s="42" t="str">
        <f>RIGHT(C59,LEN(C59)-17)</f>
        <v>5GR</v>
      </c>
      <c r="E59" s="4" t="str">
        <f>LEFT(D59,LEN(D59)-2)</f>
        <v>5</v>
      </c>
      <c r="F59" s="4" t="s">
        <v>126</v>
      </c>
      <c r="G59" s="4"/>
      <c r="H59" s="4"/>
      <c r="I59" s="30">
        <v>2400</v>
      </c>
      <c r="J59" s="27" t="s">
        <v>207</v>
      </c>
      <c r="K59" s="28">
        <v>200</v>
      </c>
      <c r="L59" s="29">
        <f>I59*E59/1000</f>
        <v>12</v>
      </c>
      <c r="M59" s="30" t="s">
        <v>5</v>
      </c>
      <c r="N59" s="19">
        <v>40000</v>
      </c>
      <c r="O59" s="19"/>
      <c r="P59" s="5"/>
      <c r="Q59" s="19"/>
      <c r="R59" s="19"/>
      <c r="S59" s="52"/>
      <c r="T59" s="72"/>
    </row>
    <row r="60" spans="1:27" x14ac:dyDescent="0.3">
      <c r="A60" s="3">
        <v>2</v>
      </c>
      <c r="B60" s="4" t="s">
        <v>186</v>
      </c>
      <c r="C60" s="6" t="s">
        <v>45</v>
      </c>
      <c r="D60" s="42" t="str">
        <f>RIGHT(C60,LEN(C60)-17)</f>
        <v>10GR</v>
      </c>
      <c r="E60" s="4" t="str">
        <f>LEFT(D60,LEN(D60)-2)</f>
        <v>10</v>
      </c>
      <c r="F60" s="4" t="s">
        <v>125</v>
      </c>
      <c r="G60" s="4"/>
      <c r="H60" s="4"/>
      <c r="I60" s="30">
        <v>1500</v>
      </c>
      <c r="J60" s="27" t="s">
        <v>207</v>
      </c>
      <c r="K60" s="28">
        <v>150</v>
      </c>
      <c r="L60" s="29">
        <f>I60*E60/1000</f>
        <v>15</v>
      </c>
      <c r="M60" s="30" t="s">
        <v>5</v>
      </c>
      <c r="N60" s="19">
        <v>40000</v>
      </c>
      <c r="O60" s="19"/>
      <c r="P60" s="5"/>
      <c r="Q60" s="19"/>
      <c r="R60" s="19"/>
      <c r="S60" s="52"/>
      <c r="T60" s="72"/>
    </row>
    <row r="61" spans="1:27" ht="14.4" hidden="1" customHeight="1" x14ac:dyDescent="0.3">
      <c r="A61" s="57" t="s">
        <v>28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O61" s="18"/>
    </row>
    <row r="62" spans="1:27" ht="14.4" hidden="1" customHeight="1" x14ac:dyDescent="0.3">
      <c r="A62" s="3">
        <v>47</v>
      </c>
      <c r="B62" s="4" t="s">
        <v>79</v>
      </c>
      <c r="C62" s="6" t="s">
        <v>37</v>
      </c>
      <c r="D62" s="22" t="str">
        <f t="shared" ref="D62:D68" si="27">RIGHT(C62,LEN(C62)-17)</f>
        <v>2000GR</v>
      </c>
      <c r="E62" s="4" t="str">
        <f>LEFT(D62,LEN(D62)-2)</f>
        <v>2000</v>
      </c>
      <c r="F62" s="4"/>
      <c r="G62" s="4"/>
      <c r="H62" s="4"/>
      <c r="I62" s="30">
        <v>10</v>
      </c>
      <c r="J62" s="27"/>
      <c r="K62" s="27"/>
      <c r="L62" s="29">
        <f t="shared" ref="L62:L68" si="28">I62*E62/1000</f>
        <v>20</v>
      </c>
      <c r="M62" s="30" t="s">
        <v>5</v>
      </c>
    </row>
    <row r="63" spans="1:27" ht="14.4" hidden="1" customHeight="1" x14ac:dyDescent="0.3">
      <c r="A63" s="3">
        <v>48</v>
      </c>
      <c r="B63" s="4" t="s">
        <v>80</v>
      </c>
      <c r="C63" s="6" t="s">
        <v>38</v>
      </c>
      <c r="D63" s="22" t="str">
        <f t="shared" si="27"/>
        <v>1000GR</v>
      </c>
      <c r="E63" s="4" t="str">
        <f t="shared" ref="E63:E68" si="29">LEFT(D63,LEN(D63)-2)</f>
        <v>1000</v>
      </c>
      <c r="F63" s="4"/>
      <c r="G63" s="4"/>
      <c r="H63" s="4"/>
      <c r="I63" s="30">
        <v>20</v>
      </c>
      <c r="J63" s="27"/>
      <c r="K63" s="27"/>
      <c r="L63" s="29">
        <f t="shared" si="28"/>
        <v>20</v>
      </c>
      <c r="M63" s="30" t="s">
        <v>5</v>
      </c>
    </row>
    <row r="64" spans="1:27" ht="14.4" hidden="1" customHeight="1" x14ac:dyDescent="0.3">
      <c r="A64" s="3">
        <v>49</v>
      </c>
      <c r="B64" s="4" t="s">
        <v>81</v>
      </c>
      <c r="C64" s="6" t="s">
        <v>39</v>
      </c>
      <c r="D64" s="22" t="str">
        <f t="shared" si="27"/>
        <v>500GR</v>
      </c>
      <c r="E64" s="4" t="str">
        <f t="shared" si="29"/>
        <v>500</v>
      </c>
      <c r="F64" s="4"/>
      <c r="G64" s="4"/>
      <c r="H64" s="4"/>
      <c r="I64" s="30">
        <v>40</v>
      </c>
      <c r="J64" s="27"/>
      <c r="K64" s="27"/>
      <c r="L64" s="29">
        <f t="shared" si="28"/>
        <v>20</v>
      </c>
      <c r="M64" s="30" t="s">
        <v>5</v>
      </c>
    </row>
    <row r="65" spans="1:13" ht="14.4" hidden="1" customHeight="1" x14ac:dyDescent="0.3">
      <c r="A65" s="3">
        <v>50</v>
      </c>
      <c r="B65" s="4" t="s">
        <v>82</v>
      </c>
      <c r="C65" s="6" t="s">
        <v>40</v>
      </c>
      <c r="D65" s="22" t="str">
        <f t="shared" si="27"/>
        <v>100GR</v>
      </c>
      <c r="E65" s="4" t="str">
        <f t="shared" si="29"/>
        <v>100</v>
      </c>
      <c r="F65" s="4"/>
      <c r="G65" s="4"/>
      <c r="H65" s="4"/>
      <c r="I65" s="30">
        <v>180</v>
      </c>
      <c r="J65" s="27"/>
      <c r="K65" s="27"/>
      <c r="L65" s="29">
        <f t="shared" si="28"/>
        <v>18</v>
      </c>
      <c r="M65" s="30" t="s">
        <v>5</v>
      </c>
    </row>
    <row r="66" spans="1:13" ht="14.4" hidden="1" customHeight="1" x14ac:dyDescent="0.3">
      <c r="A66" s="3">
        <v>51</v>
      </c>
      <c r="B66" s="4" t="s">
        <v>83</v>
      </c>
      <c r="C66" s="6" t="s">
        <v>41</v>
      </c>
      <c r="D66" s="22" t="str">
        <f t="shared" si="27"/>
        <v>50GR</v>
      </c>
      <c r="E66" s="4" t="str">
        <f t="shared" si="29"/>
        <v>50</v>
      </c>
      <c r="F66" s="4"/>
      <c r="G66" s="4"/>
      <c r="H66" s="4"/>
      <c r="I66" s="30">
        <v>400</v>
      </c>
      <c r="J66" s="27"/>
      <c r="K66" s="27"/>
      <c r="L66" s="29">
        <f t="shared" si="28"/>
        <v>20</v>
      </c>
      <c r="M66" s="30" t="s">
        <v>5</v>
      </c>
    </row>
    <row r="67" spans="1:13" ht="14.4" hidden="1" customHeight="1" x14ac:dyDescent="0.3">
      <c r="A67" s="3">
        <v>52</v>
      </c>
      <c r="B67" s="4" t="s">
        <v>84</v>
      </c>
      <c r="C67" s="6" t="s">
        <v>42</v>
      </c>
      <c r="D67" s="22" t="str">
        <f t="shared" si="27"/>
        <v>10GR</v>
      </c>
      <c r="E67" s="4" t="str">
        <f t="shared" si="29"/>
        <v>10</v>
      </c>
      <c r="F67" s="4"/>
      <c r="G67" s="4"/>
      <c r="H67" s="4"/>
      <c r="I67" s="30">
        <v>1500</v>
      </c>
      <c r="J67" s="27"/>
      <c r="K67" s="27"/>
      <c r="L67" s="29">
        <f t="shared" si="28"/>
        <v>15</v>
      </c>
      <c r="M67" s="30" t="s">
        <v>5</v>
      </c>
    </row>
    <row r="68" spans="1:13" ht="14.4" hidden="1" customHeight="1" x14ac:dyDescent="0.3">
      <c r="A68" s="3">
        <v>53</v>
      </c>
      <c r="B68" s="4" t="s">
        <v>85</v>
      </c>
      <c r="C68" s="6" t="s">
        <v>43</v>
      </c>
      <c r="D68" s="22" t="str">
        <f t="shared" si="27"/>
        <v>5GR</v>
      </c>
      <c r="E68" s="4" t="str">
        <f t="shared" si="29"/>
        <v>5</v>
      </c>
      <c r="F68" s="4"/>
      <c r="G68" s="4"/>
      <c r="H68" s="4"/>
      <c r="I68" s="30">
        <v>3000</v>
      </c>
      <c r="J68" s="27"/>
      <c r="K68" s="27"/>
      <c r="L68" s="29">
        <f t="shared" si="28"/>
        <v>15</v>
      </c>
      <c r="M68" s="30" t="s">
        <v>5</v>
      </c>
    </row>
    <row r="69" spans="1:13" ht="14.4" hidden="1" customHeight="1" x14ac:dyDescent="0.3">
      <c r="A69" s="57" t="s">
        <v>25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spans="1:13" ht="14.4" hidden="1" customHeight="1" x14ac:dyDescent="0.3">
      <c r="A70" s="3">
        <v>54</v>
      </c>
      <c r="B70" s="4" t="s">
        <v>76</v>
      </c>
      <c r="C70" s="3" t="s">
        <v>73</v>
      </c>
      <c r="D70" s="22" t="s">
        <v>74</v>
      </c>
      <c r="E70" s="4" t="str">
        <f>LEFT(D70,LEN(D70)-2)</f>
        <v>2200</v>
      </c>
      <c r="F70" s="4"/>
      <c r="G70" s="4"/>
      <c r="H70" s="4"/>
      <c r="I70" s="30">
        <v>6</v>
      </c>
      <c r="J70" s="27"/>
      <c r="K70" s="27"/>
      <c r="L70" s="29">
        <f>I70*E70/1000</f>
        <v>13.2</v>
      </c>
      <c r="M70" s="30" t="s">
        <v>5</v>
      </c>
    </row>
    <row r="71" spans="1:13" ht="14.4" hidden="1" customHeight="1" x14ac:dyDescent="0.3">
      <c r="A71" s="3">
        <v>55</v>
      </c>
      <c r="B71" s="4" t="s">
        <v>77</v>
      </c>
      <c r="C71" s="3" t="s">
        <v>75</v>
      </c>
      <c r="D71" s="22" t="s">
        <v>78</v>
      </c>
      <c r="E71" s="4">
        <v>4000</v>
      </c>
      <c r="F71" s="4"/>
      <c r="G71" s="4"/>
      <c r="H71" s="4"/>
      <c r="I71" s="30">
        <v>6</v>
      </c>
      <c r="J71" s="27"/>
      <c r="K71" s="27"/>
      <c r="L71" s="29">
        <f>I71*E71/1000</f>
        <v>24</v>
      </c>
      <c r="M71" s="30" t="s">
        <v>5</v>
      </c>
    </row>
    <row r="72" spans="1:13" ht="14.4" hidden="1" customHeight="1" x14ac:dyDescent="0.3">
      <c r="A72" s="57" t="s">
        <v>86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 spans="1:13" ht="14.4" hidden="1" customHeight="1" x14ac:dyDescent="0.3">
      <c r="A73" s="3"/>
      <c r="B73" s="4"/>
      <c r="C73" s="6"/>
      <c r="D73" s="22"/>
      <c r="E73" s="4"/>
      <c r="F73" s="4"/>
      <c r="G73" s="4"/>
      <c r="H73" s="4"/>
      <c r="I73" s="30"/>
      <c r="J73" s="27"/>
      <c r="K73" s="27"/>
      <c r="L73" s="29"/>
      <c r="M73" s="30"/>
    </row>
    <row r="74" spans="1:13" ht="14.4" hidden="1" customHeight="1" x14ac:dyDescent="0.3">
      <c r="A74" s="3"/>
      <c r="B74" s="4"/>
      <c r="C74" s="6"/>
      <c r="D74" s="22"/>
      <c r="E74" s="4"/>
      <c r="F74" s="4"/>
      <c r="G74" s="4"/>
      <c r="H74" s="4"/>
      <c r="I74" s="30"/>
      <c r="J74" s="27"/>
      <c r="K74" s="27"/>
      <c r="L74" s="29"/>
      <c r="M74" s="30"/>
    </row>
    <row r="75" spans="1:13" ht="14.4" hidden="1" customHeight="1" x14ac:dyDescent="0.3">
      <c r="A75" s="3"/>
      <c r="B75" s="4"/>
      <c r="C75" s="6"/>
      <c r="D75" s="22"/>
      <c r="E75" s="4"/>
      <c r="F75" s="4"/>
      <c r="G75" s="4"/>
      <c r="H75" s="4"/>
      <c r="I75" s="30"/>
      <c r="J75" s="27"/>
      <c r="K75" s="27"/>
      <c r="L75" s="29"/>
      <c r="M75" s="30"/>
    </row>
    <row r="76" spans="1:13" ht="14.4" hidden="1" customHeight="1" x14ac:dyDescent="0.3">
      <c r="A76" s="3"/>
      <c r="B76" s="4"/>
      <c r="C76" s="6"/>
      <c r="D76" s="22"/>
      <c r="E76" s="4"/>
      <c r="F76" s="4"/>
      <c r="G76" s="4"/>
      <c r="H76" s="4"/>
      <c r="I76" s="30"/>
      <c r="J76" s="27"/>
      <c r="K76" s="27"/>
      <c r="L76" s="29"/>
      <c r="M76" s="30"/>
    </row>
    <row r="77" spans="1:13" ht="14.4" hidden="1" customHeight="1" x14ac:dyDescent="0.3">
      <c r="A77" s="57" t="s">
        <v>87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</row>
    <row r="78" spans="1:13" ht="14.4" hidden="1" customHeight="1" x14ac:dyDescent="0.3">
      <c r="A78" s="3"/>
      <c r="B78" s="4"/>
      <c r="C78" s="6"/>
      <c r="D78" s="22"/>
      <c r="E78" s="4"/>
      <c r="F78" s="4"/>
      <c r="G78" s="4"/>
      <c r="H78" s="4"/>
      <c r="I78" s="30"/>
      <c r="J78" s="27"/>
      <c r="K78" s="27"/>
      <c r="L78" s="29"/>
      <c r="M78" s="30"/>
    </row>
    <row r="79" spans="1:13" ht="14.4" hidden="1" customHeight="1" x14ac:dyDescent="0.3">
      <c r="A79" s="3"/>
      <c r="B79" s="4"/>
      <c r="C79" s="6"/>
      <c r="D79" s="22"/>
      <c r="E79" s="4"/>
      <c r="F79" s="4"/>
      <c r="G79" s="4"/>
      <c r="H79" s="4"/>
      <c r="I79" s="30"/>
      <c r="J79" s="27"/>
      <c r="K79" s="27"/>
      <c r="L79" s="29"/>
      <c r="M79" s="30"/>
    </row>
    <row r="80" spans="1:13" ht="14.4" hidden="1" customHeight="1" x14ac:dyDescent="0.3">
      <c r="A80" s="3"/>
      <c r="B80" s="4"/>
      <c r="C80" s="6"/>
      <c r="D80" s="22"/>
      <c r="E80" s="4"/>
      <c r="F80" s="4"/>
      <c r="G80" s="4"/>
      <c r="H80" s="4"/>
      <c r="I80" s="30"/>
      <c r="J80" s="27"/>
      <c r="K80" s="27"/>
      <c r="L80" s="29"/>
      <c r="M80" s="30"/>
    </row>
    <row r="81" spans="1:13" ht="14.4" hidden="1" customHeight="1" x14ac:dyDescent="0.3">
      <c r="A81" s="3"/>
      <c r="B81" s="4"/>
      <c r="C81" s="6"/>
      <c r="D81" s="22"/>
      <c r="E81" s="4"/>
      <c r="F81" s="4"/>
      <c r="G81" s="4"/>
      <c r="H81" s="4"/>
      <c r="I81" s="30"/>
      <c r="J81" s="27"/>
      <c r="K81" s="27"/>
      <c r="L81" s="29"/>
      <c r="M81" s="30"/>
    </row>
    <row r="82" spans="1:13" ht="14.4" hidden="1" customHeight="1" x14ac:dyDescent="0.3">
      <c r="A82" s="57" t="s">
        <v>26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</row>
    <row r="83" spans="1:13" ht="14.4" hidden="1" customHeight="1" x14ac:dyDescent="0.3">
      <c r="A83" s="3"/>
      <c r="B83" s="4"/>
      <c r="C83" s="6"/>
      <c r="D83" s="22"/>
      <c r="E83" s="4"/>
      <c r="F83" s="4"/>
      <c r="G83" s="4"/>
      <c r="H83" s="4"/>
      <c r="I83" s="30"/>
      <c r="J83" s="27"/>
      <c r="K83" s="27"/>
      <c r="L83" s="29"/>
      <c r="M83" s="30"/>
    </row>
    <row r="84" spans="1:13" ht="14.4" hidden="1" customHeight="1" x14ac:dyDescent="0.3">
      <c r="A84" s="3"/>
      <c r="B84" s="4"/>
      <c r="C84" s="6"/>
      <c r="D84" s="22"/>
      <c r="E84" s="4"/>
      <c r="F84" s="4"/>
      <c r="G84" s="4"/>
      <c r="H84" s="4"/>
      <c r="I84" s="30"/>
      <c r="J84" s="27"/>
      <c r="K84" s="27"/>
      <c r="L84" s="29"/>
      <c r="M84" s="30"/>
    </row>
    <row r="85" spans="1:13" ht="14.4" hidden="1" customHeight="1" x14ac:dyDescent="0.3">
      <c r="A85" s="3"/>
      <c r="B85" s="4"/>
      <c r="C85" s="6"/>
      <c r="D85" s="22"/>
      <c r="E85" s="4"/>
      <c r="F85" s="4"/>
      <c r="G85" s="4"/>
      <c r="H85" s="4"/>
      <c r="I85" s="30"/>
      <c r="J85" s="27"/>
      <c r="K85" s="27"/>
      <c r="L85" s="29"/>
      <c r="M85" s="30"/>
    </row>
    <row r="86" spans="1:13" ht="14.4" hidden="1" customHeight="1" x14ac:dyDescent="0.3">
      <c r="A86" s="3"/>
      <c r="B86" s="4"/>
      <c r="C86" s="6"/>
      <c r="D86" s="22"/>
      <c r="E86" s="4"/>
      <c r="F86" s="4"/>
      <c r="G86" s="4"/>
      <c r="H86" s="4"/>
      <c r="I86" s="30"/>
      <c r="J86" s="27"/>
      <c r="K86" s="27"/>
      <c r="L86" s="29"/>
      <c r="M86" s="30"/>
    </row>
    <row r="87" spans="1:13" ht="14.4" hidden="1" customHeight="1" x14ac:dyDescent="0.3">
      <c r="A87" s="57" t="s">
        <v>27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</row>
    <row r="88" spans="1:13" ht="14.4" hidden="1" customHeight="1" x14ac:dyDescent="0.3">
      <c r="A88" s="3"/>
      <c r="B88" s="4"/>
      <c r="C88" s="6"/>
      <c r="D88" s="22"/>
      <c r="E88" s="4"/>
      <c r="F88" s="4"/>
      <c r="G88" s="4"/>
      <c r="H88" s="4"/>
      <c r="I88" s="30"/>
      <c r="J88" s="27"/>
      <c r="K88" s="27"/>
      <c r="L88" s="29"/>
      <c r="M88" s="30"/>
    </row>
    <row r="89" spans="1:13" ht="14.4" hidden="1" customHeight="1" x14ac:dyDescent="0.3">
      <c r="A89" s="3"/>
      <c r="B89" s="4"/>
      <c r="C89" s="6"/>
      <c r="D89" s="22"/>
      <c r="E89" s="4"/>
      <c r="F89" s="4"/>
      <c r="G89" s="4"/>
      <c r="H89" s="4"/>
      <c r="I89" s="30"/>
      <c r="J89" s="27"/>
      <c r="K89" s="27"/>
      <c r="L89" s="29"/>
      <c r="M89" s="30"/>
    </row>
    <row r="90" spans="1:13" ht="14.4" hidden="1" customHeight="1" x14ac:dyDescent="0.3">
      <c r="A90" s="3"/>
      <c r="B90" s="4"/>
      <c r="C90" s="6"/>
      <c r="D90" s="22"/>
      <c r="E90" s="4"/>
      <c r="F90" s="4"/>
      <c r="G90" s="4"/>
      <c r="H90" s="4"/>
      <c r="I90" s="30"/>
      <c r="J90" s="27"/>
      <c r="K90" s="27"/>
      <c r="L90" s="29"/>
      <c r="M90" s="30"/>
    </row>
    <row r="91" spans="1:13" ht="14.4" hidden="1" customHeight="1" x14ac:dyDescent="0.3">
      <c r="A91" s="3"/>
      <c r="B91" s="4"/>
      <c r="C91" s="6"/>
      <c r="D91" s="22"/>
      <c r="E91" s="4"/>
      <c r="F91" s="4"/>
      <c r="G91" s="4"/>
      <c r="H91" s="4"/>
      <c r="I91" s="30"/>
      <c r="J91" s="27"/>
      <c r="K91" s="27"/>
      <c r="L91" s="29"/>
      <c r="M91" s="30"/>
    </row>
    <row r="92" spans="1:13" ht="14.4" hidden="1" customHeight="1" x14ac:dyDescent="0.3">
      <c r="A92" s="57" t="s">
        <v>29</v>
      </c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</row>
    <row r="93" spans="1:13" ht="14.4" hidden="1" customHeight="1" x14ac:dyDescent="0.3">
      <c r="A93" s="3"/>
      <c r="B93" s="4"/>
      <c r="C93" s="6"/>
      <c r="D93" s="22"/>
      <c r="E93" s="4"/>
      <c r="F93" s="4"/>
      <c r="G93" s="4"/>
      <c r="H93" s="4"/>
      <c r="I93" s="30"/>
      <c r="J93" s="27"/>
      <c r="K93" s="27"/>
      <c r="L93" s="29"/>
      <c r="M93" s="30"/>
    </row>
    <row r="94" spans="1:13" ht="14.4" hidden="1" customHeight="1" x14ac:dyDescent="0.3">
      <c r="A94" s="3"/>
      <c r="B94" s="4"/>
      <c r="C94" s="6"/>
      <c r="D94" s="22"/>
      <c r="E94" s="4"/>
      <c r="F94" s="4"/>
      <c r="G94" s="4"/>
      <c r="H94" s="4"/>
      <c r="I94" s="30"/>
      <c r="J94" s="27"/>
      <c r="K94" s="27"/>
      <c r="L94" s="29"/>
      <c r="M94" s="30"/>
    </row>
    <row r="95" spans="1:13" ht="14.4" hidden="1" customHeight="1" x14ac:dyDescent="0.3">
      <c r="A95" s="3"/>
      <c r="B95" s="4"/>
      <c r="C95" s="6"/>
      <c r="D95" s="22"/>
      <c r="E95" s="4"/>
      <c r="F95" s="4"/>
      <c r="G95" s="4"/>
      <c r="H95" s="4"/>
      <c r="I95" s="30"/>
      <c r="J95" s="27"/>
      <c r="K95" s="27"/>
      <c r="L95" s="29"/>
      <c r="M95" s="30"/>
    </row>
    <row r="96" spans="1:13" ht="14.4" hidden="1" customHeight="1" x14ac:dyDescent="0.3">
      <c r="A96" s="3"/>
      <c r="B96" s="4"/>
      <c r="C96" s="6"/>
      <c r="D96" s="22"/>
      <c r="E96" s="4"/>
      <c r="F96" s="4"/>
      <c r="G96" s="4"/>
      <c r="H96" s="4"/>
      <c r="I96" s="30"/>
      <c r="J96" s="27"/>
      <c r="K96" s="27"/>
      <c r="L96" s="29"/>
      <c r="M96" s="30"/>
    </row>
    <row r="97" spans="1:13" ht="14.4" hidden="1" customHeight="1" x14ac:dyDescent="0.3">
      <c r="A97" s="57" t="s">
        <v>30</v>
      </c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</row>
    <row r="98" spans="1:13" ht="14.4" hidden="1" customHeight="1" x14ac:dyDescent="0.3">
      <c r="A98" s="3"/>
      <c r="B98" s="4" t="s">
        <v>46</v>
      </c>
      <c r="C98" s="6" t="s">
        <v>47</v>
      </c>
      <c r="D98" s="22" t="str">
        <f>RIGHT(C98,LEN(C98)-17)</f>
        <v>20000ML</v>
      </c>
      <c r="E98" s="4" t="str">
        <f>LEFT(D98,LEN(D98)-2)</f>
        <v>20000</v>
      </c>
      <c r="F98" s="4"/>
      <c r="G98" s="4"/>
      <c r="H98" s="4"/>
      <c r="I98" s="30">
        <v>1</v>
      </c>
      <c r="J98" s="27"/>
      <c r="K98" s="27"/>
      <c r="L98" s="29">
        <f>I98*E98/1000</f>
        <v>20</v>
      </c>
      <c r="M98" s="30" t="s">
        <v>5</v>
      </c>
    </row>
    <row r="99" spans="1:13" x14ac:dyDescent="0.3">
      <c r="M99" s="35"/>
    </row>
    <row r="100" spans="1:13" x14ac:dyDescent="0.3">
      <c r="M100" s="35"/>
    </row>
    <row r="101" spans="1:13" x14ac:dyDescent="0.3">
      <c r="M101" s="35"/>
    </row>
    <row r="103" spans="1:13" x14ac:dyDescent="0.3">
      <c r="A103" s="11"/>
    </row>
  </sheetData>
  <mergeCells count="66">
    <mergeCell ref="AE4:AE5"/>
    <mergeCell ref="AK4:AK5"/>
    <mergeCell ref="BD4:BD5"/>
    <mergeCell ref="BE4:BE5"/>
    <mergeCell ref="AO4:AO5"/>
    <mergeCell ref="BA4:BA5"/>
    <mergeCell ref="BB4:BB5"/>
    <mergeCell ref="AZ4:AZ5"/>
    <mergeCell ref="BC4:BC5"/>
    <mergeCell ref="AP4:AP5"/>
    <mergeCell ref="AU4:AU5"/>
    <mergeCell ref="AY4:AY5"/>
    <mergeCell ref="AQ4:AQ5"/>
    <mergeCell ref="AR4:AR5"/>
    <mergeCell ref="AS4:AS5"/>
    <mergeCell ref="AT4:AT5"/>
    <mergeCell ref="AM4:AM5"/>
    <mergeCell ref="AN4:AN5"/>
    <mergeCell ref="AX4:AX5"/>
    <mergeCell ref="AF4:AF5"/>
    <mergeCell ref="AG4:AG5"/>
    <mergeCell ref="AH4:AH5"/>
    <mergeCell ref="AI4:AI5"/>
    <mergeCell ref="AJ4:AJ5"/>
    <mergeCell ref="AV4:AV5"/>
    <mergeCell ref="AW4:AW5"/>
    <mergeCell ref="A1:M1"/>
    <mergeCell ref="A36:M36"/>
    <mergeCell ref="A61:M61"/>
    <mergeCell ref="F4:F5"/>
    <mergeCell ref="A22:M22"/>
    <mergeCell ref="J4:J5"/>
    <mergeCell ref="A6:T6"/>
    <mergeCell ref="A51:T51"/>
    <mergeCell ref="A58:T58"/>
    <mergeCell ref="T7:T21"/>
    <mergeCell ref="T52:T57"/>
    <mergeCell ref="T59:T60"/>
    <mergeCell ref="Z4:Z5"/>
    <mergeCell ref="AC4:AC5"/>
    <mergeCell ref="AD4:AD5"/>
    <mergeCell ref="N4:N5"/>
    <mergeCell ref="Q4:Q5"/>
    <mergeCell ref="O4:O5"/>
    <mergeCell ref="R4:R5"/>
    <mergeCell ref="P4:P5"/>
    <mergeCell ref="S4:S5"/>
    <mergeCell ref="T4:T5"/>
    <mergeCell ref="AA4:AA5"/>
    <mergeCell ref="AB4:AB5"/>
    <mergeCell ref="A92:M92"/>
    <mergeCell ref="A97:M97"/>
    <mergeCell ref="A4:A5"/>
    <mergeCell ref="C4:C5"/>
    <mergeCell ref="B4:B5"/>
    <mergeCell ref="D4:D5"/>
    <mergeCell ref="E4:E5"/>
    <mergeCell ref="I4:I5"/>
    <mergeCell ref="K4:K5"/>
    <mergeCell ref="L4:L5"/>
    <mergeCell ref="M4:M5"/>
    <mergeCell ref="A82:M82"/>
    <mergeCell ref="A69:M69"/>
    <mergeCell ref="A72:M72"/>
    <mergeCell ref="A77:M77"/>
    <mergeCell ref="A87:M87"/>
  </mergeCells>
  <printOptions horizontalCentered="1"/>
  <pageMargins left="0.25" right="0.25" top="0.75" bottom="0.75" header="0.3" footer="0.3"/>
  <pageSetup paperSize="9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Thống kê</vt:lpstr>
      <vt:lpstr>Đơn hàng</vt:lpstr>
      <vt:lpstr>Giá Gốc</vt:lpstr>
      <vt:lpstr>'Thống kê'!Criteria</vt:lpstr>
      <vt:lpstr>'Giá Gốc'!Print_Area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Phong Vương</cp:lastModifiedBy>
  <cp:lastPrinted>2022-12-22T03:13:52Z</cp:lastPrinted>
  <dcterms:created xsi:type="dcterms:W3CDTF">2019-10-10T03:36:32Z</dcterms:created>
  <dcterms:modified xsi:type="dcterms:W3CDTF">2022-12-26T04:28:54Z</dcterms:modified>
</cp:coreProperties>
</file>